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5480" windowHeight="11640" activeTab="1"/>
  </bookViews>
  <sheets>
    <sheet name="Notes" sheetId="6" r:id="rId1"/>
    <sheet name="Inputs" sheetId="1" r:id="rId2"/>
    <sheet name="Curves" sheetId="3" r:id="rId3"/>
    <sheet name="Gas Plant - Crescendo" sheetId="5" r:id="rId4"/>
    <sheet name="Gas Plant - D&amp;G" sheetId="7" r:id="rId5"/>
    <sheet name="Gas Plant - Hallwood" sheetId="8" r:id="rId6"/>
    <sheet name="Gas Plant - Northstar" sheetId="9" r:id="rId7"/>
    <sheet name="Gas Plant - Tom Brown" sheetId="10" r:id="rId8"/>
    <sheet name="Cash Flow" sheetId="4" r:id="rId9"/>
  </sheets>
  <externalReferences>
    <externalReference r:id="rId10"/>
  </externalReferences>
  <definedNames>
    <definedName name="\P">#REF!</definedName>
    <definedName name="\S">#REF!</definedName>
    <definedName name="AecoUpdate">#REF!</definedName>
    <definedName name="AS">#REF!</definedName>
    <definedName name="ASSET_SALES">#REF!</definedName>
    <definedName name="ASSUME">#REF!</definedName>
    <definedName name="BB">#REF!</definedName>
    <definedName name="Bbase">#REF!</definedName>
    <definedName name="BrentUpdate">#REF!</definedName>
    <definedName name="BS">#REF!</definedName>
    <definedName name="_CAP1">#REF!</definedName>
    <definedName name="_CAP2">#REF!</definedName>
    <definedName name="CapRes">[1]Parms!#REF!</definedName>
    <definedName name="CASH">#REF!</definedName>
    <definedName name="_1CASH_FLOW">#REF!</definedName>
    <definedName name="CASH1">#REF!</definedName>
    <definedName name="CASH2">#REF!</definedName>
    <definedName name="CASHA">#REF!</definedName>
    <definedName name="CASHB">#REF!</definedName>
    <definedName name="CASHC">#REF!</definedName>
    <definedName name="CASHD">#REF!</definedName>
    <definedName name="_COM3">#REF!</definedName>
    <definedName name="_COM5">#REF!</definedName>
    <definedName name="COMMON">#REF!</definedName>
    <definedName name="Common3">#REF!</definedName>
    <definedName name="COMNAME">#REF!</definedName>
    <definedName name="ConBegin">#REF!</definedName>
    <definedName name="ConEnd">#REF!</definedName>
    <definedName name="Count">#REF!</definedName>
    <definedName name="CS">#REF!</definedName>
    <definedName name="CurveCode">#REF!</definedName>
    <definedName name="CurveTable">#REF!</definedName>
    <definedName name="CurveType">#REF!</definedName>
    <definedName name="Debt">#REF!</definedName>
    <definedName name="Debt_Sched">#REF!</definedName>
    <definedName name="DEFREV">#REF!</definedName>
    <definedName name="DEFREV1">#REF!</definedName>
    <definedName name="DEFREV2">#REF!</definedName>
    <definedName name="DEFREVA">#REF!</definedName>
    <definedName name="DEFREVB">#REF!</definedName>
    <definedName name="delarea">#REF!</definedName>
    <definedName name="DILUTION">#REF!</definedName>
    <definedName name="Discount_Rate">Inputs!$C$5</definedName>
    <definedName name="Dump">#REF!</definedName>
    <definedName name="EffectiveDate">#REF!</definedName>
    <definedName name="_2ENRON_CASH">#REF!</definedName>
    <definedName name="EOP">#REF!</definedName>
    <definedName name="EPCAP">#REF!</definedName>
    <definedName name="EPCAPSIM">#REF!</definedName>
    <definedName name="epcos">#REF!</definedName>
    <definedName name="epcount">#REF!</definedName>
    <definedName name="epdep">#REF!</definedName>
    <definedName name="epdepl">#REF!</definedName>
    <definedName name="epesc">#REF!</definedName>
    <definedName name="epfa">#REF!</definedName>
    <definedName name="epfasum">#REF!</definedName>
    <definedName name="epfuel">#REF!</definedName>
    <definedName name="EPHED">#REF!</definedName>
    <definedName name="epmult">#REF!</definedName>
    <definedName name="EPNAV">#REF!</definedName>
    <definedName name="epog1">#REF!</definedName>
    <definedName name="epog2">#REF!</definedName>
    <definedName name="epog3">#REF!</definedName>
    <definedName name="epog4">#REF!</definedName>
    <definedName name="epog5">#REF!</definedName>
    <definedName name="epog6">#REF!</definedName>
    <definedName name="epogsum">#REF!</definedName>
    <definedName name="epp">#REF!</definedName>
    <definedName name="epteras">#REF!</definedName>
    <definedName name="eptrials">#REF!</definedName>
    <definedName name="ESOP">#REF!</definedName>
    <definedName name="Everything">#REF!</definedName>
    <definedName name="EXPENSES">#REF!</definedName>
    <definedName name="FacTitle">#REF!</definedName>
    <definedName name="FASB">#REF!</definedName>
    <definedName name="FEES">#REF!</definedName>
    <definedName name="FEES1">#REF!</definedName>
    <definedName name="FINANCIALS">#REF!</definedName>
    <definedName name="FINFEE">#REF!</definedName>
    <definedName name="FINFEE1">#REF!</definedName>
    <definedName name="FINFEE1A">#REF!</definedName>
    <definedName name="FINFEE2">#REF!</definedName>
    <definedName name="FINFEE2A">#REF!</definedName>
    <definedName name="FS">#REF!</definedName>
    <definedName name="FundsFlow">#REF!</definedName>
    <definedName name="FYE">#REF!</definedName>
    <definedName name="_FYE1">#REF!</definedName>
    <definedName name="GandA">Inputs!$D$101</definedName>
    <definedName name="GasSwitch">#REF!</definedName>
    <definedName name="GasUpdate">#REF!</definedName>
    <definedName name="General">#REF!</definedName>
    <definedName name="HIST.PROJ">#REF!</definedName>
    <definedName name="INCTAX">#REF!</definedName>
    <definedName name="inctax1">#REF!</definedName>
    <definedName name="inctax2">#REF!</definedName>
    <definedName name="INPUT">#REF!</definedName>
    <definedName name="Input.Menu">#REF!</definedName>
    <definedName name="Input.Statements.Box">#REF!</definedName>
    <definedName name="INT">#REF!</definedName>
    <definedName name="INTEXP">#REF!</definedName>
    <definedName name="INTEXP1">#REF!</definedName>
    <definedName name="INTEXP1A">#REF!</definedName>
    <definedName name="INTEXP2">#REF!</definedName>
    <definedName name="INTEXP2A">#REF!</definedName>
    <definedName name="INTINC">#REF!</definedName>
    <definedName name="INTINC1">#REF!</definedName>
    <definedName name="INTINC1A">#REF!</definedName>
    <definedName name="INTINC2">#REF!</definedName>
    <definedName name="INTINC2A">#REF!</definedName>
    <definedName name="IS">#REF!</definedName>
    <definedName name="iterprec">#REF!</definedName>
    <definedName name="iterx">#REF!</definedName>
    <definedName name="Jr.Sub3">#REF!</definedName>
    <definedName name="JRSUB">#REF!</definedName>
    <definedName name="JRSUB3">#REF!</definedName>
    <definedName name="JRSUB5">#REF!</definedName>
    <definedName name="JRSUBNAME">#REF!</definedName>
    <definedName name="K">#REF!</definedName>
    <definedName name="KA">#REF!</definedName>
    <definedName name="KB">#REF!</definedName>
    <definedName name="Legal">#REF!</definedName>
    <definedName name="Letter">#REF!</definedName>
    <definedName name="Month">#REF!</definedName>
    <definedName name="_3MONTHLY_CASH">#REF!</definedName>
    <definedName name="MULTIPLE3">#REF!</definedName>
    <definedName name="MULTIPLE5">#REF!</definedName>
    <definedName name="OandM">Inputs!$D$98</definedName>
    <definedName name="OilSwitch">#REF!</definedName>
    <definedName name="OilUpdate">#REF!</definedName>
    <definedName name="OPENBS">#REF!</definedName>
    <definedName name="Optimize">#REF!</definedName>
    <definedName name="Other_Inc">#REF!</definedName>
    <definedName name="output">#REF!</definedName>
    <definedName name="OVERVIEW">#REF!</definedName>
    <definedName name="PageFooter">#REF!</definedName>
    <definedName name="PageHeader">#REF!</definedName>
    <definedName name="PP">#REF!</definedName>
    <definedName name="PP_Yield">#REF!</definedName>
    <definedName name="PPIRR">#REF!</definedName>
    <definedName name="PPTEST">#REF!</definedName>
    <definedName name="PREF3">#REF!</definedName>
    <definedName name="PREF5">#REF!</definedName>
    <definedName name="PREFERRED">#REF!</definedName>
    <definedName name="Preferred3">#REF!</definedName>
    <definedName name="PREFNAME">#REF!</definedName>
    <definedName name="Preview">#REF!</definedName>
    <definedName name="price">#REF!</definedName>
    <definedName name="PRICING">#REF!</definedName>
    <definedName name="Print.Box">#REF!</definedName>
    <definedName name="_xlnm.Print_Area" localSheetId="8">'Cash Flow'!$A$1:$O$59</definedName>
    <definedName name="_xlnm.Print_Area" localSheetId="1">Inputs!$A$1:$N$112</definedName>
    <definedName name="PRINT1">#REF!</definedName>
    <definedName name="PRINT2">#REF!</definedName>
    <definedName name="PRINTA">#REF!</definedName>
    <definedName name="PRINTB">#REF!</definedName>
    <definedName name="PrintOrder">#REF!</definedName>
    <definedName name="production">#REF!</definedName>
    <definedName name="REFERENCE_DATE">#REF!</definedName>
    <definedName name="REPAY">#REF!</definedName>
    <definedName name="RETURNS">#REF!</definedName>
    <definedName name="REV">#REF!</definedName>
    <definedName name="_REV1">#REF!</definedName>
    <definedName name="_REV2">#REF!</definedName>
    <definedName name="REVA">#REF!</definedName>
    <definedName name="REVB">#REF!</definedName>
    <definedName name="REVC">#REF!</definedName>
    <definedName name="REVD">#REF!</definedName>
    <definedName name="REVE">#REF!</definedName>
    <definedName name="REVENUES">#REF!</definedName>
    <definedName name="RiskType">#REF!</definedName>
    <definedName name="S_P">#REF!</definedName>
    <definedName name="S_U">#REF!</definedName>
    <definedName name="Sale_Date">Inputs!$C$3</definedName>
    <definedName name="Sensitivity3.Select.Box">#REF!</definedName>
    <definedName name="Sensitivity5.Select.Box">#REF!</definedName>
    <definedName name="Set_Calc__s">#REF!</definedName>
    <definedName name="shiftswitch2">#REF!</definedName>
    <definedName name="shiftswitch5">#REF!</definedName>
    <definedName name="ShowAnalyst">#REF!</definedName>
    <definedName name="ShowFileName">#REF!</definedName>
    <definedName name="Sr.Sub3">#REF!</definedName>
    <definedName name="SRSUB">#REF!</definedName>
    <definedName name="SRSUB3">#REF!</definedName>
    <definedName name="SRSUB5">#REF!</definedName>
    <definedName name="SRSUBNAME">#REF!</definedName>
    <definedName name="stress">#REF!</definedName>
    <definedName name="stub">#REF!</definedName>
    <definedName name="TABLE1">#REF!</definedName>
    <definedName name="TABLE1A">#REF!</definedName>
    <definedName name="TABLE5">#REF!</definedName>
    <definedName name="TABLE5A">#REF!</definedName>
    <definedName name="TAX">#REF!</definedName>
    <definedName name="TDATE">#REF!</definedName>
    <definedName name="TL">#REF!</definedName>
    <definedName name="_TL3">#REF!</definedName>
    <definedName name="_TL5">#REF!</definedName>
    <definedName name="TLNAME">#REF!</definedName>
    <definedName name="_4TOTAL_CASH">#REF!</definedName>
    <definedName name="TRANSACTION_FEES">#REF!</definedName>
    <definedName name="TRANSFF">#REF!</definedName>
    <definedName name="unit">#REF!</definedName>
    <definedName name="units">#REF!</definedName>
    <definedName name="VAL">#REF!</definedName>
    <definedName name="ValDate">Inputs!$C$4</definedName>
    <definedName name="VOLUME">#REF!</definedName>
    <definedName name="waitime">#REF!</definedName>
    <definedName name="Warrants">[1]Parms!#REF!</definedName>
    <definedName name="WC">#REF!</definedName>
    <definedName name="WCA">#REF!</definedName>
    <definedName name="wrn.test1." localSheetId="4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6" hidden="1">{"Income Statement",#N/A,FALSE,"CFMODEL";"Balance Sheet",#N/A,FALSE,"CFMODEL"}</definedName>
    <definedName name="wrn.test1." localSheetId="7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4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6" hidden="1">{"SourcesUses",#N/A,TRUE,"CFMODEL";"TransOverview",#N/A,TRUE,"CFMODEL"}</definedName>
    <definedName name="wrn.test2." localSheetId="7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4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6" hidden="1">{"SourcesUses",#N/A,TRUE,#N/A;"TransOverview",#N/A,TRUE,"CFMODEL"}</definedName>
    <definedName name="wrn.test3." localSheetId="7" hidden="1">{"SourcesUses",#N/A,TRUE,#N/A;"TransOverview",#N/A,TRUE,"CFMODEL"}</definedName>
    <definedName name="wrn.test3." hidden="1">{"SourcesUses",#N/A,TRUE,#N/A;"TransOverview",#N/A,TRUE,"CFMODEL"}</definedName>
    <definedName name="wrn.test4." localSheetId="4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6" hidden="1">{"SourcesUses",#N/A,TRUE,"FundsFlow";"TransOverview",#N/A,TRUE,"FundsFlow"}</definedName>
    <definedName name="wrn.test4." localSheetId="7" hidden="1">{"SourcesUses",#N/A,TRUE,"FundsFlow";"TransOverview",#N/A,TRUE,"FundsFlow"}</definedName>
    <definedName name="wrn.test4." hidden="1">{"SourcesUses",#N/A,TRUE,"FundsFlow";"TransOverview",#N/A,TRUE,"FundsFlow"}</definedName>
    <definedName name="YearHeadings">#REF!</definedName>
    <definedName name="ZA0">"Crystal Ball Data : Ver. 4.0"</definedName>
    <definedName name="ZA0C">0+0</definedName>
  </definedNames>
  <calcPr calcId="0"/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E3" i="4"/>
  <c r="F3" i="4"/>
  <c r="G3" i="4"/>
  <c r="H3" i="4"/>
  <c r="I3" i="4"/>
  <c r="J3" i="4"/>
  <c r="K3" i="4"/>
  <c r="L3" i="4"/>
  <c r="M3" i="4"/>
  <c r="N3" i="4"/>
  <c r="O3" i="4"/>
  <c r="A5" i="4"/>
  <c r="E5" i="4"/>
  <c r="F5" i="4"/>
  <c r="G5" i="4"/>
  <c r="H5" i="4"/>
  <c r="I5" i="4"/>
  <c r="J5" i="4"/>
  <c r="K5" i="4"/>
  <c r="L5" i="4"/>
  <c r="M5" i="4"/>
  <c r="N5" i="4"/>
  <c r="A6" i="4"/>
  <c r="E6" i="4"/>
  <c r="F6" i="4"/>
  <c r="G6" i="4"/>
  <c r="H6" i="4"/>
  <c r="I6" i="4"/>
  <c r="J6" i="4"/>
  <c r="K6" i="4"/>
  <c r="L6" i="4"/>
  <c r="M6" i="4"/>
  <c r="N6" i="4"/>
  <c r="A7" i="4"/>
  <c r="E7" i="4"/>
  <c r="F7" i="4"/>
  <c r="G7" i="4"/>
  <c r="H7" i="4"/>
  <c r="I7" i="4"/>
  <c r="J7" i="4"/>
  <c r="K7" i="4"/>
  <c r="L7" i="4"/>
  <c r="M7" i="4"/>
  <c r="N7" i="4"/>
  <c r="A8" i="4"/>
  <c r="E8" i="4"/>
  <c r="F8" i="4"/>
  <c r="G8" i="4"/>
  <c r="H8" i="4"/>
  <c r="I8" i="4"/>
  <c r="J8" i="4"/>
  <c r="K8" i="4"/>
  <c r="L8" i="4"/>
  <c r="M8" i="4"/>
  <c r="N8" i="4"/>
  <c r="A9" i="4"/>
  <c r="E9" i="4"/>
  <c r="F9" i="4"/>
  <c r="G9" i="4"/>
  <c r="H9" i="4"/>
  <c r="I9" i="4"/>
  <c r="J9" i="4"/>
  <c r="K9" i="4"/>
  <c r="L9" i="4"/>
  <c r="M9" i="4"/>
  <c r="N9" i="4"/>
  <c r="A10" i="4"/>
  <c r="E10" i="4"/>
  <c r="F10" i="4"/>
  <c r="G10" i="4"/>
  <c r="H10" i="4"/>
  <c r="I10" i="4"/>
  <c r="J10" i="4"/>
  <c r="K10" i="4"/>
  <c r="L10" i="4"/>
  <c r="M10" i="4"/>
  <c r="N10" i="4"/>
  <c r="A11" i="4"/>
  <c r="E11" i="4"/>
  <c r="F11" i="4"/>
  <c r="G11" i="4"/>
  <c r="H11" i="4"/>
  <c r="I11" i="4"/>
  <c r="J11" i="4"/>
  <c r="K11" i="4"/>
  <c r="L11" i="4"/>
  <c r="M11" i="4"/>
  <c r="N11" i="4"/>
  <c r="A12" i="4"/>
  <c r="E12" i="4"/>
  <c r="F12" i="4"/>
  <c r="G12" i="4"/>
  <c r="H12" i="4"/>
  <c r="I12" i="4"/>
  <c r="J12" i="4"/>
  <c r="K12" i="4"/>
  <c r="L12" i="4"/>
  <c r="M12" i="4"/>
  <c r="N12" i="4"/>
  <c r="A13" i="4"/>
  <c r="E13" i="4"/>
  <c r="F13" i="4"/>
  <c r="G13" i="4"/>
  <c r="H13" i="4"/>
  <c r="I13" i="4"/>
  <c r="J13" i="4"/>
  <c r="K13" i="4"/>
  <c r="L13" i="4"/>
  <c r="M13" i="4"/>
  <c r="N13" i="4"/>
  <c r="A14" i="4"/>
  <c r="E14" i="4"/>
  <c r="F14" i="4"/>
  <c r="G14" i="4"/>
  <c r="H14" i="4"/>
  <c r="I14" i="4"/>
  <c r="J14" i="4"/>
  <c r="K14" i="4"/>
  <c r="L14" i="4"/>
  <c r="M14" i="4"/>
  <c r="N14" i="4"/>
  <c r="E15" i="4"/>
  <c r="F15" i="4"/>
  <c r="G15" i="4"/>
  <c r="H15" i="4"/>
  <c r="I15" i="4"/>
  <c r="J15" i="4"/>
  <c r="K15" i="4"/>
  <c r="L15" i="4"/>
  <c r="M15" i="4"/>
  <c r="N15" i="4"/>
  <c r="E16" i="4"/>
  <c r="F16" i="4"/>
  <c r="G16" i="4"/>
  <c r="H16" i="4"/>
  <c r="I16" i="4"/>
  <c r="J16" i="4"/>
  <c r="K16" i="4"/>
  <c r="L16" i="4"/>
  <c r="M16" i="4"/>
  <c r="N16" i="4"/>
  <c r="E17" i="4"/>
  <c r="F17" i="4"/>
  <c r="G17" i="4"/>
  <c r="H17" i="4"/>
  <c r="I17" i="4"/>
  <c r="J17" i="4"/>
  <c r="K17" i="4"/>
  <c r="L17" i="4"/>
  <c r="M17" i="4"/>
  <c r="N17" i="4"/>
  <c r="A19" i="4"/>
  <c r="E19" i="4"/>
  <c r="F19" i="4"/>
  <c r="G19" i="4"/>
  <c r="H19" i="4"/>
  <c r="I19" i="4"/>
  <c r="J19" i="4"/>
  <c r="K19" i="4"/>
  <c r="L19" i="4"/>
  <c r="M19" i="4"/>
  <c r="N19" i="4"/>
  <c r="A20" i="4"/>
  <c r="E20" i="4"/>
  <c r="F20" i="4"/>
  <c r="G20" i="4"/>
  <c r="H20" i="4"/>
  <c r="I20" i="4"/>
  <c r="J20" i="4"/>
  <c r="K20" i="4"/>
  <c r="L20" i="4"/>
  <c r="M20" i="4"/>
  <c r="N20" i="4"/>
  <c r="A21" i="4"/>
  <c r="E21" i="4"/>
  <c r="F21" i="4"/>
  <c r="G21" i="4"/>
  <c r="H21" i="4"/>
  <c r="I21" i="4"/>
  <c r="J21" i="4"/>
  <c r="K21" i="4"/>
  <c r="L21" i="4"/>
  <c r="M21" i="4"/>
  <c r="N21" i="4"/>
  <c r="A22" i="4"/>
  <c r="E22" i="4"/>
  <c r="F22" i="4"/>
  <c r="G22" i="4"/>
  <c r="H22" i="4"/>
  <c r="I22" i="4"/>
  <c r="J22" i="4"/>
  <c r="K22" i="4"/>
  <c r="L22" i="4"/>
  <c r="M22" i="4"/>
  <c r="N22" i="4"/>
  <c r="A23" i="4"/>
  <c r="E23" i="4"/>
  <c r="F23" i="4"/>
  <c r="G23" i="4"/>
  <c r="H23" i="4"/>
  <c r="I23" i="4"/>
  <c r="J23" i="4"/>
  <c r="K23" i="4"/>
  <c r="L23" i="4"/>
  <c r="M23" i="4"/>
  <c r="N23" i="4"/>
  <c r="A24" i="4"/>
  <c r="E24" i="4"/>
  <c r="F24" i="4"/>
  <c r="G24" i="4"/>
  <c r="H24" i="4"/>
  <c r="I24" i="4"/>
  <c r="J24" i="4"/>
  <c r="K24" i="4"/>
  <c r="L24" i="4"/>
  <c r="M24" i="4"/>
  <c r="N24" i="4"/>
  <c r="A25" i="4"/>
  <c r="E25" i="4"/>
  <c r="F25" i="4"/>
  <c r="G25" i="4"/>
  <c r="H25" i="4"/>
  <c r="I25" i="4"/>
  <c r="J25" i="4"/>
  <c r="K25" i="4"/>
  <c r="L25" i="4"/>
  <c r="M25" i="4"/>
  <c r="N25" i="4"/>
  <c r="A26" i="4"/>
  <c r="E26" i="4"/>
  <c r="F26" i="4"/>
  <c r="G26" i="4"/>
  <c r="H26" i="4"/>
  <c r="I26" i="4"/>
  <c r="J26" i="4"/>
  <c r="K26" i="4"/>
  <c r="L26" i="4"/>
  <c r="M26" i="4"/>
  <c r="N26" i="4"/>
  <c r="A27" i="4"/>
  <c r="E27" i="4"/>
  <c r="F27" i="4"/>
  <c r="G27" i="4"/>
  <c r="H27" i="4"/>
  <c r="I27" i="4"/>
  <c r="J27" i="4"/>
  <c r="K27" i="4"/>
  <c r="L27" i="4"/>
  <c r="M27" i="4"/>
  <c r="N27" i="4"/>
  <c r="E28" i="4"/>
  <c r="F28" i="4"/>
  <c r="G28" i="4"/>
  <c r="H28" i="4"/>
  <c r="I28" i="4"/>
  <c r="J28" i="4"/>
  <c r="K28" i="4"/>
  <c r="L28" i="4"/>
  <c r="M28" i="4"/>
  <c r="N28" i="4"/>
  <c r="E30" i="4"/>
  <c r="F30" i="4"/>
  <c r="G30" i="4"/>
  <c r="H30" i="4"/>
  <c r="I30" i="4"/>
  <c r="J30" i="4"/>
  <c r="K30" i="4"/>
  <c r="L30" i="4"/>
  <c r="M30" i="4"/>
  <c r="N30" i="4"/>
  <c r="E32" i="4"/>
  <c r="F32" i="4"/>
  <c r="G32" i="4"/>
  <c r="H32" i="4"/>
  <c r="I32" i="4"/>
  <c r="J32" i="4"/>
  <c r="K32" i="4"/>
  <c r="L32" i="4"/>
  <c r="M32" i="4"/>
  <c r="N32" i="4"/>
  <c r="E34" i="4"/>
  <c r="F34" i="4"/>
  <c r="G34" i="4"/>
  <c r="H34" i="4"/>
  <c r="I34" i="4"/>
  <c r="J34" i="4"/>
  <c r="K34" i="4"/>
  <c r="L34" i="4"/>
  <c r="M34" i="4"/>
  <c r="N34" i="4"/>
  <c r="E36" i="4"/>
  <c r="F36" i="4"/>
  <c r="G36" i="4"/>
  <c r="H36" i="4"/>
  <c r="I36" i="4"/>
  <c r="J36" i="4"/>
  <c r="K36" i="4"/>
  <c r="L36" i="4"/>
  <c r="M36" i="4"/>
  <c r="N36" i="4"/>
  <c r="E38" i="4"/>
  <c r="F38" i="4"/>
  <c r="G38" i="4"/>
  <c r="H38" i="4"/>
  <c r="I38" i="4"/>
  <c r="J38" i="4"/>
  <c r="K38" i="4"/>
  <c r="L38" i="4"/>
  <c r="M38" i="4"/>
  <c r="N38" i="4"/>
  <c r="E40" i="4"/>
  <c r="F40" i="4"/>
  <c r="G40" i="4"/>
  <c r="H40" i="4"/>
  <c r="I40" i="4"/>
  <c r="J40" i="4"/>
  <c r="K40" i="4"/>
  <c r="L40" i="4"/>
  <c r="M40" i="4"/>
  <c r="N40" i="4"/>
  <c r="E42" i="4"/>
  <c r="F42" i="4"/>
  <c r="G42" i="4"/>
  <c r="H42" i="4"/>
  <c r="I42" i="4"/>
  <c r="J42" i="4"/>
  <c r="K42" i="4"/>
  <c r="L42" i="4"/>
  <c r="M42" i="4"/>
  <c r="N42" i="4"/>
  <c r="E43" i="4"/>
  <c r="F43" i="4"/>
  <c r="G43" i="4"/>
  <c r="H43" i="4"/>
  <c r="I43" i="4"/>
  <c r="J43" i="4"/>
  <c r="K43" i="4"/>
  <c r="L43" i="4"/>
  <c r="M43" i="4"/>
  <c r="N43" i="4"/>
  <c r="E44" i="4"/>
  <c r="F44" i="4"/>
  <c r="G44" i="4"/>
  <c r="H44" i="4"/>
  <c r="I44" i="4"/>
  <c r="J44" i="4"/>
  <c r="K44" i="4"/>
  <c r="L44" i="4"/>
  <c r="M44" i="4"/>
  <c r="N44" i="4"/>
  <c r="E45" i="4"/>
  <c r="F45" i="4"/>
  <c r="G45" i="4"/>
  <c r="H45" i="4"/>
  <c r="I45" i="4"/>
  <c r="J45" i="4"/>
  <c r="K45" i="4"/>
  <c r="L45" i="4"/>
  <c r="M45" i="4"/>
  <c r="N45" i="4"/>
  <c r="E46" i="4"/>
  <c r="F46" i="4"/>
  <c r="G46" i="4"/>
  <c r="H46" i="4"/>
  <c r="I46" i="4"/>
  <c r="J46" i="4"/>
  <c r="K46" i="4"/>
  <c r="L46" i="4"/>
  <c r="M46" i="4"/>
  <c r="N46" i="4"/>
  <c r="E48" i="4"/>
  <c r="F48" i="4"/>
  <c r="G48" i="4"/>
  <c r="H48" i="4"/>
  <c r="I48" i="4"/>
  <c r="J48" i="4"/>
  <c r="K48" i="4"/>
  <c r="L48" i="4"/>
  <c r="M48" i="4"/>
  <c r="N48" i="4"/>
  <c r="E50" i="4"/>
  <c r="F50" i="4"/>
  <c r="G50" i="4"/>
  <c r="H50" i="4"/>
  <c r="I50" i="4"/>
  <c r="J50" i="4"/>
  <c r="K50" i="4"/>
  <c r="L50" i="4"/>
  <c r="M50" i="4"/>
  <c r="N50" i="4"/>
  <c r="E52" i="4"/>
  <c r="F52" i="4"/>
  <c r="G52" i="4"/>
  <c r="H52" i="4"/>
  <c r="I52" i="4"/>
  <c r="J52" i="4"/>
  <c r="K52" i="4"/>
  <c r="L52" i="4"/>
  <c r="M52" i="4"/>
  <c r="N52" i="4"/>
  <c r="O52" i="4"/>
  <c r="G55" i="4"/>
  <c r="G56" i="4"/>
  <c r="G57" i="4"/>
  <c r="A4" i="3"/>
  <c r="E4" i="3"/>
  <c r="A5" i="3"/>
  <c r="B5" i="3"/>
  <c r="E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A6" i="3"/>
  <c r="B6" i="3"/>
  <c r="E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A7" i="3"/>
  <c r="B7" i="3"/>
  <c r="E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A8" i="3"/>
  <c r="B8" i="3"/>
  <c r="E8" i="3"/>
  <c r="A9" i="3"/>
  <c r="B9" i="3"/>
  <c r="E9" i="3"/>
  <c r="A10" i="3"/>
  <c r="B10" i="3"/>
  <c r="E10" i="3"/>
  <c r="A11" i="3"/>
  <c r="B11" i="3"/>
  <c r="E11" i="3"/>
  <c r="A12" i="3"/>
  <c r="B12" i="3"/>
  <c r="E12" i="3"/>
  <c r="A13" i="3"/>
  <c r="B13" i="3"/>
  <c r="E13" i="3"/>
  <c r="A14" i="3"/>
  <c r="B14" i="3"/>
  <c r="E14" i="3"/>
  <c r="A15" i="3"/>
  <c r="B15" i="3"/>
  <c r="E15" i="3"/>
  <c r="A16" i="3"/>
  <c r="B16" i="3"/>
  <c r="E16" i="3"/>
  <c r="A17" i="3"/>
  <c r="B17" i="3"/>
  <c r="E17" i="3"/>
  <c r="A18" i="3"/>
  <c r="B18" i="3"/>
  <c r="E18" i="3"/>
  <c r="A19" i="3"/>
  <c r="B19" i="3"/>
  <c r="E19" i="3"/>
  <c r="A20" i="3"/>
  <c r="B20" i="3"/>
  <c r="E20" i="3"/>
  <c r="A21" i="3"/>
  <c r="B21" i="3"/>
  <c r="E21" i="3"/>
  <c r="A22" i="3"/>
  <c r="B22" i="3"/>
  <c r="E22" i="3"/>
  <c r="A23" i="3"/>
  <c r="B23" i="3"/>
  <c r="E23" i="3"/>
  <c r="A24" i="3"/>
  <c r="B24" i="3"/>
  <c r="E24" i="3"/>
  <c r="A25" i="3"/>
  <c r="B25" i="3"/>
  <c r="E25" i="3"/>
  <c r="A26" i="3"/>
  <c r="B26" i="3"/>
  <c r="E26" i="3"/>
  <c r="A27" i="3"/>
  <c r="B27" i="3"/>
  <c r="E27" i="3"/>
  <c r="A28" i="3"/>
  <c r="B28" i="3"/>
  <c r="E28" i="3"/>
  <c r="A29" i="3"/>
  <c r="B29" i="3"/>
  <c r="E29" i="3"/>
  <c r="A30" i="3"/>
  <c r="B30" i="3"/>
  <c r="E30" i="3"/>
  <c r="A31" i="3"/>
  <c r="B31" i="3"/>
  <c r="E31" i="3"/>
  <c r="A32" i="3"/>
  <c r="B32" i="3"/>
  <c r="E32" i="3"/>
  <c r="A33" i="3"/>
  <c r="B33" i="3"/>
  <c r="E33" i="3"/>
  <c r="A34" i="3"/>
  <c r="B34" i="3"/>
  <c r="E34" i="3"/>
  <c r="A35" i="3"/>
  <c r="B35" i="3"/>
  <c r="E35" i="3"/>
  <c r="A36" i="3"/>
  <c r="B36" i="3"/>
  <c r="E36" i="3"/>
  <c r="A37" i="3"/>
  <c r="B37" i="3"/>
  <c r="E37" i="3"/>
  <c r="A38" i="3"/>
  <c r="B38" i="3"/>
  <c r="E38" i="3"/>
  <c r="A39" i="3"/>
  <c r="B39" i="3"/>
  <c r="E39" i="3"/>
  <c r="A40" i="3"/>
  <c r="B40" i="3"/>
  <c r="E40" i="3"/>
  <c r="A41" i="3"/>
  <c r="B41" i="3"/>
  <c r="E41" i="3"/>
  <c r="A42" i="3"/>
  <c r="B42" i="3"/>
  <c r="E42" i="3"/>
  <c r="A43" i="3"/>
  <c r="B43" i="3"/>
  <c r="E43" i="3"/>
  <c r="A44" i="3"/>
  <c r="B44" i="3"/>
  <c r="E44" i="3"/>
  <c r="A45" i="3"/>
  <c r="B45" i="3"/>
  <c r="E45" i="3"/>
  <c r="A46" i="3"/>
  <c r="B46" i="3"/>
  <c r="E46" i="3"/>
  <c r="A47" i="3"/>
  <c r="B47" i="3"/>
  <c r="E47" i="3"/>
  <c r="A48" i="3"/>
  <c r="B48" i="3"/>
  <c r="E48" i="3"/>
  <c r="A49" i="3"/>
  <c r="B49" i="3"/>
  <c r="E49" i="3"/>
  <c r="A50" i="3"/>
  <c r="B50" i="3"/>
  <c r="E50" i="3"/>
  <c r="A51" i="3"/>
  <c r="B51" i="3"/>
  <c r="E51" i="3"/>
  <c r="A52" i="3"/>
  <c r="B52" i="3"/>
  <c r="E52" i="3"/>
  <c r="A53" i="3"/>
  <c r="B53" i="3"/>
  <c r="E53" i="3"/>
  <c r="A54" i="3"/>
  <c r="B54" i="3"/>
  <c r="E54" i="3"/>
  <c r="A55" i="3"/>
  <c r="B55" i="3"/>
  <c r="E55" i="3"/>
  <c r="A56" i="3"/>
  <c r="B56" i="3"/>
  <c r="E56" i="3"/>
  <c r="A57" i="3"/>
  <c r="B57" i="3"/>
  <c r="E57" i="3"/>
  <c r="A58" i="3"/>
  <c r="B58" i="3"/>
  <c r="E58" i="3"/>
  <c r="A59" i="3"/>
  <c r="B59" i="3"/>
  <c r="E59" i="3"/>
  <c r="A60" i="3"/>
  <c r="B60" i="3"/>
  <c r="E60" i="3"/>
  <c r="A61" i="3"/>
  <c r="B61" i="3"/>
  <c r="E61" i="3"/>
  <c r="A62" i="3"/>
  <c r="B62" i="3"/>
  <c r="E62" i="3"/>
  <c r="A63" i="3"/>
  <c r="B63" i="3"/>
  <c r="E63" i="3"/>
  <c r="A64" i="3"/>
  <c r="B64" i="3"/>
  <c r="E64" i="3"/>
  <c r="A65" i="3"/>
  <c r="B65" i="3"/>
  <c r="E65" i="3"/>
  <c r="A66" i="3"/>
  <c r="B66" i="3"/>
  <c r="E66" i="3"/>
  <c r="A67" i="3"/>
  <c r="B67" i="3"/>
  <c r="E67" i="3"/>
  <c r="A68" i="3"/>
  <c r="B68" i="3"/>
  <c r="E68" i="3"/>
  <c r="A69" i="3"/>
  <c r="B69" i="3"/>
  <c r="E69" i="3"/>
  <c r="A70" i="3"/>
  <c r="B70" i="3"/>
  <c r="E70" i="3"/>
  <c r="A71" i="3"/>
  <c r="B71" i="3"/>
  <c r="E71" i="3"/>
  <c r="A72" i="3"/>
  <c r="B72" i="3"/>
  <c r="E72" i="3"/>
  <c r="A73" i="3"/>
  <c r="B73" i="3"/>
  <c r="E73" i="3"/>
  <c r="A74" i="3"/>
  <c r="B74" i="3"/>
  <c r="E74" i="3"/>
  <c r="A75" i="3"/>
  <c r="B75" i="3"/>
  <c r="E75" i="3"/>
  <c r="A76" i="3"/>
  <c r="B76" i="3"/>
  <c r="E76" i="3"/>
  <c r="A77" i="3"/>
  <c r="B77" i="3"/>
  <c r="E77" i="3"/>
  <c r="A78" i="3"/>
  <c r="B78" i="3"/>
  <c r="E78" i="3"/>
  <c r="A79" i="3"/>
  <c r="B79" i="3"/>
  <c r="E79" i="3"/>
  <c r="A80" i="3"/>
  <c r="B80" i="3"/>
  <c r="E80" i="3"/>
  <c r="A81" i="3"/>
  <c r="B81" i="3"/>
  <c r="E81" i="3"/>
  <c r="A82" i="3"/>
  <c r="B82" i="3"/>
  <c r="E82" i="3"/>
  <c r="A83" i="3"/>
  <c r="B83" i="3"/>
  <c r="E83" i="3"/>
  <c r="A84" i="3"/>
  <c r="B84" i="3"/>
  <c r="E84" i="3"/>
  <c r="A85" i="3"/>
  <c r="B85" i="3"/>
  <c r="E85" i="3"/>
  <c r="A86" i="3"/>
  <c r="B86" i="3"/>
  <c r="E86" i="3"/>
  <c r="A87" i="3"/>
  <c r="B87" i="3"/>
  <c r="E87" i="3"/>
  <c r="A88" i="3"/>
  <c r="B88" i="3"/>
  <c r="E88" i="3"/>
  <c r="A89" i="3"/>
  <c r="B89" i="3"/>
  <c r="E89" i="3"/>
  <c r="A90" i="3"/>
  <c r="B90" i="3"/>
  <c r="E90" i="3"/>
  <c r="A91" i="3"/>
  <c r="B91" i="3"/>
  <c r="E91" i="3"/>
  <c r="A92" i="3"/>
  <c r="B92" i="3"/>
  <c r="E92" i="3"/>
  <c r="A93" i="3"/>
  <c r="B93" i="3"/>
  <c r="E93" i="3"/>
  <c r="A94" i="3"/>
  <c r="B94" i="3"/>
  <c r="E94" i="3"/>
  <c r="A95" i="3"/>
  <c r="B95" i="3"/>
  <c r="E95" i="3"/>
  <c r="A96" i="3"/>
  <c r="B96" i="3"/>
  <c r="E96" i="3"/>
  <c r="A97" i="3"/>
  <c r="B97" i="3"/>
  <c r="E97" i="3"/>
  <c r="A98" i="3"/>
  <c r="B98" i="3"/>
  <c r="E98" i="3"/>
  <c r="A99" i="3"/>
  <c r="B99" i="3"/>
  <c r="E99" i="3"/>
  <c r="A100" i="3"/>
  <c r="B100" i="3"/>
  <c r="E100" i="3"/>
  <c r="A101" i="3"/>
  <c r="B101" i="3"/>
  <c r="E101" i="3"/>
  <c r="A102" i="3"/>
  <c r="B102" i="3"/>
  <c r="E102" i="3"/>
  <c r="A103" i="3"/>
  <c r="B103" i="3"/>
  <c r="E103" i="3"/>
  <c r="A104" i="3"/>
  <c r="B104" i="3"/>
  <c r="E104" i="3"/>
  <c r="A105" i="3"/>
  <c r="B105" i="3"/>
  <c r="E105" i="3"/>
  <c r="A106" i="3"/>
  <c r="B106" i="3"/>
  <c r="E106" i="3"/>
  <c r="A107" i="3"/>
  <c r="B107" i="3"/>
  <c r="E107" i="3"/>
  <c r="A108" i="3"/>
  <c r="B108" i="3"/>
  <c r="E108" i="3"/>
  <c r="A109" i="3"/>
  <c r="B109" i="3"/>
  <c r="E109" i="3"/>
  <c r="A110" i="3"/>
  <c r="B110" i="3"/>
  <c r="E110" i="3"/>
  <c r="A111" i="3"/>
  <c r="B111" i="3"/>
  <c r="E111" i="3"/>
  <c r="A112" i="3"/>
  <c r="B112" i="3"/>
  <c r="E112" i="3"/>
  <c r="A113" i="3"/>
  <c r="B113" i="3"/>
  <c r="E113" i="3"/>
  <c r="A114" i="3"/>
  <c r="B114" i="3"/>
  <c r="E114" i="3"/>
  <c r="A115" i="3"/>
  <c r="B115" i="3"/>
  <c r="E115" i="3"/>
  <c r="A116" i="3"/>
  <c r="B116" i="3"/>
  <c r="E116" i="3"/>
  <c r="A117" i="3"/>
  <c r="B117" i="3"/>
  <c r="E117" i="3"/>
  <c r="A118" i="3"/>
  <c r="B118" i="3"/>
  <c r="E118" i="3"/>
  <c r="A119" i="3"/>
  <c r="B119" i="3"/>
  <c r="E119" i="3"/>
  <c r="A120" i="3"/>
  <c r="B120" i="3"/>
  <c r="E120" i="3"/>
  <c r="A121" i="3"/>
  <c r="B121" i="3"/>
  <c r="E121" i="3"/>
  <c r="A122" i="3"/>
  <c r="B122" i="3"/>
  <c r="E122" i="3"/>
  <c r="A123" i="3"/>
  <c r="B123" i="3"/>
  <c r="E123" i="3"/>
  <c r="A124" i="3"/>
  <c r="B124" i="3"/>
  <c r="E124" i="3"/>
  <c r="A125" i="3"/>
  <c r="B125" i="3"/>
  <c r="E125" i="3"/>
  <c r="A126" i="3"/>
  <c r="B126" i="3"/>
  <c r="E126" i="3"/>
  <c r="A127" i="3"/>
  <c r="B127" i="3"/>
  <c r="E127" i="3"/>
  <c r="A128" i="3"/>
  <c r="B128" i="3"/>
  <c r="E128" i="3"/>
  <c r="A129" i="3"/>
  <c r="B129" i="3"/>
  <c r="E129" i="3"/>
  <c r="A130" i="3"/>
  <c r="B130" i="3"/>
  <c r="E130" i="3"/>
  <c r="A131" i="3"/>
  <c r="B131" i="3"/>
  <c r="E131" i="3"/>
  <c r="A132" i="3"/>
  <c r="B132" i="3"/>
  <c r="E132" i="3"/>
  <c r="A133" i="3"/>
  <c r="B133" i="3"/>
  <c r="E133" i="3"/>
  <c r="A134" i="3"/>
  <c r="B134" i="3"/>
  <c r="E134" i="3"/>
  <c r="A135" i="3"/>
  <c r="B135" i="3"/>
  <c r="E135" i="3"/>
  <c r="A136" i="3"/>
  <c r="B136" i="3"/>
  <c r="E136" i="3"/>
  <c r="A137" i="3"/>
  <c r="B137" i="3"/>
  <c r="E137" i="3"/>
  <c r="A138" i="3"/>
  <c r="B138" i="3"/>
  <c r="E138" i="3"/>
  <c r="A139" i="3"/>
  <c r="B139" i="3"/>
  <c r="E139" i="3"/>
  <c r="A140" i="3"/>
  <c r="B140" i="3"/>
  <c r="E140" i="3"/>
  <c r="A141" i="3"/>
  <c r="B141" i="3"/>
  <c r="E141" i="3"/>
  <c r="A142" i="3"/>
  <c r="B142" i="3"/>
  <c r="E142" i="3"/>
  <c r="A143" i="3"/>
  <c r="B143" i="3"/>
  <c r="E143" i="3"/>
  <c r="A144" i="3"/>
  <c r="B144" i="3"/>
  <c r="E144" i="3"/>
  <c r="A145" i="3"/>
  <c r="B145" i="3"/>
  <c r="E145" i="3"/>
  <c r="A146" i="3"/>
  <c r="B146" i="3"/>
  <c r="E146" i="3"/>
  <c r="A147" i="3"/>
  <c r="B147" i="3"/>
  <c r="E147" i="3"/>
  <c r="A148" i="3"/>
  <c r="B148" i="3"/>
  <c r="E148" i="3"/>
  <c r="A149" i="3"/>
  <c r="B149" i="3"/>
  <c r="E149" i="3"/>
  <c r="A150" i="3"/>
  <c r="B150" i="3"/>
  <c r="E150" i="3"/>
  <c r="A151" i="3"/>
  <c r="B151" i="3"/>
  <c r="E151" i="3"/>
  <c r="A152" i="3"/>
  <c r="B152" i="3"/>
  <c r="E152" i="3"/>
  <c r="A153" i="3"/>
  <c r="B153" i="3"/>
  <c r="E153" i="3"/>
  <c r="A154" i="3"/>
  <c r="B154" i="3"/>
  <c r="E154" i="3"/>
  <c r="A155" i="3"/>
  <c r="B155" i="3"/>
  <c r="E155" i="3"/>
  <c r="A156" i="3"/>
  <c r="B156" i="3"/>
  <c r="E156" i="3"/>
  <c r="A157" i="3"/>
  <c r="B157" i="3"/>
  <c r="E157" i="3"/>
  <c r="A158" i="3"/>
  <c r="B158" i="3"/>
  <c r="E158" i="3"/>
  <c r="A159" i="3"/>
  <c r="B159" i="3"/>
  <c r="E159" i="3"/>
  <c r="A160" i="3"/>
  <c r="B160" i="3"/>
  <c r="E160" i="3"/>
  <c r="A161" i="3"/>
  <c r="B161" i="3"/>
  <c r="E161" i="3"/>
  <c r="A162" i="3"/>
  <c r="B162" i="3"/>
  <c r="E162" i="3"/>
  <c r="A163" i="3"/>
  <c r="B163" i="3"/>
  <c r="E163" i="3"/>
  <c r="A164" i="3"/>
  <c r="B164" i="3"/>
  <c r="E164" i="3"/>
  <c r="A165" i="3"/>
  <c r="B165" i="3"/>
  <c r="E165" i="3"/>
  <c r="A166" i="3"/>
  <c r="B166" i="3"/>
  <c r="E166" i="3"/>
  <c r="A167" i="3"/>
  <c r="B167" i="3"/>
  <c r="E167" i="3"/>
  <c r="A168" i="3"/>
  <c r="B168" i="3"/>
  <c r="E168" i="3"/>
  <c r="A169" i="3"/>
  <c r="B169" i="3"/>
  <c r="E169" i="3"/>
  <c r="A170" i="3"/>
  <c r="B170" i="3"/>
  <c r="E170" i="3"/>
  <c r="A171" i="3"/>
  <c r="B171" i="3"/>
  <c r="E171" i="3"/>
  <c r="A172" i="3"/>
  <c r="B172" i="3"/>
  <c r="E172" i="3"/>
  <c r="A173" i="3"/>
  <c r="B173" i="3"/>
  <c r="E173" i="3"/>
  <c r="A174" i="3"/>
  <c r="B174" i="3"/>
  <c r="E174" i="3"/>
  <c r="A175" i="3"/>
  <c r="B175" i="3"/>
  <c r="E175" i="3"/>
  <c r="A176" i="3"/>
  <c r="B176" i="3"/>
  <c r="E176" i="3"/>
  <c r="A177" i="3"/>
  <c r="B177" i="3"/>
  <c r="E177" i="3"/>
  <c r="A178" i="3"/>
  <c r="B178" i="3"/>
  <c r="E178" i="3"/>
  <c r="A179" i="3"/>
  <c r="B179" i="3"/>
  <c r="E179" i="3"/>
  <c r="A180" i="3"/>
  <c r="B180" i="3"/>
  <c r="E180" i="3"/>
  <c r="A181" i="3"/>
  <c r="B181" i="3"/>
  <c r="E181" i="3"/>
  <c r="A182" i="3"/>
  <c r="B182" i="3"/>
  <c r="E182" i="3"/>
  <c r="A183" i="3"/>
  <c r="B183" i="3"/>
  <c r="E183" i="3"/>
  <c r="A184" i="3"/>
  <c r="B184" i="3"/>
  <c r="E184" i="3"/>
  <c r="A185" i="3"/>
  <c r="B185" i="3"/>
  <c r="E185" i="3"/>
  <c r="A186" i="3"/>
  <c r="B186" i="3"/>
  <c r="E186" i="3"/>
  <c r="A187" i="3"/>
  <c r="B187" i="3"/>
  <c r="E187" i="3"/>
  <c r="A188" i="3"/>
  <c r="B188" i="3"/>
  <c r="E188" i="3"/>
  <c r="A189" i="3"/>
  <c r="B189" i="3"/>
  <c r="E189" i="3"/>
  <c r="A190" i="3"/>
  <c r="B190" i="3"/>
  <c r="E190" i="3"/>
  <c r="A191" i="3"/>
  <c r="B191" i="3"/>
  <c r="E191" i="3"/>
  <c r="A192" i="3"/>
  <c r="B192" i="3"/>
  <c r="E192" i="3"/>
  <c r="A193" i="3"/>
  <c r="B193" i="3"/>
  <c r="E193" i="3"/>
  <c r="A194" i="3"/>
  <c r="B194" i="3"/>
  <c r="E194" i="3"/>
  <c r="A195" i="3"/>
  <c r="B195" i="3"/>
  <c r="E195" i="3"/>
  <c r="A196" i="3"/>
  <c r="B196" i="3"/>
  <c r="E196" i="3"/>
  <c r="A197" i="3"/>
  <c r="B197" i="3"/>
  <c r="E197" i="3"/>
  <c r="A198" i="3"/>
  <c r="B198" i="3"/>
  <c r="E198" i="3"/>
  <c r="A199" i="3"/>
  <c r="B199" i="3"/>
  <c r="E199" i="3"/>
  <c r="A200" i="3"/>
  <c r="B200" i="3"/>
  <c r="E200" i="3"/>
  <c r="A201" i="3"/>
  <c r="B201" i="3"/>
  <c r="E201" i="3"/>
  <c r="A202" i="3"/>
  <c r="B202" i="3"/>
  <c r="E202" i="3"/>
  <c r="A203" i="3"/>
  <c r="B203" i="3"/>
  <c r="E203" i="3"/>
  <c r="A204" i="3"/>
  <c r="B204" i="3"/>
  <c r="E204" i="3"/>
  <c r="A205" i="3"/>
  <c r="B205" i="3"/>
  <c r="E205" i="3"/>
  <c r="A206" i="3"/>
  <c r="B206" i="3"/>
  <c r="E206" i="3"/>
  <c r="A207" i="3"/>
  <c r="B207" i="3"/>
  <c r="E207" i="3"/>
  <c r="A208" i="3"/>
  <c r="B208" i="3"/>
  <c r="E208" i="3"/>
  <c r="A209" i="3"/>
  <c r="B209" i="3"/>
  <c r="E209" i="3"/>
  <c r="A210" i="3"/>
  <c r="B210" i="3"/>
  <c r="E210" i="3"/>
  <c r="A211" i="3"/>
  <c r="B211" i="3"/>
  <c r="E211" i="3"/>
  <c r="A212" i="3"/>
  <c r="B212" i="3"/>
  <c r="E212" i="3"/>
  <c r="A213" i="3"/>
  <c r="B213" i="3"/>
  <c r="E213" i="3"/>
  <c r="A214" i="3"/>
  <c r="B214" i="3"/>
  <c r="E214" i="3"/>
  <c r="A215" i="3"/>
  <c r="B215" i="3"/>
  <c r="E215" i="3"/>
  <c r="A216" i="3"/>
  <c r="B216" i="3"/>
  <c r="E216" i="3"/>
  <c r="A217" i="3"/>
  <c r="B217" i="3"/>
  <c r="E217" i="3"/>
  <c r="A218" i="3"/>
  <c r="B218" i="3"/>
  <c r="E218" i="3"/>
  <c r="A219" i="3"/>
  <c r="B219" i="3"/>
  <c r="E219" i="3"/>
  <c r="A220" i="3"/>
  <c r="B220" i="3"/>
  <c r="E220" i="3"/>
  <c r="A221" i="3"/>
  <c r="B221" i="3"/>
  <c r="E221" i="3"/>
  <c r="A222" i="3"/>
  <c r="B222" i="3"/>
  <c r="E222" i="3"/>
  <c r="A223" i="3"/>
  <c r="B223" i="3"/>
  <c r="E223" i="3"/>
  <c r="A224" i="3"/>
  <c r="B224" i="3"/>
  <c r="E224" i="3"/>
  <c r="A225" i="3"/>
  <c r="B225" i="3"/>
  <c r="E225" i="3"/>
  <c r="A226" i="3"/>
  <c r="B226" i="3"/>
  <c r="E226" i="3"/>
  <c r="A227" i="3"/>
  <c r="B227" i="3"/>
  <c r="E227" i="3"/>
  <c r="A228" i="3"/>
  <c r="B228" i="3"/>
  <c r="E228" i="3"/>
  <c r="A229" i="3"/>
  <c r="B229" i="3"/>
  <c r="E229" i="3"/>
  <c r="A230" i="3"/>
  <c r="B230" i="3"/>
  <c r="E230" i="3"/>
  <c r="A231" i="3"/>
  <c r="B231" i="3"/>
  <c r="E231" i="3"/>
  <c r="A232" i="3"/>
  <c r="B232" i="3"/>
  <c r="E232" i="3"/>
  <c r="A233" i="3"/>
  <c r="B233" i="3"/>
  <c r="E233" i="3"/>
  <c r="A234" i="3"/>
  <c r="B234" i="3"/>
  <c r="E234" i="3"/>
  <c r="A235" i="3"/>
  <c r="B235" i="3"/>
  <c r="E235" i="3"/>
  <c r="A236" i="3"/>
  <c r="B236" i="3"/>
  <c r="E236" i="3"/>
  <c r="A237" i="3"/>
  <c r="B237" i="3"/>
  <c r="E237" i="3"/>
  <c r="A238" i="3"/>
  <c r="B238" i="3"/>
  <c r="E238" i="3"/>
  <c r="A239" i="3"/>
  <c r="B239" i="3"/>
  <c r="E239" i="3"/>
  <c r="A240" i="3"/>
  <c r="B240" i="3"/>
  <c r="E240" i="3"/>
  <c r="A241" i="3"/>
  <c r="B241" i="3"/>
  <c r="E241" i="3"/>
  <c r="A242" i="3"/>
  <c r="B242" i="3"/>
  <c r="E242" i="3"/>
  <c r="A243" i="3"/>
  <c r="B243" i="3"/>
  <c r="E243" i="3"/>
  <c r="A244" i="3"/>
  <c r="B244" i="3"/>
  <c r="E244" i="3"/>
  <c r="A245" i="3"/>
  <c r="B245" i="3"/>
  <c r="E245" i="3"/>
  <c r="A246" i="3"/>
  <c r="B246" i="3"/>
  <c r="E246" i="3"/>
  <c r="A247" i="3"/>
  <c r="B247" i="3"/>
  <c r="E247" i="3"/>
  <c r="A248" i="3"/>
  <c r="B248" i="3"/>
  <c r="E248" i="3"/>
  <c r="A249" i="3"/>
  <c r="B249" i="3"/>
  <c r="E249" i="3"/>
  <c r="A250" i="3"/>
  <c r="B250" i="3"/>
  <c r="E250" i="3"/>
  <c r="A251" i="3"/>
  <c r="B251" i="3"/>
  <c r="E251" i="3"/>
  <c r="A252" i="3"/>
  <c r="B252" i="3"/>
  <c r="E252" i="3"/>
  <c r="A253" i="3"/>
  <c r="B253" i="3"/>
  <c r="E253" i="3"/>
  <c r="A254" i="3"/>
  <c r="B254" i="3"/>
  <c r="E254" i="3"/>
  <c r="A255" i="3"/>
  <c r="B255" i="3"/>
  <c r="E255" i="3"/>
  <c r="A256" i="3"/>
  <c r="B256" i="3"/>
  <c r="E256" i="3"/>
  <c r="A257" i="3"/>
  <c r="B257" i="3"/>
  <c r="E257" i="3"/>
  <c r="A258" i="3"/>
  <c r="B258" i="3"/>
  <c r="E258" i="3"/>
  <c r="A259" i="3"/>
  <c r="B259" i="3"/>
  <c r="E259" i="3"/>
  <c r="A260" i="3"/>
  <c r="B260" i="3"/>
  <c r="E260" i="3"/>
  <c r="A261" i="3"/>
  <c r="B261" i="3"/>
  <c r="E261" i="3"/>
  <c r="A262" i="3"/>
  <c r="B262" i="3"/>
  <c r="E262" i="3"/>
  <c r="A263" i="3"/>
  <c r="B263" i="3"/>
  <c r="E263" i="3"/>
  <c r="A264" i="3"/>
  <c r="B264" i="3"/>
  <c r="E264" i="3"/>
  <c r="A265" i="3"/>
  <c r="B265" i="3"/>
  <c r="E265" i="3"/>
  <c r="A266" i="3"/>
  <c r="B266" i="3"/>
  <c r="E266" i="3"/>
  <c r="A267" i="3"/>
  <c r="B267" i="3"/>
  <c r="E267" i="3"/>
  <c r="A268" i="3"/>
  <c r="B268" i="3"/>
  <c r="E268" i="3"/>
  <c r="A269" i="3"/>
  <c r="B269" i="3"/>
  <c r="E269" i="3"/>
  <c r="A270" i="3"/>
  <c r="B270" i="3"/>
  <c r="E270" i="3"/>
  <c r="A271" i="3"/>
  <c r="B271" i="3"/>
  <c r="E271" i="3"/>
  <c r="A272" i="3"/>
  <c r="B272" i="3"/>
  <c r="E272" i="3"/>
  <c r="A273" i="3"/>
  <c r="B273" i="3"/>
  <c r="E273" i="3"/>
  <c r="A274" i="3"/>
  <c r="B274" i="3"/>
  <c r="E274" i="3"/>
  <c r="A275" i="3"/>
  <c r="B275" i="3"/>
  <c r="E275" i="3"/>
  <c r="A276" i="3"/>
  <c r="B276" i="3"/>
  <c r="E276" i="3"/>
  <c r="A277" i="3"/>
  <c r="B277" i="3"/>
  <c r="E277" i="3"/>
  <c r="A278" i="3"/>
  <c r="B278" i="3"/>
  <c r="E278" i="3"/>
  <c r="A279" i="3"/>
  <c r="B279" i="3"/>
  <c r="E279" i="3"/>
  <c r="A280" i="3"/>
  <c r="B280" i="3"/>
  <c r="E280" i="3"/>
  <c r="A281" i="3"/>
  <c r="B281" i="3"/>
  <c r="E281" i="3"/>
  <c r="A282" i="3"/>
  <c r="B282" i="3"/>
  <c r="E282" i="3"/>
  <c r="A283" i="3"/>
  <c r="B283" i="3"/>
  <c r="E283" i="3"/>
  <c r="A284" i="3"/>
  <c r="B284" i="3"/>
  <c r="E284" i="3"/>
  <c r="A285" i="3"/>
  <c r="B285" i="3"/>
  <c r="E285" i="3"/>
  <c r="A286" i="3"/>
  <c r="B286" i="3"/>
  <c r="E286" i="3"/>
  <c r="A287" i="3"/>
  <c r="B287" i="3"/>
  <c r="E287" i="3"/>
  <c r="A288" i="3"/>
  <c r="B288" i="3"/>
  <c r="E288" i="3"/>
  <c r="A289" i="3"/>
  <c r="B289" i="3"/>
  <c r="E289" i="3"/>
  <c r="A290" i="3"/>
  <c r="B290" i="3"/>
  <c r="E290" i="3"/>
  <c r="A291" i="3"/>
  <c r="B291" i="3"/>
  <c r="E291" i="3"/>
  <c r="A292" i="3"/>
  <c r="B292" i="3"/>
  <c r="E292" i="3"/>
  <c r="A293" i="3"/>
  <c r="B293" i="3"/>
  <c r="E293" i="3"/>
  <c r="A294" i="3"/>
  <c r="B294" i="3"/>
  <c r="E294" i="3"/>
  <c r="A295" i="3"/>
  <c r="B295" i="3"/>
  <c r="E295" i="3"/>
  <c r="A296" i="3"/>
  <c r="B296" i="3"/>
  <c r="E296" i="3"/>
  <c r="A297" i="3"/>
  <c r="B297" i="3"/>
  <c r="E297" i="3"/>
  <c r="A298" i="3"/>
  <c r="B298" i="3"/>
  <c r="E298" i="3"/>
  <c r="A299" i="3"/>
  <c r="B299" i="3"/>
  <c r="E299" i="3"/>
  <c r="A300" i="3"/>
  <c r="B300" i="3"/>
  <c r="E300" i="3"/>
  <c r="A301" i="3"/>
  <c r="B301" i="3"/>
  <c r="E301" i="3"/>
  <c r="A302" i="3"/>
  <c r="B302" i="3"/>
  <c r="E302" i="3"/>
  <c r="A303" i="3"/>
  <c r="B303" i="3"/>
  <c r="E303" i="3"/>
  <c r="A304" i="3"/>
  <c r="B304" i="3"/>
  <c r="E304" i="3"/>
  <c r="A305" i="3"/>
  <c r="B305" i="3"/>
  <c r="E305" i="3"/>
  <c r="A306" i="3"/>
  <c r="B306" i="3"/>
  <c r="E306" i="3"/>
  <c r="A307" i="3"/>
  <c r="B307" i="3"/>
  <c r="E307" i="3"/>
  <c r="A308" i="3"/>
  <c r="B308" i="3"/>
  <c r="E308" i="3"/>
  <c r="A309" i="3"/>
  <c r="B309" i="3"/>
  <c r="E309" i="3"/>
  <c r="A310" i="3"/>
  <c r="B310" i="3"/>
  <c r="E310" i="3"/>
  <c r="A311" i="3"/>
  <c r="B311" i="3"/>
  <c r="E311" i="3"/>
  <c r="A312" i="3"/>
  <c r="B312" i="3"/>
  <c r="E312" i="3"/>
  <c r="A313" i="3"/>
  <c r="B313" i="3"/>
  <c r="E313" i="3"/>
  <c r="A314" i="3"/>
  <c r="B314" i="3"/>
  <c r="E314" i="3"/>
  <c r="A315" i="3"/>
  <c r="B315" i="3"/>
  <c r="E315" i="3"/>
  <c r="A316" i="3"/>
  <c r="B316" i="3"/>
  <c r="E316" i="3"/>
  <c r="A317" i="3"/>
  <c r="B317" i="3"/>
  <c r="E317" i="3"/>
  <c r="A318" i="3"/>
  <c r="B318" i="3"/>
  <c r="E318" i="3"/>
  <c r="A319" i="3"/>
  <c r="B319" i="3"/>
  <c r="E319" i="3"/>
  <c r="A320" i="3"/>
  <c r="B320" i="3"/>
  <c r="E320" i="3"/>
  <c r="A321" i="3"/>
  <c r="B321" i="3"/>
  <c r="E321" i="3"/>
  <c r="A322" i="3"/>
  <c r="B322" i="3"/>
  <c r="E322" i="3"/>
  <c r="A323" i="3"/>
  <c r="B323" i="3"/>
  <c r="E323" i="3"/>
  <c r="A324" i="3"/>
  <c r="B324" i="3"/>
  <c r="E324" i="3"/>
  <c r="A325" i="3"/>
  <c r="B325" i="3"/>
  <c r="E325" i="3"/>
  <c r="A326" i="3"/>
  <c r="B326" i="3"/>
  <c r="E326" i="3"/>
  <c r="A327" i="3"/>
  <c r="B327" i="3"/>
  <c r="E327" i="3"/>
  <c r="A328" i="3"/>
  <c r="B328" i="3"/>
  <c r="E328" i="3"/>
  <c r="A329" i="3"/>
  <c r="B329" i="3"/>
  <c r="E329" i="3"/>
  <c r="A330" i="3"/>
  <c r="B330" i="3"/>
  <c r="E330" i="3"/>
  <c r="A331" i="3"/>
  <c r="B331" i="3"/>
  <c r="E331" i="3"/>
  <c r="A332" i="3"/>
  <c r="B332" i="3"/>
  <c r="E332" i="3"/>
  <c r="A333" i="3"/>
  <c r="B333" i="3"/>
  <c r="E333" i="3"/>
  <c r="A334" i="3"/>
  <c r="B334" i="3"/>
  <c r="E334" i="3"/>
  <c r="A335" i="3"/>
  <c r="B335" i="3"/>
  <c r="E335" i="3"/>
  <c r="A336" i="3"/>
  <c r="B336" i="3"/>
  <c r="E336" i="3"/>
  <c r="A337" i="3"/>
  <c r="B337" i="3"/>
  <c r="E337" i="3"/>
  <c r="A338" i="3"/>
  <c r="B338" i="3"/>
  <c r="E338" i="3"/>
  <c r="A339" i="3"/>
  <c r="B339" i="3"/>
  <c r="E339" i="3"/>
  <c r="A340" i="3"/>
  <c r="B340" i="3"/>
  <c r="E340" i="3"/>
  <c r="A341" i="3"/>
  <c r="B341" i="3"/>
  <c r="E341" i="3"/>
  <c r="A342" i="3"/>
  <c r="B342" i="3"/>
  <c r="E342" i="3"/>
  <c r="A343" i="3"/>
  <c r="B343" i="3"/>
  <c r="E343" i="3"/>
  <c r="A344" i="3"/>
  <c r="B344" i="3"/>
  <c r="E344" i="3"/>
  <c r="A345" i="3"/>
  <c r="B345" i="3"/>
  <c r="E345" i="3"/>
  <c r="A346" i="3"/>
  <c r="B346" i="3"/>
  <c r="E346" i="3"/>
  <c r="A347" i="3"/>
  <c r="B347" i="3"/>
  <c r="E347" i="3"/>
  <c r="E348" i="3"/>
  <c r="E349" i="3"/>
  <c r="E350" i="3"/>
  <c r="E351" i="3"/>
  <c r="E2" i="5"/>
  <c r="F2" i="5"/>
  <c r="G2" i="5"/>
  <c r="H2" i="5"/>
  <c r="I2" i="5"/>
  <c r="J2" i="5"/>
  <c r="K2" i="5"/>
  <c r="L2" i="5"/>
  <c r="M2" i="5"/>
  <c r="N2" i="5"/>
  <c r="E4" i="5"/>
  <c r="F4" i="5"/>
  <c r="G4" i="5"/>
  <c r="H4" i="5"/>
  <c r="I4" i="5"/>
  <c r="J4" i="5"/>
  <c r="K4" i="5"/>
  <c r="L4" i="5"/>
  <c r="M4" i="5"/>
  <c r="N4" i="5"/>
  <c r="E5" i="5"/>
  <c r="F5" i="5"/>
  <c r="G5" i="5"/>
  <c r="H5" i="5"/>
  <c r="I5" i="5"/>
  <c r="J5" i="5"/>
  <c r="K5" i="5"/>
  <c r="L5" i="5"/>
  <c r="M5" i="5"/>
  <c r="N5" i="5"/>
  <c r="E6" i="5"/>
  <c r="F6" i="5"/>
  <c r="G6" i="5"/>
  <c r="H6" i="5"/>
  <c r="I6" i="5"/>
  <c r="J6" i="5"/>
  <c r="K6" i="5"/>
  <c r="L6" i="5"/>
  <c r="M6" i="5"/>
  <c r="N6" i="5"/>
  <c r="A9" i="5"/>
  <c r="E9" i="5"/>
  <c r="F9" i="5"/>
  <c r="G9" i="5"/>
  <c r="H9" i="5"/>
  <c r="I9" i="5"/>
  <c r="J9" i="5"/>
  <c r="K9" i="5"/>
  <c r="L9" i="5"/>
  <c r="M9" i="5"/>
  <c r="N9" i="5"/>
  <c r="A10" i="5"/>
  <c r="E10" i="5"/>
  <c r="F10" i="5"/>
  <c r="G10" i="5"/>
  <c r="H10" i="5"/>
  <c r="I10" i="5"/>
  <c r="J10" i="5"/>
  <c r="K10" i="5"/>
  <c r="L10" i="5"/>
  <c r="M10" i="5"/>
  <c r="N10" i="5"/>
  <c r="A11" i="5"/>
  <c r="E11" i="5"/>
  <c r="F11" i="5"/>
  <c r="G11" i="5"/>
  <c r="H11" i="5"/>
  <c r="I11" i="5"/>
  <c r="J11" i="5"/>
  <c r="K11" i="5"/>
  <c r="L11" i="5"/>
  <c r="M11" i="5"/>
  <c r="N11" i="5"/>
  <c r="A12" i="5"/>
  <c r="E12" i="5"/>
  <c r="F12" i="5"/>
  <c r="G12" i="5"/>
  <c r="H12" i="5"/>
  <c r="I12" i="5"/>
  <c r="J12" i="5"/>
  <c r="K12" i="5"/>
  <c r="L12" i="5"/>
  <c r="M12" i="5"/>
  <c r="N12" i="5"/>
  <c r="A13" i="5"/>
  <c r="E13" i="5"/>
  <c r="F13" i="5"/>
  <c r="G13" i="5"/>
  <c r="H13" i="5"/>
  <c r="I13" i="5"/>
  <c r="J13" i="5"/>
  <c r="K13" i="5"/>
  <c r="L13" i="5"/>
  <c r="M13" i="5"/>
  <c r="N13" i="5"/>
  <c r="A14" i="5"/>
  <c r="E14" i="5"/>
  <c r="F14" i="5"/>
  <c r="G14" i="5"/>
  <c r="H14" i="5"/>
  <c r="I14" i="5"/>
  <c r="J14" i="5"/>
  <c r="K14" i="5"/>
  <c r="L14" i="5"/>
  <c r="M14" i="5"/>
  <c r="N14" i="5"/>
  <c r="A15" i="5"/>
  <c r="E15" i="5"/>
  <c r="F15" i="5"/>
  <c r="G15" i="5"/>
  <c r="H15" i="5"/>
  <c r="I15" i="5"/>
  <c r="J15" i="5"/>
  <c r="K15" i="5"/>
  <c r="L15" i="5"/>
  <c r="M15" i="5"/>
  <c r="N15" i="5"/>
  <c r="A16" i="5"/>
  <c r="E16" i="5"/>
  <c r="F16" i="5"/>
  <c r="G16" i="5"/>
  <c r="H16" i="5"/>
  <c r="I16" i="5"/>
  <c r="J16" i="5"/>
  <c r="K16" i="5"/>
  <c r="L16" i="5"/>
  <c r="M16" i="5"/>
  <c r="N16" i="5"/>
  <c r="A17" i="5"/>
  <c r="E17" i="5"/>
  <c r="F17" i="5"/>
  <c r="G17" i="5"/>
  <c r="H17" i="5"/>
  <c r="I17" i="5"/>
  <c r="J17" i="5"/>
  <c r="K17" i="5"/>
  <c r="L17" i="5"/>
  <c r="M17" i="5"/>
  <c r="N17" i="5"/>
  <c r="E18" i="5"/>
  <c r="F18" i="5"/>
  <c r="G18" i="5"/>
  <c r="H18" i="5"/>
  <c r="I18" i="5"/>
  <c r="J18" i="5"/>
  <c r="K18" i="5"/>
  <c r="L18" i="5"/>
  <c r="M18" i="5"/>
  <c r="N18" i="5"/>
  <c r="E19" i="5"/>
  <c r="F19" i="5"/>
  <c r="G19" i="5"/>
  <c r="H19" i="5"/>
  <c r="I19" i="5"/>
  <c r="J19" i="5"/>
  <c r="K19" i="5"/>
  <c r="L19" i="5"/>
  <c r="M19" i="5"/>
  <c r="N19" i="5"/>
  <c r="E22" i="5"/>
  <c r="F22" i="5"/>
  <c r="G22" i="5"/>
  <c r="H22" i="5"/>
  <c r="I22" i="5"/>
  <c r="J22" i="5"/>
  <c r="K22" i="5"/>
  <c r="L22" i="5"/>
  <c r="M22" i="5"/>
  <c r="N22" i="5"/>
  <c r="E23" i="5"/>
  <c r="F23" i="5"/>
  <c r="G23" i="5"/>
  <c r="H23" i="5"/>
  <c r="I23" i="5"/>
  <c r="J23" i="5"/>
  <c r="K23" i="5"/>
  <c r="L23" i="5"/>
  <c r="M23" i="5"/>
  <c r="N23" i="5"/>
  <c r="B24" i="5"/>
  <c r="E24" i="5"/>
  <c r="F24" i="5"/>
  <c r="G24" i="5"/>
  <c r="H24" i="5"/>
  <c r="I24" i="5"/>
  <c r="J24" i="5"/>
  <c r="K24" i="5"/>
  <c r="L24" i="5"/>
  <c r="M24" i="5"/>
  <c r="N24" i="5"/>
  <c r="B25" i="5"/>
  <c r="E25" i="5"/>
  <c r="F25" i="5"/>
  <c r="G25" i="5"/>
  <c r="H25" i="5"/>
  <c r="I25" i="5"/>
  <c r="J25" i="5"/>
  <c r="K25" i="5"/>
  <c r="L25" i="5"/>
  <c r="M25" i="5"/>
  <c r="N25" i="5"/>
  <c r="B26" i="5"/>
  <c r="E26" i="5"/>
  <c r="F26" i="5"/>
  <c r="G26" i="5"/>
  <c r="H26" i="5"/>
  <c r="I26" i="5"/>
  <c r="J26" i="5"/>
  <c r="K26" i="5"/>
  <c r="L26" i="5"/>
  <c r="M26" i="5"/>
  <c r="N26" i="5"/>
  <c r="B27" i="5"/>
  <c r="E27" i="5"/>
  <c r="F27" i="5"/>
  <c r="G27" i="5"/>
  <c r="H27" i="5"/>
  <c r="I27" i="5"/>
  <c r="J27" i="5"/>
  <c r="K27" i="5"/>
  <c r="L27" i="5"/>
  <c r="M27" i="5"/>
  <c r="N27" i="5"/>
  <c r="B28" i="5"/>
  <c r="E28" i="5"/>
  <c r="F28" i="5"/>
  <c r="G28" i="5"/>
  <c r="H28" i="5"/>
  <c r="I28" i="5"/>
  <c r="J28" i="5"/>
  <c r="K28" i="5"/>
  <c r="L28" i="5"/>
  <c r="M28" i="5"/>
  <c r="N28" i="5"/>
  <c r="B29" i="5"/>
  <c r="E29" i="5"/>
  <c r="F29" i="5"/>
  <c r="G29" i="5"/>
  <c r="H29" i="5"/>
  <c r="I29" i="5"/>
  <c r="J29" i="5"/>
  <c r="K29" i="5"/>
  <c r="L29" i="5"/>
  <c r="M29" i="5"/>
  <c r="N29" i="5"/>
  <c r="B30" i="5"/>
  <c r="E30" i="5"/>
  <c r="F30" i="5"/>
  <c r="G30" i="5"/>
  <c r="H30" i="5"/>
  <c r="I30" i="5"/>
  <c r="J30" i="5"/>
  <c r="K30" i="5"/>
  <c r="L30" i="5"/>
  <c r="M30" i="5"/>
  <c r="N30" i="5"/>
  <c r="D31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E37" i="5"/>
  <c r="F37" i="5"/>
  <c r="G37" i="5"/>
  <c r="H37" i="5"/>
  <c r="I37" i="5"/>
  <c r="J37" i="5"/>
  <c r="K37" i="5"/>
  <c r="L37" i="5"/>
  <c r="M37" i="5"/>
  <c r="N37" i="5"/>
  <c r="E38" i="5"/>
  <c r="F38" i="5"/>
  <c r="G38" i="5"/>
  <c r="H38" i="5"/>
  <c r="I38" i="5"/>
  <c r="J38" i="5"/>
  <c r="K38" i="5"/>
  <c r="L38" i="5"/>
  <c r="M38" i="5"/>
  <c r="N38" i="5"/>
  <c r="E39" i="5"/>
  <c r="F39" i="5"/>
  <c r="G39" i="5"/>
  <c r="H39" i="5"/>
  <c r="I39" i="5"/>
  <c r="J39" i="5"/>
  <c r="K39" i="5"/>
  <c r="L39" i="5"/>
  <c r="M39" i="5"/>
  <c r="N39" i="5"/>
  <c r="E40" i="5"/>
  <c r="F40" i="5"/>
  <c r="G40" i="5"/>
  <c r="H40" i="5"/>
  <c r="I40" i="5"/>
  <c r="J40" i="5"/>
  <c r="K40" i="5"/>
  <c r="L40" i="5"/>
  <c r="M40" i="5"/>
  <c r="N40" i="5"/>
  <c r="E41" i="5"/>
  <c r="F41" i="5"/>
  <c r="G41" i="5"/>
  <c r="H41" i="5"/>
  <c r="I41" i="5"/>
  <c r="J41" i="5"/>
  <c r="K41" i="5"/>
  <c r="L41" i="5"/>
  <c r="M41" i="5"/>
  <c r="N41" i="5"/>
  <c r="E43" i="5"/>
  <c r="F43" i="5"/>
  <c r="G43" i="5"/>
  <c r="H43" i="5"/>
  <c r="I43" i="5"/>
  <c r="J43" i="5"/>
  <c r="K43" i="5"/>
  <c r="L43" i="5"/>
  <c r="M43" i="5"/>
  <c r="N43" i="5"/>
  <c r="E44" i="5"/>
  <c r="F44" i="5"/>
  <c r="G44" i="5"/>
  <c r="H44" i="5"/>
  <c r="I44" i="5"/>
  <c r="J44" i="5"/>
  <c r="K44" i="5"/>
  <c r="L44" i="5"/>
  <c r="M44" i="5"/>
  <c r="N44" i="5"/>
  <c r="E45" i="5"/>
  <c r="F45" i="5"/>
  <c r="G45" i="5"/>
  <c r="H45" i="5"/>
  <c r="I45" i="5"/>
  <c r="J45" i="5"/>
  <c r="K45" i="5"/>
  <c r="L45" i="5"/>
  <c r="M45" i="5"/>
  <c r="N45" i="5"/>
  <c r="E46" i="5"/>
  <c r="F46" i="5"/>
  <c r="G46" i="5"/>
  <c r="H46" i="5"/>
  <c r="I46" i="5"/>
  <c r="J46" i="5"/>
  <c r="K46" i="5"/>
  <c r="L46" i="5"/>
  <c r="M46" i="5"/>
  <c r="N46" i="5"/>
  <c r="E47" i="5"/>
  <c r="F47" i="5"/>
  <c r="G47" i="5"/>
  <c r="H47" i="5"/>
  <c r="I47" i="5"/>
  <c r="J47" i="5"/>
  <c r="K47" i="5"/>
  <c r="L47" i="5"/>
  <c r="M47" i="5"/>
  <c r="N47" i="5"/>
  <c r="E48" i="5"/>
  <c r="F48" i="5"/>
  <c r="G48" i="5"/>
  <c r="H48" i="5"/>
  <c r="I48" i="5"/>
  <c r="J48" i="5"/>
  <c r="K48" i="5"/>
  <c r="L48" i="5"/>
  <c r="M48" i="5"/>
  <c r="N48" i="5"/>
  <c r="E49" i="5"/>
  <c r="F49" i="5"/>
  <c r="G49" i="5"/>
  <c r="H49" i="5"/>
  <c r="I49" i="5"/>
  <c r="J49" i="5"/>
  <c r="K49" i="5"/>
  <c r="L49" i="5"/>
  <c r="M49" i="5"/>
  <c r="N49" i="5"/>
  <c r="E50" i="5"/>
  <c r="F50" i="5"/>
  <c r="G50" i="5"/>
  <c r="H50" i="5"/>
  <c r="I50" i="5"/>
  <c r="J50" i="5"/>
  <c r="K50" i="5"/>
  <c r="L50" i="5"/>
  <c r="M50" i="5"/>
  <c r="N50" i="5"/>
  <c r="E51" i="5"/>
  <c r="F51" i="5"/>
  <c r="G51" i="5"/>
  <c r="H51" i="5"/>
  <c r="I51" i="5"/>
  <c r="J51" i="5"/>
  <c r="K51" i="5"/>
  <c r="L51" i="5"/>
  <c r="M51" i="5"/>
  <c r="N51" i="5"/>
  <c r="E54" i="5"/>
  <c r="F54" i="5"/>
  <c r="G54" i="5"/>
  <c r="H54" i="5"/>
  <c r="I54" i="5"/>
  <c r="J54" i="5"/>
  <c r="K54" i="5"/>
  <c r="L54" i="5"/>
  <c r="M54" i="5"/>
  <c r="N54" i="5"/>
  <c r="E55" i="5"/>
  <c r="F55" i="5"/>
  <c r="G55" i="5"/>
  <c r="H55" i="5"/>
  <c r="I55" i="5"/>
  <c r="J55" i="5"/>
  <c r="K55" i="5"/>
  <c r="L55" i="5"/>
  <c r="M55" i="5"/>
  <c r="N55" i="5"/>
  <c r="E58" i="5"/>
  <c r="F58" i="5"/>
  <c r="G58" i="5"/>
  <c r="H58" i="5"/>
  <c r="I58" i="5"/>
  <c r="J58" i="5"/>
  <c r="K58" i="5"/>
  <c r="L58" i="5"/>
  <c r="M58" i="5"/>
  <c r="N58" i="5"/>
  <c r="E59" i="5"/>
  <c r="F59" i="5"/>
  <c r="G59" i="5"/>
  <c r="H59" i="5"/>
  <c r="I59" i="5"/>
  <c r="J59" i="5"/>
  <c r="K59" i="5"/>
  <c r="L59" i="5"/>
  <c r="M59" i="5"/>
  <c r="N59" i="5"/>
  <c r="E60" i="5"/>
  <c r="F60" i="5"/>
  <c r="G60" i="5"/>
  <c r="H60" i="5"/>
  <c r="I60" i="5"/>
  <c r="J60" i="5"/>
  <c r="K60" i="5"/>
  <c r="L60" i="5"/>
  <c r="M60" i="5"/>
  <c r="N60" i="5"/>
  <c r="E81" i="5"/>
  <c r="F81" i="5"/>
  <c r="G81" i="5"/>
  <c r="H81" i="5"/>
  <c r="I81" i="5"/>
  <c r="J81" i="5"/>
  <c r="K81" i="5"/>
  <c r="L81" i="5"/>
  <c r="M81" i="5"/>
  <c r="N81" i="5"/>
  <c r="E82" i="5"/>
  <c r="F82" i="5"/>
  <c r="G82" i="5"/>
  <c r="H82" i="5"/>
  <c r="I82" i="5"/>
  <c r="J82" i="5"/>
  <c r="K82" i="5"/>
  <c r="L82" i="5"/>
  <c r="M82" i="5"/>
  <c r="N82" i="5"/>
  <c r="E83" i="5"/>
  <c r="F83" i="5"/>
  <c r="G83" i="5"/>
  <c r="H83" i="5"/>
  <c r="I83" i="5"/>
  <c r="J83" i="5"/>
  <c r="K83" i="5"/>
  <c r="L83" i="5"/>
  <c r="M83" i="5"/>
  <c r="N83" i="5"/>
  <c r="E84" i="5"/>
  <c r="F84" i="5"/>
  <c r="G84" i="5"/>
  <c r="H84" i="5"/>
  <c r="I84" i="5"/>
  <c r="J84" i="5"/>
  <c r="K84" i="5"/>
  <c r="L84" i="5"/>
  <c r="M84" i="5"/>
  <c r="N84" i="5"/>
  <c r="E85" i="5"/>
  <c r="F85" i="5"/>
  <c r="G85" i="5"/>
  <c r="H85" i="5"/>
  <c r="I85" i="5"/>
  <c r="J85" i="5"/>
  <c r="K85" i="5"/>
  <c r="L85" i="5"/>
  <c r="M85" i="5"/>
  <c r="N85" i="5"/>
  <c r="E86" i="5"/>
  <c r="F86" i="5"/>
  <c r="G86" i="5"/>
  <c r="H86" i="5"/>
  <c r="I86" i="5"/>
  <c r="J86" i="5"/>
  <c r="K86" i="5"/>
  <c r="L86" i="5"/>
  <c r="M86" i="5"/>
  <c r="N86" i="5"/>
  <c r="E87" i="5"/>
  <c r="F87" i="5"/>
  <c r="G87" i="5"/>
  <c r="H87" i="5"/>
  <c r="I87" i="5"/>
  <c r="J87" i="5"/>
  <c r="K87" i="5"/>
  <c r="L87" i="5"/>
  <c r="M87" i="5"/>
  <c r="N87" i="5"/>
  <c r="E88" i="5"/>
  <c r="F88" i="5"/>
  <c r="G88" i="5"/>
  <c r="H88" i="5"/>
  <c r="I88" i="5"/>
  <c r="J88" i="5"/>
  <c r="K88" i="5"/>
  <c r="L88" i="5"/>
  <c r="M88" i="5"/>
  <c r="N88" i="5"/>
  <c r="E94" i="5"/>
  <c r="F94" i="5"/>
  <c r="G94" i="5"/>
  <c r="H94" i="5"/>
  <c r="I94" i="5"/>
  <c r="J94" i="5"/>
  <c r="K94" i="5"/>
  <c r="L94" i="5"/>
  <c r="M94" i="5"/>
  <c r="N94" i="5"/>
  <c r="E95" i="5"/>
  <c r="F95" i="5"/>
  <c r="G95" i="5"/>
  <c r="H95" i="5"/>
  <c r="I95" i="5"/>
  <c r="J95" i="5"/>
  <c r="K95" i="5"/>
  <c r="L95" i="5"/>
  <c r="M95" i="5"/>
  <c r="N95" i="5"/>
  <c r="E96" i="5"/>
  <c r="F96" i="5"/>
  <c r="G96" i="5"/>
  <c r="H96" i="5"/>
  <c r="I96" i="5"/>
  <c r="J96" i="5"/>
  <c r="K96" i="5"/>
  <c r="L96" i="5"/>
  <c r="M96" i="5"/>
  <c r="N96" i="5"/>
  <c r="E2" i="7"/>
  <c r="F2" i="7"/>
  <c r="G2" i="7"/>
  <c r="H2" i="7"/>
  <c r="I2" i="7"/>
  <c r="J2" i="7"/>
  <c r="K2" i="7"/>
  <c r="L2" i="7"/>
  <c r="M2" i="7"/>
  <c r="N2" i="7"/>
  <c r="E4" i="7"/>
  <c r="F4" i="7"/>
  <c r="G4" i="7"/>
  <c r="H4" i="7"/>
  <c r="I4" i="7"/>
  <c r="J4" i="7"/>
  <c r="K4" i="7"/>
  <c r="L4" i="7"/>
  <c r="M4" i="7"/>
  <c r="N4" i="7"/>
  <c r="E5" i="7"/>
  <c r="F5" i="7"/>
  <c r="G5" i="7"/>
  <c r="H5" i="7"/>
  <c r="I5" i="7"/>
  <c r="J5" i="7"/>
  <c r="K5" i="7"/>
  <c r="L5" i="7"/>
  <c r="M5" i="7"/>
  <c r="N5" i="7"/>
  <c r="E6" i="7"/>
  <c r="F6" i="7"/>
  <c r="G6" i="7"/>
  <c r="H6" i="7"/>
  <c r="I6" i="7"/>
  <c r="J6" i="7"/>
  <c r="K6" i="7"/>
  <c r="L6" i="7"/>
  <c r="M6" i="7"/>
  <c r="N6" i="7"/>
  <c r="A9" i="7"/>
  <c r="E9" i="7"/>
  <c r="F9" i="7"/>
  <c r="G9" i="7"/>
  <c r="H9" i="7"/>
  <c r="I9" i="7"/>
  <c r="J9" i="7"/>
  <c r="K9" i="7"/>
  <c r="L9" i="7"/>
  <c r="M9" i="7"/>
  <c r="N9" i="7"/>
  <c r="A10" i="7"/>
  <c r="E10" i="7"/>
  <c r="F10" i="7"/>
  <c r="G10" i="7"/>
  <c r="H10" i="7"/>
  <c r="I10" i="7"/>
  <c r="J10" i="7"/>
  <c r="K10" i="7"/>
  <c r="L10" i="7"/>
  <c r="M10" i="7"/>
  <c r="N10" i="7"/>
  <c r="A11" i="7"/>
  <c r="E11" i="7"/>
  <c r="F11" i="7"/>
  <c r="G11" i="7"/>
  <c r="H11" i="7"/>
  <c r="I11" i="7"/>
  <c r="J11" i="7"/>
  <c r="K11" i="7"/>
  <c r="L11" i="7"/>
  <c r="M11" i="7"/>
  <c r="N11" i="7"/>
  <c r="A12" i="7"/>
  <c r="E12" i="7"/>
  <c r="F12" i="7"/>
  <c r="G12" i="7"/>
  <c r="H12" i="7"/>
  <c r="I12" i="7"/>
  <c r="J12" i="7"/>
  <c r="K12" i="7"/>
  <c r="L12" i="7"/>
  <c r="M12" i="7"/>
  <c r="N12" i="7"/>
  <c r="A13" i="7"/>
  <c r="E13" i="7"/>
  <c r="F13" i="7"/>
  <c r="G13" i="7"/>
  <c r="H13" i="7"/>
  <c r="I13" i="7"/>
  <c r="J13" i="7"/>
  <c r="K13" i="7"/>
  <c r="L13" i="7"/>
  <c r="M13" i="7"/>
  <c r="N13" i="7"/>
  <c r="A14" i="7"/>
  <c r="E14" i="7"/>
  <c r="F14" i="7"/>
  <c r="G14" i="7"/>
  <c r="H14" i="7"/>
  <c r="I14" i="7"/>
  <c r="J14" i="7"/>
  <c r="K14" i="7"/>
  <c r="L14" i="7"/>
  <c r="M14" i="7"/>
  <c r="N14" i="7"/>
  <c r="A15" i="7"/>
  <c r="E15" i="7"/>
  <c r="F15" i="7"/>
  <c r="G15" i="7"/>
  <c r="H15" i="7"/>
  <c r="I15" i="7"/>
  <c r="J15" i="7"/>
  <c r="K15" i="7"/>
  <c r="L15" i="7"/>
  <c r="M15" i="7"/>
  <c r="N15" i="7"/>
  <c r="A16" i="7"/>
  <c r="E16" i="7"/>
  <c r="F16" i="7"/>
  <c r="G16" i="7"/>
  <c r="H16" i="7"/>
  <c r="I16" i="7"/>
  <c r="J16" i="7"/>
  <c r="K16" i="7"/>
  <c r="L16" i="7"/>
  <c r="M16" i="7"/>
  <c r="N16" i="7"/>
  <c r="A17" i="7"/>
  <c r="E17" i="7"/>
  <c r="F17" i="7"/>
  <c r="G17" i="7"/>
  <c r="H17" i="7"/>
  <c r="I17" i="7"/>
  <c r="J17" i="7"/>
  <c r="K17" i="7"/>
  <c r="L17" i="7"/>
  <c r="M17" i="7"/>
  <c r="N17" i="7"/>
  <c r="E18" i="7"/>
  <c r="F18" i="7"/>
  <c r="G18" i="7"/>
  <c r="H18" i="7"/>
  <c r="I18" i="7"/>
  <c r="J18" i="7"/>
  <c r="K18" i="7"/>
  <c r="L18" i="7"/>
  <c r="M18" i="7"/>
  <c r="N18" i="7"/>
  <c r="E19" i="7"/>
  <c r="F19" i="7"/>
  <c r="G19" i="7"/>
  <c r="H19" i="7"/>
  <c r="I19" i="7"/>
  <c r="J19" i="7"/>
  <c r="K19" i="7"/>
  <c r="L19" i="7"/>
  <c r="M19" i="7"/>
  <c r="N19" i="7"/>
  <c r="E22" i="7"/>
  <c r="F22" i="7"/>
  <c r="G22" i="7"/>
  <c r="H22" i="7"/>
  <c r="I22" i="7"/>
  <c r="J22" i="7"/>
  <c r="K22" i="7"/>
  <c r="L22" i="7"/>
  <c r="M22" i="7"/>
  <c r="N22" i="7"/>
  <c r="E23" i="7"/>
  <c r="F23" i="7"/>
  <c r="G23" i="7"/>
  <c r="H23" i="7"/>
  <c r="I23" i="7"/>
  <c r="J23" i="7"/>
  <c r="K23" i="7"/>
  <c r="L23" i="7"/>
  <c r="M23" i="7"/>
  <c r="N23" i="7"/>
  <c r="B24" i="7"/>
  <c r="E24" i="7"/>
  <c r="F24" i="7"/>
  <c r="G24" i="7"/>
  <c r="H24" i="7"/>
  <c r="I24" i="7"/>
  <c r="J24" i="7"/>
  <c r="K24" i="7"/>
  <c r="L24" i="7"/>
  <c r="M24" i="7"/>
  <c r="N24" i="7"/>
  <c r="B25" i="7"/>
  <c r="E25" i="7"/>
  <c r="F25" i="7"/>
  <c r="G25" i="7"/>
  <c r="H25" i="7"/>
  <c r="I25" i="7"/>
  <c r="J25" i="7"/>
  <c r="K25" i="7"/>
  <c r="L25" i="7"/>
  <c r="M25" i="7"/>
  <c r="N25" i="7"/>
  <c r="B26" i="7"/>
  <c r="E26" i="7"/>
  <c r="F26" i="7"/>
  <c r="G26" i="7"/>
  <c r="H26" i="7"/>
  <c r="I26" i="7"/>
  <c r="J26" i="7"/>
  <c r="K26" i="7"/>
  <c r="L26" i="7"/>
  <c r="M26" i="7"/>
  <c r="N26" i="7"/>
  <c r="B27" i="7"/>
  <c r="E27" i="7"/>
  <c r="F27" i="7"/>
  <c r="G27" i="7"/>
  <c r="H27" i="7"/>
  <c r="I27" i="7"/>
  <c r="J27" i="7"/>
  <c r="K27" i="7"/>
  <c r="L27" i="7"/>
  <c r="M27" i="7"/>
  <c r="N27" i="7"/>
  <c r="B28" i="7"/>
  <c r="E28" i="7"/>
  <c r="F28" i="7"/>
  <c r="G28" i="7"/>
  <c r="H28" i="7"/>
  <c r="I28" i="7"/>
  <c r="J28" i="7"/>
  <c r="K28" i="7"/>
  <c r="L28" i="7"/>
  <c r="M28" i="7"/>
  <c r="N28" i="7"/>
  <c r="B29" i="7"/>
  <c r="E29" i="7"/>
  <c r="F29" i="7"/>
  <c r="G29" i="7"/>
  <c r="H29" i="7"/>
  <c r="I29" i="7"/>
  <c r="J29" i="7"/>
  <c r="K29" i="7"/>
  <c r="L29" i="7"/>
  <c r="M29" i="7"/>
  <c r="N29" i="7"/>
  <c r="B30" i="7"/>
  <c r="E30" i="7"/>
  <c r="F30" i="7"/>
  <c r="G30" i="7"/>
  <c r="H30" i="7"/>
  <c r="I30" i="7"/>
  <c r="J30" i="7"/>
  <c r="K30" i="7"/>
  <c r="L30" i="7"/>
  <c r="M30" i="7"/>
  <c r="N30" i="7"/>
  <c r="D31" i="7"/>
  <c r="E33" i="7"/>
  <c r="F33" i="7"/>
  <c r="G33" i="7"/>
  <c r="H33" i="7"/>
  <c r="I33" i="7"/>
  <c r="J33" i="7"/>
  <c r="K33" i="7"/>
  <c r="L33" i="7"/>
  <c r="M33" i="7"/>
  <c r="N33" i="7"/>
  <c r="E34" i="7"/>
  <c r="F34" i="7"/>
  <c r="G34" i="7"/>
  <c r="H34" i="7"/>
  <c r="I34" i="7"/>
  <c r="J34" i="7"/>
  <c r="K34" i="7"/>
  <c r="L34" i="7"/>
  <c r="M34" i="7"/>
  <c r="N34" i="7"/>
  <c r="E35" i="7"/>
  <c r="F35" i="7"/>
  <c r="G35" i="7"/>
  <c r="H35" i="7"/>
  <c r="I35" i="7"/>
  <c r="J35" i="7"/>
  <c r="K35" i="7"/>
  <c r="L35" i="7"/>
  <c r="M35" i="7"/>
  <c r="N35" i="7"/>
  <c r="E36" i="7"/>
  <c r="F36" i="7"/>
  <c r="G36" i="7"/>
  <c r="H36" i="7"/>
  <c r="I36" i="7"/>
  <c r="J36" i="7"/>
  <c r="K36" i="7"/>
  <c r="L36" i="7"/>
  <c r="M36" i="7"/>
  <c r="N36" i="7"/>
  <c r="E37" i="7"/>
  <c r="F37" i="7"/>
  <c r="G37" i="7"/>
  <c r="H37" i="7"/>
  <c r="I37" i="7"/>
  <c r="J37" i="7"/>
  <c r="K37" i="7"/>
  <c r="L37" i="7"/>
  <c r="M37" i="7"/>
  <c r="N37" i="7"/>
  <c r="E38" i="7"/>
  <c r="F38" i="7"/>
  <c r="G38" i="7"/>
  <c r="H38" i="7"/>
  <c r="I38" i="7"/>
  <c r="J38" i="7"/>
  <c r="K38" i="7"/>
  <c r="L38" i="7"/>
  <c r="M38" i="7"/>
  <c r="N38" i="7"/>
  <c r="E39" i="7"/>
  <c r="F39" i="7"/>
  <c r="G39" i="7"/>
  <c r="H39" i="7"/>
  <c r="I39" i="7"/>
  <c r="J39" i="7"/>
  <c r="K39" i="7"/>
  <c r="L39" i="7"/>
  <c r="M39" i="7"/>
  <c r="N39" i="7"/>
  <c r="E40" i="7"/>
  <c r="F40" i="7"/>
  <c r="G40" i="7"/>
  <c r="H40" i="7"/>
  <c r="I40" i="7"/>
  <c r="J40" i="7"/>
  <c r="K40" i="7"/>
  <c r="L40" i="7"/>
  <c r="M40" i="7"/>
  <c r="N40" i="7"/>
  <c r="E41" i="7"/>
  <c r="F41" i="7"/>
  <c r="G41" i="7"/>
  <c r="H41" i="7"/>
  <c r="I41" i="7"/>
  <c r="J41" i="7"/>
  <c r="K41" i="7"/>
  <c r="L41" i="7"/>
  <c r="M41" i="7"/>
  <c r="N41" i="7"/>
  <c r="E43" i="7"/>
  <c r="F43" i="7"/>
  <c r="G43" i="7"/>
  <c r="H43" i="7"/>
  <c r="I43" i="7"/>
  <c r="J43" i="7"/>
  <c r="K43" i="7"/>
  <c r="L43" i="7"/>
  <c r="M43" i="7"/>
  <c r="N43" i="7"/>
  <c r="E44" i="7"/>
  <c r="F44" i="7"/>
  <c r="G44" i="7"/>
  <c r="H44" i="7"/>
  <c r="I44" i="7"/>
  <c r="J44" i="7"/>
  <c r="K44" i="7"/>
  <c r="L44" i="7"/>
  <c r="M44" i="7"/>
  <c r="N44" i="7"/>
  <c r="E45" i="7"/>
  <c r="F45" i="7"/>
  <c r="G45" i="7"/>
  <c r="H45" i="7"/>
  <c r="I45" i="7"/>
  <c r="J45" i="7"/>
  <c r="K45" i="7"/>
  <c r="L45" i="7"/>
  <c r="M45" i="7"/>
  <c r="N45" i="7"/>
  <c r="E46" i="7"/>
  <c r="F46" i="7"/>
  <c r="G46" i="7"/>
  <c r="H46" i="7"/>
  <c r="I46" i="7"/>
  <c r="J46" i="7"/>
  <c r="K46" i="7"/>
  <c r="L46" i="7"/>
  <c r="M46" i="7"/>
  <c r="N46" i="7"/>
  <c r="E47" i="7"/>
  <c r="F47" i="7"/>
  <c r="G47" i="7"/>
  <c r="H47" i="7"/>
  <c r="I47" i="7"/>
  <c r="J47" i="7"/>
  <c r="K47" i="7"/>
  <c r="L47" i="7"/>
  <c r="M47" i="7"/>
  <c r="N47" i="7"/>
  <c r="E48" i="7"/>
  <c r="F48" i="7"/>
  <c r="G48" i="7"/>
  <c r="H48" i="7"/>
  <c r="I48" i="7"/>
  <c r="J48" i="7"/>
  <c r="K48" i="7"/>
  <c r="L48" i="7"/>
  <c r="M48" i="7"/>
  <c r="N48" i="7"/>
  <c r="E49" i="7"/>
  <c r="F49" i="7"/>
  <c r="G49" i="7"/>
  <c r="H49" i="7"/>
  <c r="I49" i="7"/>
  <c r="J49" i="7"/>
  <c r="K49" i="7"/>
  <c r="L49" i="7"/>
  <c r="M49" i="7"/>
  <c r="N49" i="7"/>
  <c r="E50" i="7"/>
  <c r="F50" i="7"/>
  <c r="G50" i="7"/>
  <c r="H50" i="7"/>
  <c r="I50" i="7"/>
  <c r="J50" i="7"/>
  <c r="K50" i="7"/>
  <c r="L50" i="7"/>
  <c r="M50" i="7"/>
  <c r="N50" i="7"/>
  <c r="E51" i="7"/>
  <c r="F51" i="7"/>
  <c r="G51" i="7"/>
  <c r="H51" i="7"/>
  <c r="I51" i="7"/>
  <c r="J51" i="7"/>
  <c r="K51" i="7"/>
  <c r="L51" i="7"/>
  <c r="M51" i="7"/>
  <c r="N51" i="7"/>
  <c r="E54" i="7"/>
  <c r="F54" i="7"/>
  <c r="G54" i="7"/>
  <c r="H54" i="7"/>
  <c r="I54" i="7"/>
  <c r="J54" i="7"/>
  <c r="K54" i="7"/>
  <c r="L54" i="7"/>
  <c r="M54" i="7"/>
  <c r="N54" i="7"/>
  <c r="E55" i="7"/>
  <c r="F55" i="7"/>
  <c r="G55" i="7"/>
  <c r="H55" i="7"/>
  <c r="I55" i="7"/>
  <c r="J55" i="7"/>
  <c r="K55" i="7"/>
  <c r="L55" i="7"/>
  <c r="M55" i="7"/>
  <c r="N55" i="7"/>
  <c r="E58" i="7"/>
  <c r="F58" i="7"/>
  <c r="G58" i="7"/>
  <c r="H58" i="7"/>
  <c r="I58" i="7"/>
  <c r="J58" i="7"/>
  <c r="K58" i="7"/>
  <c r="L58" i="7"/>
  <c r="M58" i="7"/>
  <c r="N58" i="7"/>
  <c r="E59" i="7"/>
  <c r="F59" i="7"/>
  <c r="G59" i="7"/>
  <c r="H59" i="7"/>
  <c r="I59" i="7"/>
  <c r="J59" i="7"/>
  <c r="K59" i="7"/>
  <c r="L59" i="7"/>
  <c r="M59" i="7"/>
  <c r="N59" i="7"/>
  <c r="E60" i="7"/>
  <c r="F60" i="7"/>
  <c r="G60" i="7"/>
  <c r="H60" i="7"/>
  <c r="I60" i="7"/>
  <c r="J60" i="7"/>
  <c r="K60" i="7"/>
  <c r="L60" i="7"/>
  <c r="M60" i="7"/>
  <c r="N60" i="7"/>
  <c r="E81" i="7"/>
  <c r="F81" i="7"/>
  <c r="G81" i="7"/>
  <c r="H81" i="7"/>
  <c r="I81" i="7"/>
  <c r="J81" i="7"/>
  <c r="K81" i="7"/>
  <c r="L81" i="7"/>
  <c r="M81" i="7"/>
  <c r="N81" i="7"/>
  <c r="E82" i="7"/>
  <c r="F82" i="7"/>
  <c r="G82" i="7"/>
  <c r="H82" i="7"/>
  <c r="I82" i="7"/>
  <c r="J82" i="7"/>
  <c r="K82" i="7"/>
  <c r="L82" i="7"/>
  <c r="M82" i="7"/>
  <c r="N82" i="7"/>
  <c r="E83" i="7"/>
  <c r="F83" i="7"/>
  <c r="G83" i="7"/>
  <c r="H83" i="7"/>
  <c r="I83" i="7"/>
  <c r="J83" i="7"/>
  <c r="K83" i="7"/>
  <c r="L83" i="7"/>
  <c r="M83" i="7"/>
  <c r="N83" i="7"/>
  <c r="E84" i="7"/>
  <c r="F84" i="7"/>
  <c r="G84" i="7"/>
  <c r="H84" i="7"/>
  <c r="I84" i="7"/>
  <c r="J84" i="7"/>
  <c r="K84" i="7"/>
  <c r="L84" i="7"/>
  <c r="M84" i="7"/>
  <c r="N84" i="7"/>
  <c r="E85" i="7"/>
  <c r="F85" i="7"/>
  <c r="G85" i="7"/>
  <c r="H85" i="7"/>
  <c r="I85" i="7"/>
  <c r="J85" i="7"/>
  <c r="K85" i="7"/>
  <c r="L85" i="7"/>
  <c r="M85" i="7"/>
  <c r="N85" i="7"/>
  <c r="E86" i="7"/>
  <c r="F86" i="7"/>
  <c r="G86" i="7"/>
  <c r="H86" i="7"/>
  <c r="I86" i="7"/>
  <c r="J86" i="7"/>
  <c r="K86" i="7"/>
  <c r="L86" i="7"/>
  <c r="M86" i="7"/>
  <c r="N86" i="7"/>
  <c r="E87" i="7"/>
  <c r="F87" i="7"/>
  <c r="G87" i="7"/>
  <c r="H87" i="7"/>
  <c r="I87" i="7"/>
  <c r="J87" i="7"/>
  <c r="K87" i="7"/>
  <c r="L87" i="7"/>
  <c r="M87" i="7"/>
  <c r="N87" i="7"/>
  <c r="E88" i="7"/>
  <c r="F88" i="7"/>
  <c r="G88" i="7"/>
  <c r="H88" i="7"/>
  <c r="I88" i="7"/>
  <c r="J88" i="7"/>
  <c r="K88" i="7"/>
  <c r="L88" i="7"/>
  <c r="M88" i="7"/>
  <c r="N88" i="7"/>
  <c r="E94" i="7"/>
  <c r="F94" i="7"/>
  <c r="G94" i="7"/>
  <c r="H94" i="7"/>
  <c r="I94" i="7"/>
  <c r="J94" i="7"/>
  <c r="K94" i="7"/>
  <c r="L94" i="7"/>
  <c r="M94" i="7"/>
  <c r="N94" i="7"/>
  <c r="E95" i="7"/>
  <c r="F95" i="7"/>
  <c r="G95" i="7"/>
  <c r="H95" i="7"/>
  <c r="I95" i="7"/>
  <c r="J95" i="7"/>
  <c r="K95" i="7"/>
  <c r="L95" i="7"/>
  <c r="M95" i="7"/>
  <c r="N95" i="7"/>
  <c r="E96" i="7"/>
  <c r="F96" i="7"/>
  <c r="G96" i="7"/>
  <c r="H96" i="7"/>
  <c r="I96" i="7"/>
  <c r="J96" i="7"/>
  <c r="K96" i="7"/>
  <c r="L96" i="7"/>
  <c r="M96" i="7"/>
  <c r="N96" i="7"/>
  <c r="E2" i="8"/>
  <c r="F2" i="8"/>
  <c r="G2" i="8"/>
  <c r="H2" i="8"/>
  <c r="I2" i="8"/>
  <c r="J2" i="8"/>
  <c r="K2" i="8"/>
  <c r="L2" i="8"/>
  <c r="M2" i="8"/>
  <c r="N2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A9" i="8"/>
  <c r="E9" i="8"/>
  <c r="F9" i="8"/>
  <c r="G9" i="8"/>
  <c r="H9" i="8"/>
  <c r="I9" i="8"/>
  <c r="J9" i="8"/>
  <c r="K9" i="8"/>
  <c r="L9" i="8"/>
  <c r="M9" i="8"/>
  <c r="N9" i="8"/>
  <c r="A10" i="8"/>
  <c r="E10" i="8"/>
  <c r="F10" i="8"/>
  <c r="G10" i="8"/>
  <c r="H10" i="8"/>
  <c r="I10" i="8"/>
  <c r="J10" i="8"/>
  <c r="K10" i="8"/>
  <c r="L10" i="8"/>
  <c r="M10" i="8"/>
  <c r="N10" i="8"/>
  <c r="A11" i="8"/>
  <c r="E11" i="8"/>
  <c r="F11" i="8"/>
  <c r="G11" i="8"/>
  <c r="H11" i="8"/>
  <c r="I11" i="8"/>
  <c r="J11" i="8"/>
  <c r="K11" i="8"/>
  <c r="L11" i="8"/>
  <c r="M11" i="8"/>
  <c r="N11" i="8"/>
  <c r="A12" i="8"/>
  <c r="E12" i="8"/>
  <c r="F12" i="8"/>
  <c r="G12" i="8"/>
  <c r="H12" i="8"/>
  <c r="I12" i="8"/>
  <c r="J12" i="8"/>
  <c r="K12" i="8"/>
  <c r="L12" i="8"/>
  <c r="M12" i="8"/>
  <c r="N12" i="8"/>
  <c r="A13" i="8"/>
  <c r="E13" i="8"/>
  <c r="F13" i="8"/>
  <c r="G13" i="8"/>
  <c r="H13" i="8"/>
  <c r="I13" i="8"/>
  <c r="J13" i="8"/>
  <c r="K13" i="8"/>
  <c r="L13" i="8"/>
  <c r="M13" i="8"/>
  <c r="N13" i="8"/>
  <c r="A14" i="8"/>
  <c r="E14" i="8"/>
  <c r="F14" i="8"/>
  <c r="G14" i="8"/>
  <c r="H14" i="8"/>
  <c r="I14" i="8"/>
  <c r="J14" i="8"/>
  <c r="K14" i="8"/>
  <c r="L14" i="8"/>
  <c r="M14" i="8"/>
  <c r="N14" i="8"/>
  <c r="A15" i="8"/>
  <c r="E15" i="8"/>
  <c r="F15" i="8"/>
  <c r="G15" i="8"/>
  <c r="H15" i="8"/>
  <c r="I15" i="8"/>
  <c r="J15" i="8"/>
  <c r="K15" i="8"/>
  <c r="L15" i="8"/>
  <c r="M15" i="8"/>
  <c r="N15" i="8"/>
  <c r="A16" i="8"/>
  <c r="E16" i="8"/>
  <c r="F16" i="8"/>
  <c r="G16" i="8"/>
  <c r="H16" i="8"/>
  <c r="I16" i="8"/>
  <c r="J16" i="8"/>
  <c r="K16" i="8"/>
  <c r="L16" i="8"/>
  <c r="M16" i="8"/>
  <c r="N16" i="8"/>
  <c r="A17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B24" i="8"/>
  <c r="E24" i="8"/>
  <c r="F24" i="8"/>
  <c r="G24" i="8"/>
  <c r="H24" i="8"/>
  <c r="I24" i="8"/>
  <c r="J24" i="8"/>
  <c r="K24" i="8"/>
  <c r="L24" i="8"/>
  <c r="M24" i="8"/>
  <c r="N24" i="8"/>
  <c r="B25" i="8"/>
  <c r="E25" i="8"/>
  <c r="F25" i="8"/>
  <c r="G25" i="8"/>
  <c r="H25" i="8"/>
  <c r="I25" i="8"/>
  <c r="J25" i="8"/>
  <c r="K25" i="8"/>
  <c r="L25" i="8"/>
  <c r="M25" i="8"/>
  <c r="N25" i="8"/>
  <c r="B26" i="8"/>
  <c r="E26" i="8"/>
  <c r="F26" i="8"/>
  <c r="G26" i="8"/>
  <c r="H26" i="8"/>
  <c r="I26" i="8"/>
  <c r="J26" i="8"/>
  <c r="K26" i="8"/>
  <c r="L26" i="8"/>
  <c r="M26" i="8"/>
  <c r="N26" i="8"/>
  <c r="B27" i="8"/>
  <c r="E27" i="8"/>
  <c r="F27" i="8"/>
  <c r="G27" i="8"/>
  <c r="H27" i="8"/>
  <c r="I27" i="8"/>
  <c r="J27" i="8"/>
  <c r="K27" i="8"/>
  <c r="L27" i="8"/>
  <c r="M27" i="8"/>
  <c r="N27" i="8"/>
  <c r="B28" i="8"/>
  <c r="E28" i="8"/>
  <c r="F28" i="8"/>
  <c r="G28" i="8"/>
  <c r="H28" i="8"/>
  <c r="I28" i="8"/>
  <c r="J28" i="8"/>
  <c r="K28" i="8"/>
  <c r="L28" i="8"/>
  <c r="M28" i="8"/>
  <c r="N28" i="8"/>
  <c r="B29" i="8"/>
  <c r="E29" i="8"/>
  <c r="F29" i="8"/>
  <c r="G29" i="8"/>
  <c r="H29" i="8"/>
  <c r="I29" i="8"/>
  <c r="J29" i="8"/>
  <c r="K29" i="8"/>
  <c r="L29" i="8"/>
  <c r="M29" i="8"/>
  <c r="N29" i="8"/>
  <c r="B30" i="8"/>
  <c r="E30" i="8"/>
  <c r="F30" i="8"/>
  <c r="G30" i="8"/>
  <c r="H30" i="8"/>
  <c r="I30" i="8"/>
  <c r="J30" i="8"/>
  <c r="K30" i="8"/>
  <c r="L30" i="8"/>
  <c r="M30" i="8"/>
  <c r="N30" i="8"/>
  <c r="D31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3" i="8"/>
  <c r="F43" i="8"/>
  <c r="G43" i="8"/>
  <c r="H43" i="8"/>
  <c r="I43" i="8"/>
  <c r="J43" i="8"/>
  <c r="K43" i="8"/>
  <c r="L43" i="8"/>
  <c r="M43" i="8"/>
  <c r="N43" i="8"/>
  <c r="E44" i="8"/>
  <c r="F44" i="8"/>
  <c r="G44" i="8"/>
  <c r="H44" i="8"/>
  <c r="I44" i="8"/>
  <c r="J44" i="8"/>
  <c r="K44" i="8"/>
  <c r="L44" i="8"/>
  <c r="M44" i="8"/>
  <c r="N44" i="8"/>
  <c r="E45" i="8"/>
  <c r="F45" i="8"/>
  <c r="G45" i="8"/>
  <c r="H45" i="8"/>
  <c r="I45" i="8"/>
  <c r="J45" i="8"/>
  <c r="K45" i="8"/>
  <c r="L45" i="8"/>
  <c r="M45" i="8"/>
  <c r="N45" i="8"/>
  <c r="E46" i="8"/>
  <c r="F46" i="8"/>
  <c r="G46" i="8"/>
  <c r="H46" i="8"/>
  <c r="I46" i="8"/>
  <c r="J46" i="8"/>
  <c r="K46" i="8"/>
  <c r="L46" i="8"/>
  <c r="M46" i="8"/>
  <c r="N46" i="8"/>
  <c r="E47" i="8"/>
  <c r="F47" i="8"/>
  <c r="G47" i="8"/>
  <c r="H47" i="8"/>
  <c r="I47" i="8"/>
  <c r="J47" i="8"/>
  <c r="K47" i="8"/>
  <c r="L47" i="8"/>
  <c r="M47" i="8"/>
  <c r="N47" i="8"/>
  <c r="E48" i="8"/>
  <c r="F48" i="8"/>
  <c r="G48" i="8"/>
  <c r="H48" i="8"/>
  <c r="I48" i="8"/>
  <c r="J48" i="8"/>
  <c r="K48" i="8"/>
  <c r="L48" i="8"/>
  <c r="M48" i="8"/>
  <c r="N48" i="8"/>
  <c r="E49" i="8"/>
  <c r="F49" i="8"/>
  <c r="G49" i="8"/>
  <c r="H49" i="8"/>
  <c r="I49" i="8"/>
  <c r="J49" i="8"/>
  <c r="K49" i="8"/>
  <c r="L49" i="8"/>
  <c r="M49" i="8"/>
  <c r="N49" i="8"/>
  <c r="E50" i="8"/>
  <c r="F50" i="8"/>
  <c r="G50" i="8"/>
  <c r="H50" i="8"/>
  <c r="I50" i="8"/>
  <c r="J50" i="8"/>
  <c r="K50" i="8"/>
  <c r="L50" i="8"/>
  <c r="M50" i="8"/>
  <c r="N50" i="8"/>
  <c r="E51" i="8"/>
  <c r="F51" i="8"/>
  <c r="G51" i="8"/>
  <c r="H51" i="8"/>
  <c r="I51" i="8"/>
  <c r="J51" i="8"/>
  <c r="K51" i="8"/>
  <c r="L51" i="8"/>
  <c r="M51" i="8"/>
  <c r="N51" i="8"/>
  <c r="E54" i="8"/>
  <c r="F54" i="8"/>
  <c r="G54" i="8"/>
  <c r="H54" i="8"/>
  <c r="I54" i="8"/>
  <c r="J54" i="8"/>
  <c r="K54" i="8"/>
  <c r="L54" i="8"/>
  <c r="M54" i="8"/>
  <c r="N54" i="8"/>
  <c r="E55" i="8"/>
  <c r="F55" i="8"/>
  <c r="G55" i="8"/>
  <c r="H55" i="8"/>
  <c r="I55" i="8"/>
  <c r="J55" i="8"/>
  <c r="K55" i="8"/>
  <c r="L55" i="8"/>
  <c r="M55" i="8"/>
  <c r="N55" i="8"/>
  <c r="E58" i="8"/>
  <c r="F58" i="8"/>
  <c r="G58" i="8"/>
  <c r="H58" i="8"/>
  <c r="I58" i="8"/>
  <c r="J58" i="8"/>
  <c r="K58" i="8"/>
  <c r="L58" i="8"/>
  <c r="M58" i="8"/>
  <c r="N58" i="8"/>
  <c r="E59" i="8"/>
  <c r="F59" i="8"/>
  <c r="G59" i="8"/>
  <c r="H59" i="8"/>
  <c r="I59" i="8"/>
  <c r="J59" i="8"/>
  <c r="K59" i="8"/>
  <c r="L59" i="8"/>
  <c r="M59" i="8"/>
  <c r="N59" i="8"/>
  <c r="E60" i="8"/>
  <c r="F60" i="8"/>
  <c r="G60" i="8"/>
  <c r="H60" i="8"/>
  <c r="I60" i="8"/>
  <c r="J60" i="8"/>
  <c r="K60" i="8"/>
  <c r="L60" i="8"/>
  <c r="M60" i="8"/>
  <c r="N60" i="8"/>
  <c r="E81" i="8"/>
  <c r="F81" i="8"/>
  <c r="G81" i="8"/>
  <c r="H81" i="8"/>
  <c r="I81" i="8"/>
  <c r="J81" i="8"/>
  <c r="K81" i="8"/>
  <c r="L81" i="8"/>
  <c r="M81" i="8"/>
  <c r="N81" i="8"/>
  <c r="E82" i="8"/>
  <c r="F82" i="8"/>
  <c r="G82" i="8"/>
  <c r="H82" i="8"/>
  <c r="I82" i="8"/>
  <c r="J82" i="8"/>
  <c r="K82" i="8"/>
  <c r="L82" i="8"/>
  <c r="M82" i="8"/>
  <c r="N82" i="8"/>
  <c r="E83" i="8"/>
  <c r="F83" i="8"/>
  <c r="G83" i="8"/>
  <c r="H83" i="8"/>
  <c r="I83" i="8"/>
  <c r="J83" i="8"/>
  <c r="K83" i="8"/>
  <c r="L83" i="8"/>
  <c r="M83" i="8"/>
  <c r="N83" i="8"/>
  <c r="E84" i="8"/>
  <c r="F84" i="8"/>
  <c r="G84" i="8"/>
  <c r="H84" i="8"/>
  <c r="I84" i="8"/>
  <c r="J84" i="8"/>
  <c r="K84" i="8"/>
  <c r="L84" i="8"/>
  <c r="M84" i="8"/>
  <c r="N84" i="8"/>
  <c r="E85" i="8"/>
  <c r="F85" i="8"/>
  <c r="G85" i="8"/>
  <c r="H85" i="8"/>
  <c r="I85" i="8"/>
  <c r="J85" i="8"/>
  <c r="K85" i="8"/>
  <c r="L85" i="8"/>
  <c r="M85" i="8"/>
  <c r="N85" i="8"/>
  <c r="E86" i="8"/>
  <c r="F86" i="8"/>
  <c r="G86" i="8"/>
  <c r="H86" i="8"/>
  <c r="I86" i="8"/>
  <c r="J86" i="8"/>
  <c r="K86" i="8"/>
  <c r="L86" i="8"/>
  <c r="M86" i="8"/>
  <c r="N86" i="8"/>
  <c r="E87" i="8"/>
  <c r="F87" i="8"/>
  <c r="G87" i="8"/>
  <c r="H87" i="8"/>
  <c r="I87" i="8"/>
  <c r="J87" i="8"/>
  <c r="K87" i="8"/>
  <c r="L87" i="8"/>
  <c r="M87" i="8"/>
  <c r="N87" i="8"/>
  <c r="E88" i="8"/>
  <c r="F88" i="8"/>
  <c r="G88" i="8"/>
  <c r="H88" i="8"/>
  <c r="I88" i="8"/>
  <c r="J88" i="8"/>
  <c r="K88" i="8"/>
  <c r="L88" i="8"/>
  <c r="M88" i="8"/>
  <c r="N88" i="8"/>
  <c r="E94" i="8"/>
  <c r="F94" i="8"/>
  <c r="G94" i="8"/>
  <c r="H94" i="8"/>
  <c r="I94" i="8"/>
  <c r="J94" i="8"/>
  <c r="K94" i="8"/>
  <c r="L94" i="8"/>
  <c r="M94" i="8"/>
  <c r="N94" i="8"/>
  <c r="E95" i="8"/>
  <c r="F95" i="8"/>
  <c r="G95" i="8"/>
  <c r="H95" i="8"/>
  <c r="I95" i="8"/>
  <c r="J95" i="8"/>
  <c r="K95" i="8"/>
  <c r="L95" i="8"/>
  <c r="M95" i="8"/>
  <c r="N95" i="8"/>
  <c r="E96" i="8"/>
  <c r="F96" i="8"/>
  <c r="G96" i="8"/>
  <c r="H96" i="8"/>
  <c r="I96" i="8"/>
  <c r="J96" i="8"/>
  <c r="K96" i="8"/>
  <c r="L96" i="8"/>
  <c r="M96" i="8"/>
  <c r="N96" i="8"/>
  <c r="E2" i="9"/>
  <c r="F2" i="9"/>
  <c r="G2" i="9"/>
  <c r="H2" i="9"/>
  <c r="I2" i="9"/>
  <c r="J2" i="9"/>
  <c r="K2" i="9"/>
  <c r="L2" i="9"/>
  <c r="M2" i="9"/>
  <c r="N2" i="9"/>
  <c r="E4" i="9"/>
  <c r="F4" i="9"/>
  <c r="G4" i="9"/>
  <c r="H4" i="9"/>
  <c r="I4" i="9"/>
  <c r="J4" i="9"/>
  <c r="K4" i="9"/>
  <c r="L4" i="9"/>
  <c r="M4" i="9"/>
  <c r="N4" i="9"/>
  <c r="E5" i="9"/>
  <c r="F5" i="9"/>
  <c r="G5" i="9"/>
  <c r="H5" i="9"/>
  <c r="I5" i="9"/>
  <c r="J5" i="9"/>
  <c r="K5" i="9"/>
  <c r="L5" i="9"/>
  <c r="M5" i="9"/>
  <c r="N5" i="9"/>
  <c r="E6" i="9"/>
  <c r="F6" i="9"/>
  <c r="G6" i="9"/>
  <c r="H6" i="9"/>
  <c r="I6" i="9"/>
  <c r="J6" i="9"/>
  <c r="K6" i="9"/>
  <c r="L6" i="9"/>
  <c r="M6" i="9"/>
  <c r="N6" i="9"/>
  <c r="A9" i="9"/>
  <c r="E9" i="9"/>
  <c r="F9" i="9"/>
  <c r="G9" i="9"/>
  <c r="H9" i="9"/>
  <c r="I9" i="9"/>
  <c r="J9" i="9"/>
  <c r="K9" i="9"/>
  <c r="L9" i="9"/>
  <c r="M9" i="9"/>
  <c r="N9" i="9"/>
  <c r="A10" i="9"/>
  <c r="E10" i="9"/>
  <c r="F10" i="9"/>
  <c r="G10" i="9"/>
  <c r="H10" i="9"/>
  <c r="I10" i="9"/>
  <c r="J10" i="9"/>
  <c r="K10" i="9"/>
  <c r="L10" i="9"/>
  <c r="M10" i="9"/>
  <c r="N10" i="9"/>
  <c r="A11" i="9"/>
  <c r="E11" i="9"/>
  <c r="F11" i="9"/>
  <c r="G11" i="9"/>
  <c r="H11" i="9"/>
  <c r="I11" i="9"/>
  <c r="J11" i="9"/>
  <c r="K11" i="9"/>
  <c r="L11" i="9"/>
  <c r="M11" i="9"/>
  <c r="N11" i="9"/>
  <c r="A12" i="9"/>
  <c r="E12" i="9"/>
  <c r="F12" i="9"/>
  <c r="G12" i="9"/>
  <c r="H12" i="9"/>
  <c r="I12" i="9"/>
  <c r="J12" i="9"/>
  <c r="K12" i="9"/>
  <c r="L12" i="9"/>
  <c r="M12" i="9"/>
  <c r="N12" i="9"/>
  <c r="A13" i="9"/>
  <c r="E13" i="9"/>
  <c r="F13" i="9"/>
  <c r="G13" i="9"/>
  <c r="H13" i="9"/>
  <c r="I13" i="9"/>
  <c r="J13" i="9"/>
  <c r="K13" i="9"/>
  <c r="L13" i="9"/>
  <c r="M13" i="9"/>
  <c r="N13" i="9"/>
  <c r="A14" i="9"/>
  <c r="E14" i="9"/>
  <c r="F14" i="9"/>
  <c r="G14" i="9"/>
  <c r="H14" i="9"/>
  <c r="I14" i="9"/>
  <c r="J14" i="9"/>
  <c r="K14" i="9"/>
  <c r="L14" i="9"/>
  <c r="M14" i="9"/>
  <c r="N14" i="9"/>
  <c r="A15" i="9"/>
  <c r="E15" i="9"/>
  <c r="F15" i="9"/>
  <c r="G15" i="9"/>
  <c r="H15" i="9"/>
  <c r="I15" i="9"/>
  <c r="J15" i="9"/>
  <c r="K15" i="9"/>
  <c r="L15" i="9"/>
  <c r="M15" i="9"/>
  <c r="N15" i="9"/>
  <c r="A16" i="9"/>
  <c r="E16" i="9"/>
  <c r="F16" i="9"/>
  <c r="G16" i="9"/>
  <c r="H16" i="9"/>
  <c r="I16" i="9"/>
  <c r="J16" i="9"/>
  <c r="K16" i="9"/>
  <c r="L16" i="9"/>
  <c r="M16" i="9"/>
  <c r="N16" i="9"/>
  <c r="A17" i="9"/>
  <c r="E17" i="9"/>
  <c r="F17" i="9"/>
  <c r="G17" i="9"/>
  <c r="H17" i="9"/>
  <c r="I17" i="9"/>
  <c r="J17" i="9"/>
  <c r="K17" i="9"/>
  <c r="L17" i="9"/>
  <c r="M17" i="9"/>
  <c r="N17" i="9"/>
  <c r="E18" i="9"/>
  <c r="F18" i="9"/>
  <c r="G18" i="9"/>
  <c r="H18" i="9"/>
  <c r="I18" i="9"/>
  <c r="J18" i="9"/>
  <c r="K18" i="9"/>
  <c r="L18" i="9"/>
  <c r="M18" i="9"/>
  <c r="N18" i="9"/>
  <c r="E19" i="9"/>
  <c r="F19" i="9"/>
  <c r="G19" i="9"/>
  <c r="H19" i="9"/>
  <c r="I19" i="9"/>
  <c r="J19" i="9"/>
  <c r="K19" i="9"/>
  <c r="L19" i="9"/>
  <c r="M19" i="9"/>
  <c r="N19" i="9"/>
  <c r="E22" i="9"/>
  <c r="F22" i="9"/>
  <c r="G22" i="9"/>
  <c r="H22" i="9"/>
  <c r="I22" i="9"/>
  <c r="J22" i="9"/>
  <c r="K22" i="9"/>
  <c r="L22" i="9"/>
  <c r="M22" i="9"/>
  <c r="N22" i="9"/>
  <c r="E23" i="9"/>
  <c r="F23" i="9"/>
  <c r="G23" i="9"/>
  <c r="H23" i="9"/>
  <c r="I23" i="9"/>
  <c r="J23" i="9"/>
  <c r="K23" i="9"/>
  <c r="L23" i="9"/>
  <c r="M23" i="9"/>
  <c r="N23" i="9"/>
  <c r="B24" i="9"/>
  <c r="E24" i="9"/>
  <c r="F24" i="9"/>
  <c r="G24" i="9"/>
  <c r="H24" i="9"/>
  <c r="I24" i="9"/>
  <c r="J24" i="9"/>
  <c r="K24" i="9"/>
  <c r="L24" i="9"/>
  <c r="M24" i="9"/>
  <c r="N24" i="9"/>
  <c r="B25" i="9"/>
  <c r="E25" i="9"/>
  <c r="F25" i="9"/>
  <c r="G25" i="9"/>
  <c r="H25" i="9"/>
  <c r="I25" i="9"/>
  <c r="J25" i="9"/>
  <c r="K25" i="9"/>
  <c r="L25" i="9"/>
  <c r="M25" i="9"/>
  <c r="N25" i="9"/>
  <c r="B26" i="9"/>
  <c r="E26" i="9"/>
  <c r="F26" i="9"/>
  <c r="G26" i="9"/>
  <c r="H26" i="9"/>
  <c r="I26" i="9"/>
  <c r="J26" i="9"/>
  <c r="K26" i="9"/>
  <c r="L26" i="9"/>
  <c r="M26" i="9"/>
  <c r="N26" i="9"/>
  <c r="B27" i="9"/>
  <c r="E27" i="9"/>
  <c r="F27" i="9"/>
  <c r="G27" i="9"/>
  <c r="H27" i="9"/>
  <c r="I27" i="9"/>
  <c r="J27" i="9"/>
  <c r="K27" i="9"/>
  <c r="L27" i="9"/>
  <c r="M27" i="9"/>
  <c r="N27" i="9"/>
  <c r="B28" i="9"/>
  <c r="E28" i="9"/>
  <c r="F28" i="9"/>
  <c r="G28" i="9"/>
  <c r="H28" i="9"/>
  <c r="I28" i="9"/>
  <c r="J28" i="9"/>
  <c r="K28" i="9"/>
  <c r="L28" i="9"/>
  <c r="M28" i="9"/>
  <c r="N28" i="9"/>
  <c r="B29" i="9"/>
  <c r="E29" i="9"/>
  <c r="F29" i="9"/>
  <c r="G29" i="9"/>
  <c r="H29" i="9"/>
  <c r="I29" i="9"/>
  <c r="J29" i="9"/>
  <c r="K29" i="9"/>
  <c r="L29" i="9"/>
  <c r="M29" i="9"/>
  <c r="N29" i="9"/>
  <c r="B30" i="9"/>
  <c r="E30" i="9"/>
  <c r="F30" i="9"/>
  <c r="G30" i="9"/>
  <c r="H30" i="9"/>
  <c r="I30" i="9"/>
  <c r="J30" i="9"/>
  <c r="K30" i="9"/>
  <c r="L30" i="9"/>
  <c r="M30" i="9"/>
  <c r="N30" i="9"/>
  <c r="D31" i="9"/>
  <c r="E33" i="9"/>
  <c r="F33" i="9"/>
  <c r="G33" i="9"/>
  <c r="H33" i="9"/>
  <c r="I33" i="9"/>
  <c r="J33" i="9"/>
  <c r="K33" i="9"/>
  <c r="L33" i="9"/>
  <c r="M33" i="9"/>
  <c r="N33" i="9"/>
  <c r="E34" i="9"/>
  <c r="F34" i="9"/>
  <c r="G34" i="9"/>
  <c r="H34" i="9"/>
  <c r="I34" i="9"/>
  <c r="J34" i="9"/>
  <c r="K34" i="9"/>
  <c r="L34" i="9"/>
  <c r="M34" i="9"/>
  <c r="N34" i="9"/>
  <c r="E35" i="9"/>
  <c r="F35" i="9"/>
  <c r="G35" i="9"/>
  <c r="H35" i="9"/>
  <c r="I35" i="9"/>
  <c r="J35" i="9"/>
  <c r="K35" i="9"/>
  <c r="L35" i="9"/>
  <c r="M35" i="9"/>
  <c r="N35" i="9"/>
  <c r="E36" i="9"/>
  <c r="F36" i="9"/>
  <c r="G36" i="9"/>
  <c r="H36" i="9"/>
  <c r="I36" i="9"/>
  <c r="J36" i="9"/>
  <c r="K36" i="9"/>
  <c r="L36" i="9"/>
  <c r="M36" i="9"/>
  <c r="N36" i="9"/>
  <c r="E37" i="9"/>
  <c r="F37" i="9"/>
  <c r="G37" i="9"/>
  <c r="H37" i="9"/>
  <c r="I37" i="9"/>
  <c r="J37" i="9"/>
  <c r="K37" i="9"/>
  <c r="L37" i="9"/>
  <c r="M37" i="9"/>
  <c r="N37" i="9"/>
  <c r="E38" i="9"/>
  <c r="F38" i="9"/>
  <c r="G38" i="9"/>
  <c r="H38" i="9"/>
  <c r="I38" i="9"/>
  <c r="J38" i="9"/>
  <c r="K38" i="9"/>
  <c r="L38" i="9"/>
  <c r="M38" i="9"/>
  <c r="N38" i="9"/>
  <c r="E39" i="9"/>
  <c r="F39" i="9"/>
  <c r="G39" i="9"/>
  <c r="H39" i="9"/>
  <c r="I39" i="9"/>
  <c r="J39" i="9"/>
  <c r="K39" i="9"/>
  <c r="L39" i="9"/>
  <c r="M39" i="9"/>
  <c r="N39" i="9"/>
  <c r="E40" i="9"/>
  <c r="F40" i="9"/>
  <c r="G40" i="9"/>
  <c r="H40" i="9"/>
  <c r="I40" i="9"/>
  <c r="J40" i="9"/>
  <c r="K40" i="9"/>
  <c r="L40" i="9"/>
  <c r="M40" i="9"/>
  <c r="N40" i="9"/>
  <c r="E41" i="9"/>
  <c r="F41" i="9"/>
  <c r="G41" i="9"/>
  <c r="H41" i="9"/>
  <c r="I41" i="9"/>
  <c r="J41" i="9"/>
  <c r="K41" i="9"/>
  <c r="L41" i="9"/>
  <c r="M41" i="9"/>
  <c r="N41" i="9"/>
  <c r="E43" i="9"/>
  <c r="F43" i="9"/>
  <c r="G43" i="9"/>
  <c r="H43" i="9"/>
  <c r="I43" i="9"/>
  <c r="J43" i="9"/>
  <c r="K43" i="9"/>
  <c r="L43" i="9"/>
  <c r="M43" i="9"/>
  <c r="N43" i="9"/>
  <c r="E44" i="9"/>
  <c r="F44" i="9"/>
  <c r="G44" i="9"/>
  <c r="H44" i="9"/>
  <c r="I44" i="9"/>
  <c r="J44" i="9"/>
  <c r="K44" i="9"/>
  <c r="L44" i="9"/>
  <c r="M44" i="9"/>
  <c r="N44" i="9"/>
  <c r="E45" i="9"/>
  <c r="F45" i="9"/>
  <c r="G45" i="9"/>
  <c r="H45" i="9"/>
  <c r="I45" i="9"/>
  <c r="J45" i="9"/>
  <c r="K45" i="9"/>
  <c r="L45" i="9"/>
  <c r="M45" i="9"/>
  <c r="N45" i="9"/>
  <c r="E46" i="9"/>
  <c r="F46" i="9"/>
  <c r="G46" i="9"/>
  <c r="H46" i="9"/>
  <c r="I46" i="9"/>
  <c r="J46" i="9"/>
  <c r="K46" i="9"/>
  <c r="L46" i="9"/>
  <c r="M46" i="9"/>
  <c r="N46" i="9"/>
  <c r="E47" i="9"/>
  <c r="F47" i="9"/>
  <c r="G47" i="9"/>
  <c r="H47" i="9"/>
  <c r="I47" i="9"/>
  <c r="J47" i="9"/>
  <c r="K47" i="9"/>
  <c r="L47" i="9"/>
  <c r="M47" i="9"/>
  <c r="N47" i="9"/>
  <c r="E48" i="9"/>
  <c r="F48" i="9"/>
  <c r="G48" i="9"/>
  <c r="H48" i="9"/>
  <c r="I48" i="9"/>
  <c r="J48" i="9"/>
  <c r="K48" i="9"/>
  <c r="L48" i="9"/>
  <c r="M48" i="9"/>
  <c r="N48" i="9"/>
  <c r="E49" i="9"/>
  <c r="F49" i="9"/>
  <c r="G49" i="9"/>
  <c r="H49" i="9"/>
  <c r="I49" i="9"/>
  <c r="J49" i="9"/>
  <c r="K49" i="9"/>
  <c r="L49" i="9"/>
  <c r="M49" i="9"/>
  <c r="N49" i="9"/>
  <c r="E50" i="9"/>
  <c r="F50" i="9"/>
  <c r="G50" i="9"/>
  <c r="H50" i="9"/>
  <c r="I50" i="9"/>
  <c r="J50" i="9"/>
  <c r="K50" i="9"/>
  <c r="L50" i="9"/>
  <c r="M50" i="9"/>
  <c r="N50" i="9"/>
  <c r="E51" i="9"/>
  <c r="F51" i="9"/>
  <c r="G51" i="9"/>
  <c r="H51" i="9"/>
  <c r="I51" i="9"/>
  <c r="J51" i="9"/>
  <c r="K51" i="9"/>
  <c r="L51" i="9"/>
  <c r="M51" i="9"/>
  <c r="N51" i="9"/>
  <c r="E54" i="9"/>
  <c r="F54" i="9"/>
  <c r="G54" i="9"/>
  <c r="H54" i="9"/>
  <c r="I54" i="9"/>
  <c r="J54" i="9"/>
  <c r="K54" i="9"/>
  <c r="L54" i="9"/>
  <c r="M54" i="9"/>
  <c r="N54" i="9"/>
  <c r="E55" i="9"/>
  <c r="F55" i="9"/>
  <c r="G55" i="9"/>
  <c r="H55" i="9"/>
  <c r="I55" i="9"/>
  <c r="J55" i="9"/>
  <c r="K55" i="9"/>
  <c r="L55" i="9"/>
  <c r="M55" i="9"/>
  <c r="N55" i="9"/>
  <c r="E58" i="9"/>
  <c r="F58" i="9"/>
  <c r="G58" i="9"/>
  <c r="H58" i="9"/>
  <c r="I58" i="9"/>
  <c r="J58" i="9"/>
  <c r="K58" i="9"/>
  <c r="L58" i="9"/>
  <c r="M58" i="9"/>
  <c r="N58" i="9"/>
  <c r="E59" i="9"/>
  <c r="F59" i="9"/>
  <c r="G59" i="9"/>
  <c r="H59" i="9"/>
  <c r="I59" i="9"/>
  <c r="J59" i="9"/>
  <c r="K59" i="9"/>
  <c r="L59" i="9"/>
  <c r="M59" i="9"/>
  <c r="N59" i="9"/>
  <c r="E60" i="9"/>
  <c r="F60" i="9"/>
  <c r="G60" i="9"/>
  <c r="H60" i="9"/>
  <c r="I60" i="9"/>
  <c r="J60" i="9"/>
  <c r="K60" i="9"/>
  <c r="L60" i="9"/>
  <c r="M60" i="9"/>
  <c r="N60" i="9"/>
  <c r="E81" i="9"/>
  <c r="F81" i="9"/>
  <c r="G81" i="9"/>
  <c r="H81" i="9"/>
  <c r="I81" i="9"/>
  <c r="J81" i="9"/>
  <c r="K81" i="9"/>
  <c r="L81" i="9"/>
  <c r="M81" i="9"/>
  <c r="N81" i="9"/>
  <c r="E82" i="9"/>
  <c r="F82" i="9"/>
  <c r="G82" i="9"/>
  <c r="H82" i="9"/>
  <c r="I82" i="9"/>
  <c r="J82" i="9"/>
  <c r="K82" i="9"/>
  <c r="L82" i="9"/>
  <c r="M82" i="9"/>
  <c r="N82" i="9"/>
  <c r="E83" i="9"/>
  <c r="F83" i="9"/>
  <c r="G83" i="9"/>
  <c r="H83" i="9"/>
  <c r="I83" i="9"/>
  <c r="J83" i="9"/>
  <c r="K83" i="9"/>
  <c r="L83" i="9"/>
  <c r="M83" i="9"/>
  <c r="N83" i="9"/>
  <c r="E84" i="9"/>
  <c r="F84" i="9"/>
  <c r="G84" i="9"/>
  <c r="H84" i="9"/>
  <c r="I84" i="9"/>
  <c r="J84" i="9"/>
  <c r="K84" i="9"/>
  <c r="L84" i="9"/>
  <c r="M84" i="9"/>
  <c r="N84" i="9"/>
  <c r="E85" i="9"/>
  <c r="F85" i="9"/>
  <c r="G85" i="9"/>
  <c r="H85" i="9"/>
  <c r="I85" i="9"/>
  <c r="J85" i="9"/>
  <c r="K85" i="9"/>
  <c r="L85" i="9"/>
  <c r="M85" i="9"/>
  <c r="N85" i="9"/>
  <c r="E86" i="9"/>
  <c r="F86" i="9"/>
  <c r="G86" i="9"/>
  <c r="H86" i="9"/>
  <c r="I86" i="9"/>
  <c r="J86" i="9"/>
  <c r="K86" i="9"/>
  <c r="L86" i="9"/>
  <c r="M86" i="9"/>
  <c r="N86" i="9"/>
  <c r="E87" i="9"/>
  <c r="F87" i="9"/>
  <c r="G87" i="9"/>
  <c r="H87" i="9"/>
  <c r="I87" i="9"/>
  <c r="J87" i="9"/>
  <c r="K87" i="9"/>
  <c r="L87" i="9"/>
  <c r="M87" i="9"/>
  <c r="N87" i="9"/>
  <c r="E88" i="9"/>
  <c r="F88" i="9"/>
  <c r="G88" i="9"/>
  <c r="H88" i="9"/>
  <c r="I88" i="9"/>
  <c r="J88" i="9"/>
  <c r="K88" i="9"/>
  <c r="L88" i="9"/>
  <c r="M88" i="9"/>
  <c r="N88" i="9"/>
  <c r="E94" i="9"/>
  <c r="F94" i="9"/>
  <c r="G94" i="9"/>
  <c r="H94" i="9"/>
  <c r="I94" i="9"/>
  <c r="J94" i="9"/>
  <c r="K94" i="9"/>
  <c r="L94" i="9"/>
  <c r="M94" i="9"/>
  <c r="N94" i="9"/>
  <c r="E95" i="9"/>
  <c r="F95" i="9"/>
  <c r="G95" i="9"/>
  <c r="H95" i="9"/>
  <c r="I95" i="9"/>
  <c r="J95" i="9"/>
  <c r="K95" i="9"/>
  <c r="L95" i="9"/>
  <c r="M95" i="9"/>
  <c r="N95" i="9"/>
  <c r="E96" i="9"/>
  <c r="F96" i="9"/>
  <c r="G96" i="9"/>
  <c r="H96" i="9"/>
  <c r="I96" i="9"/>
  <c r="J96" i="9"/>
  <c r="K96" i="9"/>
  <c r="L96" i="9"/>
  <c r="M96" i="9"/>
  <c r="N96" i="9"/>
  <c r="E2" i="10"/>
  <c r="F2" i="10"/>
  <c r="G2" i="10"/>
  <c r="H2" i="10"/>
  <c r="I2" i="10"/>
  <c r="J2" i="10"/>
  <c r="K2" i="10"/>
  <c r="L2" i="10"/>
  <c r="M2" i="10"/>
  <c r="N2" i="10"/>
  <c r="E4" i="10"/>
  <c r="F4" i="10"/>
  <c r="G4" i="10"/>
  <c r="H4" i="10"/>
  <c r="I4" i="10"/>
  <c r="J4" i="10"/>
  <c r="K4" i="10"/>
  <c r="L4" i="10"/>
  <c r="M4" i="10"/>
  <c r="N4" i="10"/>
  <c r="E5" i="10"/>
  <c r="F5" i="10"/>
  <c r="G5" i="10"/>
  <c r="H5" i="10"/>
  <c r="I5" i="10"/>
  <c r="J5" i="10"/>
  <c r="K5" i="10"/>
  <c r="L5" i="10"/>
  <c r="M5" i="10"/>
  <c r="N5" i="10"/>
  <c r="E6" i="10"/>
  <c r="F6" i="10"/>
  <c r="G6" i="10"/>
  <c r="H6" i="10"/>
  <c r="I6" i="10"/>
  <c r="J6" i="10"/>
  <c r="K6" i="10"/>
  <c r="L6" i="10"/>
  <c r="M6" i="10"/>
  <c r="N6" i="10"/>
  <c r="A9" i="10"/>
  <c r="E9" i="10"/>
  <c r="F9" i="10"/>
  <c r="G9" i="10"/>
  <c r="H9" i="10"/>
  <c r="I9" i="10"/>
  <c r="J9" i="10"/>
  <c r="K9" i="10"/>
  <c r="L9" i="10"/>
  <c r="M9" i="10"/>
  <c r="N9" i="10"/>
  <c r="A10" i="10"/>
  <c r="E10" i="10"/>
  <c r="F10" i="10"/>
  <c r="G10" i="10"/>
  <c r="H10" i="10"/>
  <c r="I10" i="10"/>
  <c r="J10" i="10"/>
  <c r="K10" i="10"/>
  <c r="L10" i="10"/>
  <c r="M10" i="10"/>
  <c r="N10" i="10"/>
  <c r="A11" i="10"/>
  <c r="E11" i="10"/>
  <c r="F11" i="10"/>
  <c r="G11" i="10"/>
  <c r="H11" i="10"/>
  <c r="I11" i="10"/>
  <c r="J11" i="10"/>
  <c r="K11" i="10"/>
  <c r="L11" i="10"/>
  <c r="M11" i="10"/>
  <c r="N11" i="10"/>
  <c r="A12" i="10"/>
  <c r="E12" i="10"/>
  <c r="F12" i="10"/>
  <c r="G12" i="10"/>
  <c r="H12" i="10"/>
  <c r="I12" i="10"/>
  <c r="J12" i="10"/>
  <c r="K12" i="10"/>
  <c r="L12" i="10"/>
  <c r="M12" i="10"/>
  <c r="N12" i="10"/>
  <c r="A13" i="10"/>
  <c r="E13" i="10"/>
  <c r="F13" i="10"/>
  <c r="G13" i="10"/>
  <c r="H13" i="10"/>
  <c r="I13" i="10"/>
  <c r="J13" i="10"/>
  <c r="K13" i="10"/>
  <c r="L13" i="10"/>
  <c r="M13" i="10"/>
  <c r="N13" i="10"/>
  <c r="A14" i="10"/>
  <c r="E14" i="10"/>
  <c r="F14" i="10"/>
  <c r="G14" i="10"/>
  <c r="H14" i="10"/>
  <c r="I14" i="10"/>
  <c r="J14" i="10"/>
  <c r="K14" i="10"/>
  <c r="L14" i="10"/>
  <c r="M14" i="10"/>
  <c r="N14" i="10"/>
  <c r="A15" i="10"/>
  <c r="E15" i="10"/>
  <c r="F15" i="10"/>
  <c r="G15" i="10"/>
  <c r="H15" i="10"/>
  <c r="I15" i="10"/>
  <c r="J15" i="10"/>
  <c r="K15" i="10"/>
  <c r="L15" i="10"/>
  <c r="M15" i="10"/>
  <c r="N15" i="10"/>
  <c r="A16" i="10"/>
  <c r="E16" i="10"/>
  <c r="F16" i="10"/>
  <c r="G16" i="10"/>
  <c r="H16" i="10"/>
  <c r="I16" i="10"/>
  <c r="J16" i="10"/>
  <c r="K16" i="10"/>
  <c r="L16" i="10"/>
  <c r="M16" i="10"/>
  <c r="N16" i="10"/>
  <c r="A17" i="10"/>
  <c r="E17" i="10"/>
  <c r="F17" i="10"/>
  <c r="G17" i="10"/>
  <c r="H17" i="10"/>
  <c r="I17" i="10"/>
  <c r="J17" i="10"/>
  <c r="K17" i="10"/>
  <c r="L17" i="10"/>
  <c r="M17" i="10"/>
  <c r="N17" i="10"/>
  <c r="E18" i="10"/>
  <c r="F18" i="10"/>
  <c r="G18" i="10"/>
  <c r="H18" i="10"/>
  <c r="I18" i="10"/>
  <c r="J18" i="10"/>
  <c r="K18" i="10"/>
  <c r="L18" i="10"/>
  <c r="M18" i="10"/>
  <c r="N18" i="10"/>
  <c r="E19" i="10"/>
  <c r="F19" i="10"/>
  <c r="G19" i="10"/>
  <c r="H19" i="10"/>
  <c r="I19" i="10"/>
  <c r="J19" i="10"/>
  <c r="K19" i="10"/>
  <c r="L19" i="10"/>
  <c r="M19" i="10"/>
  <c r="N19" i="10"/>
  <c r="E22" i="10"/>
  <c r="F22" i="10"/>
  <c r="G22" i="10"/>
  <c r="H22" i="10"/>
  <c r="I22" i="10"/>
  <c r="J22" i="10"/>
  <c r="K22" i="10"/>
  <c r="L22" i="10"/>
  <c r="M22" i="10"/>
  <c r="N22" i="10"/>
  <c r="E23" i="10"/>
  <c r="F23" i="10"/>
  <c r="G23" i="10"/>
  <c r="H23" i="10"/>
  <c r="I23" i="10"/>
  <c r="J23" i="10"/>
  <c r="K23" i="10"/>
  <c r="L23" i="10"/>
  <c r="M23" i="10"/>
  <c r="N23" i="10"/>
  <c r="B24" i="10"/>
  <c r="E24" i="10"/>
  <c r="F24" i="10"/>
  <c r="G24" i="10"/>
  <c r="H24" i="10"/>
  <c r="I24" i="10"/>
  <c r="J24" i="10"/>
  <c r="K24" i="10"/>
  <c r="L24" i="10"/>
  <c r="M24" i="10"/>
  <c r="N24" i="10"/>
  <c r="B25" i="10"/>
  <c r="E25" i="10"/>
  <c r="F25" i="10"/>
  <c r="G25" i="10"/>
  <c r="H25" i="10"/>
  <c r="I25" i="10"/>
  <c r="J25" i="10"/>
  <c r="K25" i="10"/>
  <c r="L25" i="10"/>
  <c r="M25" i="10"/>
  <c r="N25" i="10"/>
  <c r="B26" i="10"/>
  <c r="E26" i="10"/>
  <c r="F26" i="10"/>
  <c r="G26" i="10"/>
  <c r="H26" i="10"/>
  <c r="I26" i="10"/>
  <c r="J26" i="10"/>
  <c r="K26" i="10"/>
  <c r="L26" i="10"/>
  <c r="M26" i="10"/>
  <c r="N26" i="10"/>
  <c r="B27" i="10"/>
  <c r="E27" i="10"/>
  <c r="F27" i="10"/>
  <c r="G27" i="10"/>
  <c r="H27" i="10"/>
  <c r="I27" i="10"/>
  <c r="J27" i="10"/>
  <c r="K27" i="10"/>
  <c r="L27" i="10"/>
  <c r="M27" i="10"/>
  <c r="N27" i="10"/>
  <c r="B28" i="10"/>
  <c r="E28" i="10"/>
  <c r="F28" i="10"/>
  <c r="G28" i="10"/>
  <c r="H28" i="10"/>
  <c r="I28" i="10"/>
  <c r="J28" i="10"/>
  <c r="K28" i="10"/>
  <c r="L28" i="10"/>
  <c r="M28" i="10"/>
  <c r="N28" i="10"/>
  <c r="B29" i="10"/>
  <c r="E29" i="10"/>
  <c r="F29" i="10"/>
  <c r="G29" i="10"/>
  <c r="H29" i="10"/>
  <c r="I29" i="10"/>
  <c r="J29" i="10"/>
  <c r="K29" i="10"/>
  <c r="L29" i="10"/>
  <c r="M29" i="10"/>
  <c r="N29" i="10"/>
  <c r="B30" i="10"/>
  <c r="E30" i="10"/>
  <c r="F30" i="10"/>
  <c r="G30" i="10"/>
  <c r="H30" i="10"/>
  <c r="I30" i="10"/>
  <c r="J30" i="10"/>
  <c r="K30" i="10"/>
  <c r="L30" i="10"/>
  <c r="M30" i="10"/>
  <c r="N30" i="10"/>
  <c r="D31" i="10"/>
  <c r="E33" i="10"/>
  <c r="F33" i="10"/>
  <c r="G33" i="10"/>
  <c r="H33" i="10"/>
  <c r="I33" i="10"/>
  <c r="J33" i="10"/>
  <c r="K33" i="10"/>
  <c r="L33" i="10"/>
  <c r="M33" i="10"/>
  <c r="N33" i="10"/>
  <c r="E34" i="10"/>
  <c r="F34" i="10"/>
  <c r="G34" i="10"/>
  <c r="H34" i="10"/>
  <c r="I34" i="10"/>
  <c r="J34" i="10"/>
  <c r="K34" i="10"/>
  <c r="L34" i="10"/>
  <c r="M34" i="10"/>
  <c r="N34" i="10"/>
  <c r="E35" i="10"/>
  <c r="F35" i="10"/>
  <c r="G35" i="10"/>
  <c r="H35" i="10"/>
  <c r="I35" i="10"/>
  <c r="J35" i="10"/>
  <c r="K35" i="10"/>
  <c r="L35" i="10"/>
  <c r="M35" i="10"/>
  <c r="N35" i="10"/>
  <c r="E36" i="10"/>
  <c r="F36" i="10"/>
  <c r="G36" i="10"/>
  <c r="H36" i="10"/>
  <c r="I36" i="10"/>
  <c r="J36" i="10"/>
  <c r="K36" i="10"/>
  <c r="L36" i="10"/>
  <c r="M36" i="10"/>
  <c r="N36" i="10"/>
  <c r="E37" i="10"/>
  <c r="F37" i="10"/>
  <c r="G37" i="10"/>
  <c r="H37" i="10"/>
  <c r="I37" i="10"/>
  <c r="J37" i="10"/>
  <c r="K37" i="10"/>
  <c r="L37" i="10"/>
  <c r="M37" i="10"/>
  <c r="N37" i="10"/>
  <c r="E38" i="10"/>
  <c r="F38" i="10"/>
  <c r="G38" i="10"/>
  <c r="H38" i="10"/>
  <c r="I38" i="10"/>
  <c r="J38" i="10"/>
  <c r="K38" i="10"/>
  <c r="L38" i="10"/>
  <c r="M38" i="10"/>
  <c r="N38" i="10"/>
  <c r="E39" i="10"/>
  <c r="F39" i="10"/>
  <c r="G39" i="10"/>
  <c r="H39" i="10"/>
  <c r="I39" i="10"/>
  <c r="J39" i="10"/>
  <c r="K39" i="10"/>
  <c r="L39" i="10"/>
  <c r="M39" i="10"/>
  <c r="N39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3" i="10"/>
  <c r="F43" i="10"/>
  <c r="G43" i="10"/>
  <c r="H43" i="10"/>
  <c r="I43" i="10"/>
  <c r="J43" i="10"/>
  <c r="K43" i="10"/>
  <c r="L43" i="10"/>
  <c r="M43" i="10"/>
  <c r="N43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E48" i="10"/>
  <c r="F48" i="10"/>
  <c r="G48" i="10"/>
  <c r="H48" i="10"/>
  <c r="I48" i="10"/>
  <c r="J48" i="10"/>
  <c r="K48" i="10"/>
  <c r="L48" i="10"/>
  <c r="M48" i="10"/>
  <c r="N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E51" i="10"/>
  <c r="F51" i="10"/>
  <c r="G51" i="10"/>
  <c r="H51" i="10"/>
  <c r="I51" i="10"/>
  <c r="J51" i="10"/>
  <c r="K51" i="10"/>
  <c r="L51" i="10"/>
  <c r="M51" i="10"/>
  <c r="N51" i="10"/>
  <c r="E54" i="10"/>
  <c r="F54" i="10"/>
  <c r="G54" i="10"/>
  <c r="H54" i="10"/>
  <c r="I54" i="10"/>
  <c r="J54" i="10"/>
  <c r="K54" i="10"/>
  <c r="L54" i="10"/>
  <c r="M54" i="10"/>
  <c r="N54" i="10"/>
  <c r="E55" i="10"/>
  <c r="F55" i="10"/>
  <c r="G55" i="10"/>
  <c r="H55" i="10"/>
  <c r="I55" i="10"/>
  <c r="J55" i="10"/>
  <c r="K55" i="10"/>
  <c r="L55" i="10"/>
  <c r="M55" i="10"/>
  <c r="N55" i="10"/>
  <c r="E58" i="10"/>
  <c r="F58" i="10"/>
  <c r="G58" i="10"/>
  <c r="H58" i="10"/>
  <c r="I58" i="10"/>
  <c r="J58" i="10"/>
  <c r="K58" i="10"/>
  <c r="L58" i="10"/>
  <c r="M58" i="10"/>
  <c r="N58" i="10"/>
  <c r="E59" i="10"/>
  <c r="F59" i="10"/>
  <c r="G59" i="10"/>
  <c r="H59" i="10"/>
  <c r="I59" i="10"/>
  <c r="J59" i="10"/>
  <c r="K59" i="10"/>
  <c r="L59" i="10"/>
  <c r="M59" i="10"/>
  <c r="N59" i="10"/>
  <c r="E60" i="10"/>
  <c r="F60" i="10"/>
  <c r="G60" i="10"/>
  <c r="H60" i="10"/>
  <c r="I60" i="10"/>
  <c r="J60" i="10"/>
  <c r="K60" i="10"/>
  <c r="L60" i="10"/>
  <c r="M60" i="10"/>
  <c r="N60" i="10"/>
  <c r="E81" i="10"/>
  <c r="F81" i="10"/>
  <c r="G81" i="10"/>
  <c r="H81" i="10"/>
  <c r="I81" i="10"/>
  <c r="J81" i="10"/>
  <c r="K81" i="10"/>
  <c r="L81" i="10"/>
  <c r="M81" i="10"/>
  <c r="N81" i="10"/>
  <c r="E82" i="10"/>
  <c r="F82" i="10"/>
  <c r="G82" i="10"/>
  <c r="H82" i="10"/>
  <c r="I82" i="10"/>
  <c r="J82" i="10"/>
  <c r="K82" i="10"/>
  <c r="L82" i="10"/>
  <c r="M82" i="10"/>
  <c r="N82" i="10"/>
  <c r="E83" i="10"/>
  <c r="F83" i="10"/>
  <c r="G83" i="10"/>
  <c r="H83" i="10"/>
  <c r="I83" i="10"/>
  <c r="J83" i="10"/>
  <c r="K83" i="10"/>
  <c r="L83" i="10"/>
  <c r="M83" i="10"/>
  <c r="N83" i="10"/>
  <c r="E84" i="10"/>
  <c r="F84" i="10"/>
  <c r="G84" i="10"/>
  <c r="H84" i="10"/>
  <c r="I84" i="10"/>
  <c r="J84" i="10"/>
  <c r="K84" i="10"/>
  <c r="L84" i="10"/>
  <c r="M84" i="10"/>
  <c r="N84" i="10"/>
  <c r="E85" i="10"/>
  <c r="F85" i="10"/>
  <c r="G85" i="10"/>
  <c r="H85" i="10"/>
  <c r="I85" i="10"/>
  <c r="J85" i="10"/>
  <c r="K85" i="10"/>
  <c r="L85" i="10"/>
  <c r="M85" i="10"/>
  <c r="N85" i="10"/>
  <c r="E86" i="10"/>
  <c r="F86" i="10"/>
  <c r="G86" i="10"/>
  <c r="H86" i="10"/>
  <c r="I86" i="10"/>
  <c r="J86" i="10"/>
  <c r="K86" i="10"/>
  <c r="L86" i="10"/>
  <c r="M86" i="10"/>
  <c r="N86" i="10"/>
  <c r="E87" i="10"/>
  <c r="F87" i="10"/>
  <c r="G87" i="10"/>
  <c r="H87" i="10"/>
  <c r="I87" i="10"/>
  <c r="J87" i="10"/>
  <c r="K87" i="10"/>
  <c r="L87" i="10"/>
  <c r="M87" i="10"/>
  <c r="N87" i="10"/>
  <c r="E88" i="10"/>
  <c r="F88" i="10"/>
  <c r="G88" i="10"/>
  <c r="H88" i="10"/>
  <c r="I88" i="10"/>
  <c r="J88" i="10"/>
  <c r="K88" i="10"/>
  <c r="L88" i="10"/>
  <c r="M88" i="10"/>
  <c r="N88" i="10"/>
  <c r="E94" i="10"/>
  <c r="F94" i="10"/>
  <c r="G94" i="10"/>
  <c r="H94" i="10"/>
  <c r="I94" i="10"/>
  <c r="J94" i="10"/>
  <c r="K94" i="10"/>
  <c r="L94" i="10"/>
  <c r="M94" i="10"/>
  <c r="N94" i="10"/>
  <c r="E95" i="10"/>
  <c r="F95" i="10"/>
  <c r="G95" i="10"/>
  <c r="H95" i="10"/>
  <c r="I95" i="10"/>
  <c r="J95" i="10"/>
  <c r="K95" i="10"/>
  <c r="L95" i="10"/>
  <c r="M95" i="10"/>
  <c r="N95" i="10"/>
  <c r="E96" i="10"/>
  <c r="F96" i="10"/>
  <c r="G96" i="10"/>
  <c r="H96" i="10"/>
  <c r="I96" i="10"/>
  <c r="J96" i="10"/>
  <c r="K96" i="10"/>
  <c r="L96" i="10"/>
  <c r="M96" i="10"/>
  <c r="N96" i="10"/>
  <c r="C4" i="1"/>
  <c r="G7" i="1"/>
  <c r="D13" i="1"/>
  <c r="D27" i="1"/>
  <c r="D28" i="1"/>
  <c r="D29" i="1"/>
  <c r="D31" i="1"/>
  <c r="D34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A42" i="1"/>
  <c r="E42" i="1"/>
  <c r="F42" i="1"/>
  <c r="G42" i="1"/>
  <c r="H42" i="1"/>
  <c r="I42" i="1"/>
  <c r="J42" i="1"/>
  <c r="K42" i="1"/>
  <c r="L42" i="1"/>
  <c r="M42" i="1"/>
  <c r="N42" i="1"/>
  <c r="A43" i="1"/>
  <c r="F43" i="1"/>
  <c r="G43" i="1"/>
  <c r="H43" i="1"/>
  <c r="I43" i="1"/>
  <c r="J43" i="1"/>
  <c r="K43" i="1"/>
  <c r="L43" i="1"/>
  <c r="M43" i="1"/>
  <c r="N43" i="1"/>
  <c r="A44" i="1"/>
  <c r="A45" i="1"/>
  <c r="F45" i="1"/>
  <c r="G45" i="1"/>
  <c r="H45" i="1"/>
  <c r="I45" i="1"/>
  <c r="J45" i="1"/>
  <c r="K45" i="1"/>
  <c r="L45" i="1"/>
  <c r="M45" i="1"/>
  <c r="N45" i="1"/>
  <c r="A46" i="1"/>
  <c r="F46" i="1"/>
  <c r="G46" i="1"/>
  <c r="H46" i="1"/>
  <c r="I46" i="1"/>
  <c r="J46" i="1"/>
  <c r="K46" i="1"/>
  <c r="L46" i="1"/>
  <c r="M46" i="1"/>
  <c r="N46" i="1"/>
  <c r="A47" i="1"/>
  <c r="F47" i="1"/>
  <c r="G47" i="1"/>
  <c r="H47" i="1"/>
  <c r="I47" i="1"/>
  <c r="J47" i="1"/>
  <c r="K47" i="1"/>
  <c r="L47" i="1"/>
  <c r="M47" i="1"/>
  <c r="N47" i="1"/>
  <c r="A48" i="1"/>
  <c r="F48" i="1"/>
  <c r="G48" i="1"/>
  <c r="H48" i="1"/>
  <c r="I48" i="1"/>
  <c r="J48" i="1"/>
  <c r="K48" i="1"/>
  <c r="L48" i="1"/>
  <c r="M48" i="1"/>
  <c r="N48" i="1"/>
  <c r="A49" i="1"/>
  <c r="D49" i="1"/>
  <c r="F49" i="1"/>
  <c r="G49" i="1"/>
  <c r="H49" i="1"/>
  <c r="I49" i="1"/>
  <c r="J49" i="1"/>
  <c r="K49" i="1"/>
  <c r="L49" i="1"/>
  <c r="M49" i="1"/>
  <c r="N49" i="1"/>
  <c r="A50" i="1"/>
  <c r="F50" i="1"/>
  <c r="G50" i="1"/>
  <c r="H50" i="1"/>
  <c r="I50" i="1"/>
  <c r="J50" i="1"/>
  <c r="K50" i="1"/>
  <c r="L50" i="1"/>
  <c r="M50" i="1"/>
  <c r="N50" i="1"/>
  <c r="A51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D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A56" i="1"/>
  <c r="E56" i="1"/>
  <c r="F56" i="1"/>
  <c r="G56" i="1"/>
  <c r="H56" i="1"/>
  <c r="I56" i="1"/>
  <c r="J56" i="1"/>
  <c r="K56" i="1"/>
  <c r="L56" i="1"/>
  <c r="M56" i="1"/>
  <c r="N56" i="1"/>
  <c r="A57" i="1"/>
  <c r="A58" i="1"/>
  <c r="A59" i="1"/>
  <c r="A60" i="1"/>
  <c r="A61" i="1"/>
  <c r="A62" i="1"/>
  <c r="A63" i="1"/>
  <c r="A64" i="1"/>
  <c r="E65" i="1"/>
  <c r="F65" i="1"/>
  <c r="G65" i="1"/>
  <c r="H65" i="1"/>
  <c r="I65" i="1"/>
  <c r="J65" i="1"/>
  <c r="K65" i="1"/>
  <c r="L65" i="1"/>
  <c r="M65" i="1"/>
  <c r="N65" i="1"/>
  <c r="E71" i="1"/>
  <c r="F71" i="1"/>
  <c r="G71" i="1"/>
  <c r="H71" i="1"/>
  <c r="I71" i="1"/>
  <c r="J71" i="1"/>
  <c r="K71" i="1"/>
  <c r="L71" i="1"/>
  <c r="M71" i="1"/>
  <c r="N71" i="1"/>
  <c r="A72" i="1"/>
  <c r="E72" i="1"/>
  <c r="F72" i="1"/>
  <c r="G72" i="1"/>
  <c r="H72" i="1"/>
  <c r="I72" i="1"/>
  <c r="J72" i="1"/>
  <c r="K72" i="1"/>
  <c r="L72" i="1"/>
  <c r="M72" i="1"/>
  <c r="N72" i="1"/>
  <c r="A73" i="1"/>
  <c r="E73" i="1"/>
  <c r="F73" i="1"/>
  <c r="G73" i="1"/>
  <c r="H73" i="1"/>
  <c r="I73" i="1"/>
  <c r="J73" i="1"/>
  <c r="K73" i="1"/>
  <c r="L73" i="1"/>
  <c r="M73" i="1"/>
  <c r="N73" i="1"/>
  <c r="A74" i="1"/>
  <c r="E74" i="1"/>
  <c r="F74" i="1"/>
  <c r="G74" i="1"/>
  <c r="H74" i="1"/>
  <c r="I74" i="1"/>
  <c r="J74" i="1"/>
  <c r="K74" i="1"/>
  <c r="L74" i="1"/>
  <c r="M74" i="1"/>
  <c r="N74" i="1"/>
  <c r="A75" i="1"/>
  <c r="E75" i="1"/>
  <c r="F75" i="1"/>
  <c r="G75" i="1"/>
  <c r="H75" i="1"/>
  <c r="I75" i="1"/>
  <c r="J75" i="1"/>
  <c r="K75" i="1"/>
  <c r="L75" i="1"/>
  <c r="M75" i="1"/>
  <c r="N75" i="1"/>
  <c r="A76" i="1"/>
  <c r="E76" i="1"/>
  <c r="F76" i="1"/>
  <c r="G76" i="1"/>
  <c r="H76" i="1"/>
  <c r="I76" i="1"/>
  <c r="J76" i="1"/>
  <c r="K76" i="1"/>
  <c r="L76" i="1"/>
  <c r="M76" i="1"/>
  <c r="N76" i="1"/>
  <c r="A77" i="1"/>
  <c r="E77" i="1"/>
  <c r="F77" i="1"/>
  <c r="G77" i="1"/>
  <c r="H77" i="1"/>
  <c r="I77" i="1"/>
  <c r="J77" i="1"/>
  <c r="K77" i="1"/>
  <c r="L77" i="1"/>
  <c r="M77" i="1"/>
  <c r="N77" i="1"/>
  <c r="A78" i="1"/>
  <c r="E78" i="1"/>
  <c r="F78" i="1"/>
  <c r="G78" i="1"/>
  <c r="H78" i="1"/>
  <c r="I78" i="1"/>
  <c r="J78" i="1"/>
  <c r="K78" i="1"/>
  <c r="L78" i="1"/>
  <c r="M78" i="1"/>
  <c r="N78" i="1"/>
  <c r="A79" i="1"/>
  <c r="E79" i="1"/>
  <c r="F79" i="1"/>
  <c r="G79" i="1"/>
  <c r="H79" i="1"/>
  <c r="I79" i="1"/>
  <c r="J79" i="1"/>
  <c r="K79" i="1"/>
  <c r="L79" i="1"/>
  <c r="M79" i="1"/>
  <c r="N79" i="1"/>
  <c r="A80" i="1"/>
  <c r="E80" i="1"/>
  <c r="F80" i="1"/>
  <c r="G80" i="1"/>
  <c r="H80" i="1"/>
  <c r="I80" i="1"/>
  <c r="J80" i="1"/>
  <c r="K80" i="1"/>
  <c r="L80" i="1"/>
  <c r="M80" i="1"/>
  <c r="N80" i="1"/>
  <c r="A81" i="1"/>
  <c r="E81" i="1"/>
  <c r="F81" i="1"/>
  <c r="G81" i="1"/>
  <c r="H81" i="1"/>
  <c r="I81" i="1"/>
  <c r="J81" i="1"/>
  <c r="K81" i="1"/>
  <c r="L81" i="1"/>
  <c r="M81" i="1"/>
  <c r="N81" i="1"/>
  <c r="A82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A86" i="1"/>
  <c r="E86" i="1"/>
  <c r="F86" i="1"/>
  <c r="G86" i="1"/>
  <c r="H86" i="1"/>
  <c r="I86" i="1"/>
  <c r="J86" i="1"/>
  <c r="K86" i="1"/>
  <c r="L86" i="1"/>
  <c r="M86" i="1"/>
  <c r="N86" i="1"/>
  <c r="A87" i="1"/>
  <c r="E87" i="1"/>
  <c r="F87" i="1"/>
  <c r="G87" i="1"/>
  <c r="H87" i="1"/>
  <c r="I87" i="1"/>
  <c r="J87" i="1"/>
  <c r="K87" i="1"/>
  <c r="L87" i="1"/>
  <c r="M87" i="1"/>
  <c r="N87" i="1"/>
  <c r="A88" i="1"/>
  <c r="E88" i="1"/>
  <c r="F88" i="1"/>
  <c r="G88" i="1"/>
  <c r="H88" i="1"/>
  <c r="I88" i="1"/>
  <c r="J88" i="1"/>
  <c r="K88" i="1"/>
  <c r="L88" i="1"/>
  <c r="M88" i="1"/>
  <c r="N88" i="1"/>
  <c r="A89" i="1"/>
  <c r="E89" i="1"/>
  <c r="F89" i="1"/>
  <c r="G89" i="1"/>
  <c r="H89" i="1"/>
  <c r="I89" i="1"/>
  <c r="J89" i="1"/>
  <c r="K89" i="1"/>
  <c r="L89" i="1"/>
  <c r="M89" i="1"/>
  <c r="N89" i="1"/>
  <c r="A90" i="1"/>
  <c r="E90" i="1"/>
  <c r="F90" i="1"/>
  <c r="G90" i="1"/>
  <c r="H90" i="1"/>
  <c r="I90" i="1"/>
  <c r="J90" i="1"/>
  <c r="K90" i="1"/>
  <c r="L90" i="1"/>
  <c r="M90" i="1"/>
  <c r="N90" i="1"/>
  <c r="A91" i="1"/>
  <c r="E91" i="1"/>
  <c r="F91" i="1"/>
  <c r="G91" i="1"/>
  <c r="H91" i="1"/>
  <c r="I91" i="1"/>
  <c r="J91" i="1"/>
  <c r="K91" i="1"/>
  <c r="L91" i="1"/>
  <c r="M91" i="1"/>
  <c r="N91" i="1"/>
  <c r="A92" i="1"/>
  <c r="E92" i="1"/>
  <c r="F92" i="1"/>
  <c r="G92" i="1"/>
  <c r="H92" i="1"/>
  <c r="I92" i="1"/>
  <c r="J92" i="1"/>
  <c r="K92" i="1"/>
  <c r="L92" i="1"/>
  <c r="M92" i="1"/>
  <c r="N92" i="1"/>
  <c r="A93" i="1"/>
  <c r="E93" i="1"/>
  <c r="F93" i="1"/>
  <c r="G93" i="1"/>
  <c r="H93" i="1"/>
  <c r="I93" i="1"/>
  <c r="J93" i="1"/>
  <c r="K93" i="1"/>
  <c r="L93" i="1"/>
  <c r="M93" i="1"/>
  <c r="N93" i="1"/>
  <c r="A94" i="1"/>
  <c r="E94" i="1"/>
  <c r="F94" i="1"/>
  <c r="G94" i="1"/>
  <c r="H94" i="1"/>
  <c r="I94" i="1"/>
  <c r="J94" i="1"/>
  <c r="K94" i="1"/>
  <c r="L94" i="1"/>
  <c r="M94" i="1"/>
  <c r="N94" i="1"/>
  <c r="D98" i="1"/>
  <c r="E100" i="1"/>
  <c r="F100" i="1"/>
  <c r="G100" i="1"/>
  <c r="H100" i="1"/>
  <c r="I100" i="1"/>
  <c r="J100" i="1"/>
  <c r="K100" i="1"/>
  <c r="L100" i="1"/>
  <c r="M100" i="1"/>
  <c r="N100" i="1"/>
  <c r="D103" i="1"/>
  <c r="E108" i="1"/>
  <c r="F108" i="1"/>
  <c r="G108" i="1"/>
  <c r="H108" i="1"/>
  <c r="I108" i="1"/>
  <c r="J108" i="1"/>
  <c r="K108" i="1"/>
  <c r="L108" i="1"/>
  <c r="M108" i="1"/>
  <c r="N108" i="1"/>
  <c r="E111" i="1"/>
  <c r="F111" i="1"/>
  <c r="G111" i="1"/>
  <c r="H111" i="1"/>
  <c r="I111" i="1"/>
  <c r="J111" i="1"/>
  <c r="K111" i="1"/>
  <c r="L111" i="1"/>
  <c r="M111" i="1"/>
  <c r="N111" i="1"/>
  <c r="E117" i="1"/>
  <c r="F117" i="1"/>
  <c r="G117" i="1"/>
  <c r="H117" i="1"/>
  <c r="I117" i="1"/>
  <c r="J117" i="1"/>
  <c r="K117" i="1"/>
  <c r="L117" i="1"/>
  <c r="M117" i="1"/>
  <c r="N117" i="1"/>
  <c r="D119" i="1"/>
  <c r="E119" i="1"/>
  <c r="F119" i="1"/>
  <c r="G119" i="1"/>
  <c r="H119" i="1"/>
  <c r="I119" i="1"/>
  <c r="J119" i="1"/>
  <c r="K119" i="1"/>
  <c r="L119" i="1"/>
  <c r="M119" i="1"/>
  <c r="N119" i="1"/>
  <c r="C121" i="1"/>
</calcChain>
</file>

<file path=xl/comments1.xml><?xml version="1.0" encoding="utf-8"?>
<comments xmlns="http://schemas.openxmlformats.org/spreadsheetml/2006/main">
  <authors>
    <author>Tyrell</author>
    <author>Mark P. Castiglione</author>
  </authors>
  <commentList>
    <comment ref="D23" authorId="0" shapeId="0">
      <text>
        <r>
          <rPr>
            <b/>
            <sz val="8"/>
            <color indexed="81"/>
            <rFont val="Tahoma"/>
          </rPr>
          <t>Tyrell:</t>
        </r>
        <r>
          <rPr>
            <sz val="8"/>
            <color indexed="81"/>
            <rFont val="Tahoma"/>
          </rPr>
          <t xml:space="preserve">
Unconfirmed
</t>
        </r>
      </text>
    </comment>
    <comment ref="D31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Assumed same as San Arroyo</t>
        </r>
      </text>
    </comment>
    <comment ref="D34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per Ken Krisa</t>
        </r>
      </text>
    </comment>
    <comment ref="D49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D53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A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Hallwood &amp; Tom Brown Dakota will flow into South Canyon plant</t>
        </r>
      </text>
    </comment>
    <comment ref="E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plant will not be running full year</t>
        </r>
      </text>
    </comment>
    <comment ref="E57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E5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D9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includes $10M per month in compression rental if additional dakota or entrada gas is gathered</t>
        </r>
      </text>
    </comment>
  </commentList>
</comments>
</file>

<file path=xl/comments2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3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4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5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6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sharedStrings.xml><?xml version="1.0" encoding="utf-8"?>
<sst xmlns="http://schemas.openxmlformats.org/spreadsheetml/2006/main" count="660" uniqueCount="137">
  <si>
    <t>Production Assumptions</t>
  </si>
  <si>
    <t>Entrada Production (MMcfd)</t>
  </si>
  <si>
    <t>National Fuels</t>
  </si>
  <si>
    <t>Trend Oil</t>
  </si>
  <si>
    <t>Crescendo</t>
  </si>
  <si>
    <t>Tom Brown</t>
  </si>
  <si>
    <t>D&amp;G Roustabout</t>
  </si>
  <si>
    <t>Beartooth</t>
  </si>
  <si>
    <t>Hallwood</t>
  </si>
  <si>
    <t>Dakota Production (MMcfd)</t>
  </si>
  <si>
    <t>Btu</t>
  </si>
  <si>
    <t>Content</t>
  </si>
  <si>
    <t>% of NWPL</t>
  </si>
  <si>
    <t>Max</t>
  </si>
  <si>
    <t>Min</t>
  </si>
  <si>
    <t>Fuel</t>
  </si>
  <si>
    <t>Northstar</t>
  </si>
  <si>
    <t>Price Curves</t>
  </si>
  <si>
    <t>NYMEX</t>
  </si>
  <si>
    <t>NWPL Basis</t>
  </si>
  <si>
    <t>NWPL Price</t>
  </si>
  <si>
    <t>Mt Bellview</t>
  </si>
  <si>
    <t>Wildhorse Cash Flow</t>
  </si>
  <si>
    <t>Contract Terms</t>
  </si>
  <si>
    <t>Effective Gathering Rates</t>
  </si>
  <si>
    <t>Annualized</t>
  </si>
  <si>
    <t>Mt. Bellview</t>
  </si>
  <si>
    <t>General Assumptions</t>
  </si>
  <si>
    <t>Sale Date</t>
  </si>
  <si>
    <t>Valuation Date</t>
  </si>
  <si>
    <t>Discount Rate</t>
  </si>
  <si>
    <t>Days in Operation</t>
  </si>
  <si>
    <t>Entrada Production ($/Mcf)</t>
  </si>
  <si>
    <t>Values in thousands of $'s unless otherwise stated</t>
  </si>
  <si>
    <t>Total Gathering Revenue</t>
  </si>
  <si>
    <t>Additional G&amp;A ($/year)</t>
  </si>
  <si>
    <t>Operating Cost Assumptions</t>
  </si>
  <si>
    <t>Gas Price</t>
  </si>
  <si>
    <t>Gas - NW Index</t>
  </si>
  <si>
    <t>$/MMBTU</t>
  </si>
  <si>
    <t>From Plant</t>
  </si>
  <si>
    <t xml:space="preserve">Into Plant </t>
  </si>
  <si>
    <t>Inlet</t>
  </si>
  <si>
    <t>Gas</t>
  </si>
  <si>
    <t>MMCF/D</t>
  </si>
  <si>
    <t>BBTU/D</t>
  </si>
  <si>
    <t>GPM's</t>
  </si>
  <si>
    <t>MGal/D</t>
  </si>
  <si>
    <t>by</t>
  </si>
  <si>
    <t>Component</t>
  </si>
  <si>
    <t>Recovery</t>
  </si>
  <si>
    <t>C2</t>
  </si>
  <si>
    <t>C3</t>
  </si>
  <si>
    <t>IC4</t>
  </si>
  <si>
    <t>NC4</t>
  </si>
  <si>
    <t>IC5</t>
  </si>
  <si>
    <t>NC5</t>
  </si>
  <si>
    <t>C6+</t>
  </si>
  <si>
    <t>Total NGL's</t>
  </si>
  <si>
    <t>MBarrels/D</t>
  </si>
  <si>
    <t>Shrink</t>
  </si>
  <si>
    <t>Total</t>
  </si>
  <si>
    <t>Value</t>
  </si>
  <si>
    <t>M$/D</t>
  </si>
  <si>
    <t>$/D</t>
  </si>
  <si>
    <t>Residue</t>
  </si>
  <si>
    <t xml:space="preserve">Total Residue </t>
  </si>
  <si>
    <t>BBTU/Yr</t>
  </si>
  <si>
    <t>NGL Prices</t>
  </si>
  <si>
    <t>$/Gal</t>
  </si>
  <si>
    <t>Liquids Revenue</t>
  </si>
  <si>
    <t>Plant Margin</t>
  </si>
  <si>
    <t>Liquids Rev</t>
  </si>
  <si>
    <t>Cost of Gas Shrink M/U</t>
  </si>
  <si>
    <t>Gross Margin</t>
  </si>
  <si>
    <t>Lone Mountain/Premier</t>
  </si>
  <si>
    <t>Gas Plant Model</t>
  </si>
  <si>
    <t>per Ken Krisa</t>
  </si>
  <si>
    <t>TOTAL REVENUE</t>
  </si>
  <si>
    <t>O&amp;M</t>
  </si>
  <si>
    <t>G&amp;A</t>
  </si>
  <si>
    <t>Cost of Sales (shrink gas)</t>
  </si>
  <si>
    <t>Dakota Gathering Revenue</t>
  </si>
  <si>
    <t>Entrada Gathering Revenue</t>
  </si>
  <si>
    <t>GROSS MARGIN</t>
  </si>
  <si>
    <t>EBITDA</t>
  </si>
  <si>
    <t>Capex</t>
  </si>
  <si>
    <t>FREE CASH FLOW</t>
  </si>
  <si>
    <t>Capex Assumptions</t>
  </si>
  <si>
    <t>Plant Capex ($)</t>
  </si>
  <si>
    <t>Pipeline Capex ($)</t>
  </si>
  <si>
    <t>Terminal Value</t>
  </si>
  <si>
    <t>Cash Flow Decline Rate after Year 10</t>
  </si>
  <si>
    <t>Present Value:</t>
  </si>
  <si>
    <t>Valuation Date:</t>
  </si>
  <si>
    <t>Discount Rate:</t>
  </si>
  <si>
    <t>Include?</t>
  </si>
  <si>
    <t>Wasatch</t>
  </si>
  <si>
    <t>Venoco</t>
  </si>
  <si>
    <t>Direct Pass-through Costs</t>
  </si>
  <si>
    <t>less: direct pass-through costs</t>
  </si>
  <si>
    <t>Decline</t>
  </si>
  <si>
    <t>na</t>
  </si>
  <si>
    <t>Tom Brown - South Canyon Entrada</t>
  </si>
  <si>
    <t>Lone Mountain - Bar-X Entrada</t>
  </si>
  <si>
    <t>Crescendo - Badger Wash Entrada</t>
  </si>
  <si>
    <t>Crescendo - San Arroyo Entrada</t>
  </si>
  <si>
    <t>on/off</t>
  </si>
  <si>
    <t>Ad Valorem ($/year)</t>
  </si>
  <si>
    <t>Ad Valorem</t>
  </si>
  <si>
    <t xml:space="preserve">T&amp;F </t>
  </si>
  <si>
    <t>Buy back % of NW Index</t>
  </si>
  <si>
    <t>Flat Rate</t>
  </si>
  <si>
    <t>Incremental Processing at new South Canyon Plant for Entrada Gas</t>
  </si>
  <si>
    <t>Processing Fee</t>
  </si>
  <si>
    <t>$/mcf</t>
  </si>
  <si>
    <t>Incremental Processing Cash Flow ($M)</t>
  </si>
  <si>
    <t>Valuation Dates</t>
  </si>
  <si>
    <t>PV-15</t>
  </si>
  <si>
    <t>NGL Production Taxes (% of Revenues)</t>
  </si>
  <si>
    <t>NGL Production Taxes</t>
  </si>
  <si>
    <t>Cost of Operations</t>
  </si>
  <si>
    <t>Keep Dakota at 18MMcf/d</t>
  </si>
  <si>
    <t>Plant -</t>
  </si>
  <si>
    <t>Keep Whole</t>
  </si>
  <si>
    <t>Percent of Proceeds</t>
  </si>
  <si>
    <t>O&amp;M escalation (per year)</t>
  </si>
  <si>
    <t>Keep the South Canyon Plant Full</t>
  </si>
  <si>
    <t>Total if turned on</t>
  </si>
  <si>
    <t>Fixed O&amp;M ($/year)</t>
  </si>
  <si>
    <t>Variable O&amp;M ($/year)</t>
  </si>
  <si>
    <t>$/mcf-&gt;</t>
  </si>
  <si>
    <t>($/Mcf, unless otherwise noted)</t>
  </si>
  <si>
    <t>Dk Production</t>
  </si>
  <si>
    <t>$/mmbtu</t>
  </si>
  <si>
    <t>Dakota Production ($/Mcf or MMBtu)</t>
  </si>
  <si>
    <t>at receipt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</si>
</sst>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#,##0.000_);\(#,##0.000\)"/>
    <numFmt numFmtId="168" formatCode="0.0%"/>
    <numFmt numFmtId="171" formatCode="_(* #,##0_);_(* \(#,##0\);_(* &quot;-&quot;??_);_(@_)"/>
    <numFmt numFmtId="173" formatCode="#,##0.0000_);\(#,##0.0000\)"/>
    <numFmt numFmtId="178" formatCode="0.00000"/>
    <numFmt numFmtId="180" formatCode="_(&quot;$&quot;* #,##0_);_(&quot;$&quot;* \(#,##0\);_(&quot;$&quot;* &quot;-&quot;??_);_(@_)"/>
    <numFmt numFmtId="194" formatCode="\£#,##0_);\(\£#,##0\)"/>
    <numFmt numFmtId="197" formatCode="_-* #,##0_-;\-* #,##0_-;_-* &quot;-&quot;_-;_-@_-"/>
    <numFmt numFmtId="198" formatCode="_-* #,##0.00_-;\-* #,##0.00_-;_-* &quot;-&quot;??_-;_-@_-"/>
    <numFmt numFmtId="203" formatCode="_(&quot;$&quot;* #,##0.000_);_(&quot;$&quot;* \(#,##0.000\);_(&quot;$&quot;* &quot;-&quot;??_);_(@_)"/>
  </numFmts>
  <fonts count="25" x14ac:knownFonts="1">
    <font>
      <sz val="10"/>
      <name val="Arial Narrow"/>
    </font>
    <font>
      <sz val="10"/>
      <name val="Arial Narrow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12"/>
      <color indexed="9"/>
      <name val="Arial"/>
      <family val="2"/>
    </font>
    <font>
      <b/>
      <sz val="10"/>
      <color indexed="8"/>
      <name val="Arial Narrow"/>
      <family val="2"/>
    </font>
    <font>
      <sz val="10"/>
      <color indexed="12"/>
      <name val="Arial Narrow"/>
      <family val="2"/>
    </font>
    <font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 Narrow"/>
      <family val="2"/>
    </font>
    <font>
      <sz val="10"/>
      <color indexed="9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u/>
      <sz val="10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37" fontId="11" fillId="0" borderId="0"/>
    <xf numFmtId="173" fontId="10" fillId="0" borderId="0"/>
    <xf numFmtId="37" fontId="11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0" fontId="10" fillId="2" borderId="0"/>
    <xf numFmtId="194" fontId="12" fillId="0" borderId="0"/>
    <xf numFmtId="38" fontId="12" fillId="3" borderId="0" applyNumberFormat="0" applyBorder="0" applyAlignment="0" applyProtection="0"/>
    <xf numFmtId="37" fontId="12" fillId="3" borderId="0" applyNumberFormat="0" applyBorder="0" applyAlignment="0" applyProtection="0"/>
    <xf numFmtId="37" fontId="11" fillId="0" borderId="0"/>
    <xf numFmtId="37" fontId="12" fillId="3" borderId="0" applyBorder="0" applyAlignment="0" applyProtection="0"/>
    <xf numFmtId="3" fontId="13" fillId="0" borderId="1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155">
    <xf numFmtId="0" fontId="0" fillId="0" borderId="0" xfId="0"/>
    <xf numFmtId="0" fontId="5" fillId="4" borderId="0" xfId="0" applyFont="1" applyFill="1"/>
    <xf numFmtId="0" fontId="6" fillId="0" borderId="0" xfId="0" applyFont="1" applyFill="1"/>
    <xf numFmtId="0" fontId="0" fillId="0" borderId="0" xfId="0" applyAlignment="1">
      <alignment horizontal="left" indent="1"/>
    </xf>
    <xf numFmtId="0" fontId="3" fillId="5" borderId="2" xfId="0" applyFont="1" applyFill="1" applyBorder="1" applyAlignment="1">
      <alignment horizontal="center"/>
    </xf>
    <xf numFmtId="0" fontId="0" fillId="5" borderId="3" xfId="0" applyFill="1" applyBorder="1"/>
    <xf numFmtId="165" fontId="7" fillId="3" borderId="0" xfId="1" applyNumberFormat="1" applyFont="1" applyFill="1"/>
    <xf numFmtId="165" fontId="7" fillId="3" borderId="4" xfId="1" applyNumberFormat="1" applyFont="1" applyFill="1" applyBorder="1"/>
    <xf numFmtId="165" fontId="0" fillId="0" borderId="0" xfId="0" applyNumberFormat="1"/>
    <xf numFmtId="167" fontId="7" fillId="3" borderId="0" xfId="0" applyNumberFormat="1" applyFont="1" applyFill="1" applyAlignment="1">
      <alignment horizontal="center"/>
    </xf>
    <xf numFmtId="0" fontId="0" fillId="0" borderId="0" xfId="0" applyBorder="1"/>
    <xf numFmtId="165" fontId="7" fillId="3" borderId="0" xfId="1" applyNumberFormat="1" applyFont="1" applyFill="1" applyBorder="1"/>
    <xf numFmtId="0" fontId="6" fillId="0" borderId="0" xfId="0" applyFont="1" applyFill="1" applyAlignment="1">
      <alignment horizontal="right"/>
    </xf>
    <xf numFmtId="168" fontId="7" fillId="3" borderId="0" xfId="9" applyNumberFormat="1" applyFont="1" applyFill="1"/>
    <xf numFmtId="168" fontId="7" fillId="3" borderId="0" xfId="9" applyNumberFormat="1" applyFont="1" applyFill="1" applyBorder="1"/>
    <xf numFmtId="168" fontId="0" fillId="0" borderId="0" xfId="9" applyNumberFormat="1" applyFont="1"/>
    <xf numFmtId="168" fontId="6" fillId="0" borderId="0" xfId="9" applyNumberFormat="1" applyFont="1" applyFill="1"/>
    <xf numFmtId="17" fontId="3" fillId="0" borderId="0" xfId="0" applyNumberFormat="1" applyFont="1"/>
    <xf numFmtId="17" fontId="4" fillId="3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1" applyNumberFormat="1" applyFont="1"/>
    <xf numFmtId="165" fontId="7" fillId="0" borderId="0" xfId="1" applyNumberFormat="1" applyFont="1"/>
    <xf numFmtId="0" fontId="3" fillId="0" borderId="0" xfId="0" applyFont="1" applyBorder="1"/>
    <xf numFmtId="0" fontId="3" fillId="5" borderId="2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165" fontId="0" fillId="5" borderId="0" xfId="1" applyNumberFormat="1" applyFont="1" applyFill="1" applyBorder="1"/>
    <xf numFmtId="165" fontId="0" fillId="5" borderId="7" xfId="1" applyNumberFormat="1" applyFont="1" applyFill="1" applyBorder="1"/>
    <xf numFmtId="0" fontId="3" fillId="5" borderId="8" xfId="0" applyFont="1" applyFill="1" applyBorder="1"/>
    <xf numFmtId="165" fontId="0" fillId="5" borderId="4" xfId="1" applyNumberFormat="1" applyFont="1" applyFill="1" applyBorder="1"/>
    <xf numFmtId="165" fontId="0" fillId="5" borderId="9" xfId="1" applyNumberFormat="1" applyFont="1" applyFill="1" applyBorder="1"/>
    <xf numFmtId="14" fontId="7" fillId="3" borderId="0" xfId="0" applyNumberFormat="1" applyFont="1" applyFill="1" applyAlignment="1">
      <alignment horizontal="center"/>
    </xf>
    <xf numFmtId="9" fontId="7" fillId="3" borderId="0" xfId="0" applyNumberFormat="1" applyFont="1" applyFill="1" applyAlignment="1">
      <alignment horizontal="center"/>
    </xf>
    <xf numFmtId="0" fontId="8" fillId="0" borderId="0" xfId="0" applyFont="1" applyFill="1"/>
    <xf numFmtId="17" fontId="7" fillId="3" borderId="9" xfId="0" applyNumberFormat="1" applyFont="1" applyFill="1" applyBorder="1"/>
    <xf numFmtId="171" fontId="8" fillId="0" borderId="0" xfId="1" applyNumberFormat="1" applyFont="1" applyFill="1"/>
    <xf numFmtId="0" fontId="7" fillId="0" borderId="0" xfId="0" applyFont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17" fontId="6" fillId="5" borderId="5" xfId="0" applyNumberFormat="1" applyFont="1" applyFill="1" applyBorder="1"/>
    <xf numFmtId="17" fontId="6" fillId="5" borderId="4" xfId="0" applyNumberFormat="1" applyFont="1" applyFill="1" applyBorder="1"/>
    <xf numFmtId="17" fontId="6" fillId="5" borderId="9" xfId="0" applyNumberFormat="1" applyFont="1" applyFill="1" applyBorder="1"/>
    <xf numFmtId="17" fontId="6" fillId="5" borderId="8" xfId="0" applyNumberFormat="1" applyFont="1" applyFill="1" applyBorder="1" applyAlignment="1">
      <alignment horizontal="center"/>
    </xf>
    <xf numFmtId="0" fontId="9" fillId="0" borderId="0" xfId="0" applyFont="1"/>
    <xf numFmtId="171" fontId="7" fillId="3" borderId="0" xfId="1" applyNumberFormat="1" applyFont="1" applyFill="1"/>
    <xf numFmtId="37" fontId="10" fillId="0" borderId="0" xfId="7" applyNumberFormat="1"/>
    <xf numFmtId="14" fontId="15" fillId="0" borderId="0" xfId="7" applyNumberFormat="1" applyFont="1" applyAlignment="1">
      <alignment horizontal="center"/>
    </xf>
    <xf numFmtId="1" fontId="15" fillId="0" borderId="0" xfId="7" applyNumberFormat="1" applyFont="1" applyAlignment="1">
      <alignment horizontal="center"/>
    </xf>
    <xf numFmtId="173" fontId="10" fillId="0" borderId="0" xfId="7" applyNumberFormat="1"/>
    <xf numFmtId="39" fontId="10" fillId="0" borderId="0" xfId="7" applyNumberFormat="1"/>
    <xf numFmtId="167" fontId="10" fillId="0" borderId="0" xfId="7" applyNumberFormat="1"/>
    <xf numFmtId="37" fontId="10" fillId="0" borderId="0" xfId="7" applyNumberFormat="1" applyFont="1"/>
    <xf numFmtId="37" fontId="16" fillId="0" borderId="0" xfId="7" applyNumberFormat="1" applyFont="1"/>
    <xf numFmtId="10" fontId="10" fillId="0" borderId="0" xfId="9" applyNumberFormat="1" applyFont="1"/>
    <xf numFmtId="37" fontId="14" fillId="0" borderId="0" xfId="8" applyNumberFormat="1" applyFont="1" applyAlignment="1"/>
    <xf numFmtId="167" fontId="14" fillId="0" borderId="0" xfId="8" applyNumberFormat="1" applyFont="1" applyAlignment="1"/>
    <xf numFmtId="39" fontId="14" fillId="0" borderId="0" xfId="8" applyNumberFormat="1" applyFont="1" applyAlignment="1"/>
    <xf numFmtId="37" fontId="14" fillId="0" borderId="0" xfId="8" applyNumberFormat="1" applyFont="1" applyFill="1" applyAlignment="1"/>
    <xf numFmtId="39" fontId="14" fillId="0" borderId="0" xfId="8" applyNumberFormat="1" applyFont="1" applyFill="1" applyAlignment="1"/>
    <xf numFmtId="37" fontId="10" fillId="0" borderId="0" xfId="7" applyNumberFormat="1" applyFill="1"/>
    <xf numFmtId="39" fontId="10" fillId="0" borderId="0" xfId="7" applyNumberFormat="1" applyFill="1"/>
    <xf numFmtId="167" fontId="10" fillId="0" borderId="0" xfId="7" applyNumberFormat="1" applyFill="1"/>
    <xf numFmtId="37" fontId="10" fillId="0" borderId="0" xfId="7" applyNumberFormat="1" applyFont="1" applyFill="1"/>
    <xf numFmtId="37" fontId="10" fillId="0" borderId="0" xfId="7" applyNumberFormat="1" applyFont="1" applyFill="1" applyBorder="1"/>
    <xf numFmtId="37" fontId="10" fillId="0" borderId="0" xfId="7" applyNumberFormat="1" applyFill="1" applyBorder="1"/>
    <xf numFmtId="167" fontId="10" fillId="0" borderId="0" xfId="7" applyNumberFormat="1" applyFill="1" applyBorder="1"/>
    <xf numFmtId="44" fontId="17" fillId="0" borderId="0" xfId="3" applyFont="1" applyFill="1" applyBorder="1"/>
    <xf numFmtId="37" fontId="10" fillId="0" borderId="10" xfId="7" applyNumberFormat="1" applyBorder="1"/>
    <xf numFmtId="37" fontId="10" fillId="0" borderId="10" xfId="7" applyNumberFormat="1" applyFont="1" applyBorder="1"/>
    <xf numFmtId="167" fontId="10" fillId="0" borderId="10" xfId="7" applyNumberFormat="1" applyBorder="1"/>
    <xf numFmtId="37" fontId="10" fillId="0" borderId="0" xfId="7" applyNumberFormat="1" applyBorder="1"/>
    <xf numFmtId="173" fontId="17" fillId="3" borderId="11" xfId="7" applyNumberFormat="1" applyFont="1" applyFill="1" applyBorder="1"/>
    <xf numFmtId="10" fontId="17" fillId="3" borderId="11" xfId="9" applyNumberFormat="1" applyFont="1" applyFill="1" applyBorder="1"/>
    <xf numFmtId="168" fontId="17" fillId="3" borderId="11" xfId="9" applyNumberFormat="1" applyFont="1" applyFill="1" applyBorder="1"/>
    <xf numFmtId="167" fontId="17" fillId="3" borderId="0" xfId="7" applyNumberFormat="1" applyFont="1" applyFill="1"/>
    <xf numFmtId="17" fontId="3" fillId="5" borderId="12" xfId="0" applyNumberFormat="1" applyFont="1" applyFill="1" applyBorder="1"/>
    <xf numFmtId="17" fontId="3" fillId="5" borderId="13" xfId="0" applyNumberFormat="1" applyFont="1" applyFill="1" applyBorder="1"/>
    <xf numFmtId="17" fontId="3" fillId="5" borderId="14" xfId="0" applyNumberFormat="1" applyFont="1" applyFill="1" applyBorder="1"/>
    <xf numFmtId="17" fontId="6" fillId="5" borderId="8" xfId="0" applyNumberFormat="1" applyFont="1" applyFill="1" applyBorder="1"/>
    <xf numFmtId="17" fontId="6" fillId="5" borderId="12" xfId="0" applyNumberFormat="1" applyFont="1" applyFill="1" applyBorder="1"/>
    <xf numFmtId="17" fontId="6" fillId="5" borderId="13" xfId="0" applyNumberFormat="1" applyFont="1" applyFill="1" applyBorder="1"/>
    <xf numFmtId="17" fontId="6" fillId="5" borderId="14" xfId="0" applyNumberFormat="1" applyFont="1" applyFill="1" applyBorder="1"/>
    <xf numFmtId="0" fontId="3" fillId="3" borderId="0" xfId="0" applyFont="1" applyFill="1"/>
    <xf numFmtId="0" fontId="20" fillId="0" borderId="0" xfId="0" applyFont="1" applyAlignment="1">
      <alignment horizontal="left" indent="1"/>
    </xf>
    <xf numFmtId="0" fontId="20" fillId="0" borderId="0" xfId="0" applyFont="1"/>
    <xf numFmtId="171" fontId="7" fillId="3" borderId="4" xfId="1" applyNumberFormat="1" applyFont="1" applyFill="1" applyBorder="1"/>
    <xf numFmtId="171" fontId="0" fillId="0" borderId="0" xfId="0" applyNumberFormat="1"/>
    <xf numFmtId="17" fontId="2" fillId="0" borderId="0" xfId="0" applyNumberFormat="1" applyFont="1"/>
    <xf numFmtId="0" fontId="6" fillId="0" borderId="0" xfId="0" applyFont="1" applyFill="1" applyAlignment="1">
      <alignment horizontal="left"/>
    </xf>
    <xf numFmtId="9" fontId="4" fillId="3" borderId="0" xfId="0" applyNumberFormat="1" applyFont="1" applyFill="1" applyAlignment="1">
      <alignment horizontal="center"/>
    </xf>
    <xf numFmtId="171" fontId="0" fillId="0" borderId="0" xfId="1" applyNumberFormat="1" applyFont="1"/>
    <xf numFmtId="171" fontId="0" fillId="0" borderId="0" xfId="0" applyNumberFormat="1" applyBorder="1"/>
    <xf numFmtId="171" fontId="0" fillId="0" borderId="4" xfId="1" applyNumberFormat="1" applyFont="1" applyBorder="1"/>
    <xf numFmtId="171" fontId="6" fillId="0" borderId="0" xfId="0" applyNumberFormat="1" applyFont="1" applyFill="1"/>
    <xf numFmtId="171" fontId="20" fillId="0" borderId="0" xfId="1" applyNumberFormat="1" applyFont="1"/>
    <xf numFmtId="171" fontId="3" fillId="0" borderId="0" xfId="0" applyNumberFormat="1" applyFont="1" applyBorder="1"/>
    <xf numFmtId="171" fontId="20" fillId="0" borderId="0" xfId="0" applyNumberFormat="1" applyFont="1"/>
    <xf numFmtId="171" fontId="3" fillId="3" borderId="0" xfId="0" applyNumberFormat="1" applyFont="1" applyFill="1"/>
    <xf numFmtId="171" fontId="3" fillId="0" borderId="0" xfId="0" applyNumberFormat="1" applyFont="1"/>
    <xf numFmtId="171" fontId="20" fillId="0" borderId="4" xfId="1" applyNumberFormat="1" applyFont="1" applyBorder="1"/>
    <xf numFmtId="171" fontId="6" fillId="5" borderId="0" xfId="0" applyNumberFormat="1" applyFont="1" applyFill="1" applyAlignment="1">
      <alignment horizontal="right"/>
    </xf>
    <xf numFmtId="171" fontId="8" fillId="5" borderId="0" xfId="0" applyNumberFormat="1" applyFont="1" applyFill="1"/>
    <xf numFmtId="171" fontId="6" fillId="5" borderId="0" xfId="0" applyNumberFormat="1" applyFont="1" applyFill="1"/>
    <xf numFmtId="10" fontId="22" fillId="5" borderId="0" xfId="0" applyNumberFormat="1" applyFont="1" applyFill="1" applyBorder="1"/>
    <xf numFmtId="0" fontId="21" fillId="6" borderId="0" xfId="0" applyFont="1" applyFill="1"/>
    <xf numFmtId="0" fontId="23" fillId="6" borderId="0" xfId="0" applyFont="1" applyFill="1" applyAlignment="1">
      <alignment horizontal="right"/>
    </xf>
    <xf numFmtId="203" fontId="23" fillId="6" borderId="0" xfId="2" applyNumberFormat="1" applyFont="1" applyFill="1"/>
    <xf numFmtId="0" fontId="21" fillId="6" borderId="0" xfId="0" applyFont="1" applyFill="1" applyAlignment="1">
      <alignment horizontal="right"/>
    </xf>
    <xf numFmtId="14" fontId="21" fillId="6" borderId="0" xfId="0" applyNumberFormat="1" applyFont="1" applyFill="1" applyAlignment="1">
      <alignment horizontal="center"/>
    </xf>
    <xf numFmtId="168" fontId="21" fillId="6" borderId="0" xfId="9" applyNumberFormat="1" applyFont="1" applyFill="1" applyAlignment="1">
      <alignment horizontal="center"/>
    </xf>
    <xf numFmtId="178" fontId="0" fillId="0" borderId="0" xfId="0" applyNumberFormat="1"/>
    <xf numFmtId="165" fontId="10" fillId="0" borderId="0" xfId="1" applyNumberFormat="1" applyFont="1"/>
    <xf numFmtId="165" fontId="10" fillId="0" borderId="4" xfId="1" applyNumberFormat="1" applyFont="1" applyBorder="1"/>
    <xf numFmtId="165" fontId="10" fillId="0" borderId="0" xfId="1" applyNumberFormat="1" applyFont="1" applyBorder="1"/>
    <xf numFmtId="0" fontId="0" fillId="0" borderId="0" xfId="0" applyBorder="1" applyAlignment="1">
      <alignment horizontal="left" indent="1"/>
    </xf>
    <xf numFmtId="39" fontId="10" fillId="0" borderId="0" xfId="7" applyNumberFormat="1" applyBorder="1"/>
    <xf numFmtId="167" fontId="7" fillId="3" borderId="0" xfId="0" applyNumberFormat="1" applyFont="1" applyFill="1" applyBorder="1" applyAlignment="1">
      <alignment horizontal="center"/>
    </xf>
    <xf numFmtId="171" fontId="0" fillId="0" borderId="0" xfId="1" applyNumberFormat="1" applyFont="1" applyBorder="1"/>
    <xf numFmtId="0" fontId="0" fillId="0" borderId="0" xfId="0" applyBorder="1" applyAlignment="1">
      <alignment horizontal="left" indent="2"/>
    </xf>
    <xf numFmtId="0" fontId="6" fillId="0" borderId="15" xfId="0" applyFont="1" applyFill="1" applyBorder="1" applyAlignment="1">
      <alignment horizontal="center"/>
    </xf>
    <xf numFmtId="37" fontId="7" fillId="3" borderId="16" xfId="0" applyNumberFormat="1" applyFont="1" applyFill="1" applyBorder="1" applyAlignment="1">
      <alignment horizontal="center"/>
    </xf>
    <xf numFmtId="37" fontId="7" fillId="3" borderId="17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8" fontId="7" fillId="3" borderId="16" xfId="9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71" fontId="20" fillId="0" borderId="0" xfId="1" applyNumberFormat="1" applyFont="1" applyBorder="1"/>
    <xf numFmtId="9" fontId="17" fillId="3" borderId="11" xfId="9" applyFont="1" applyFill="1" applyBorder="1"/>
    <xf numFmtId="0" fontId="0" fillId="0" borderId="0" xfId="0" applyAlignment="1">
      <alignment horizontal="right"/>
    </xf>
    <xf numFmtId="37" fontId="10" fillId="0" borderId="15" xfId="7" applyNumberFormat="1" applyFont="1" applyBorder="1" applyAlignment="1">
      <alignment horizontal="center"/>
    </xf>
    <xf numFmtId="43" fontId="7" fillId="3" borderId="0" xfId="1" applyNumberFormat="1" applyFont="1" applyFill="1"/>
    <xf numFmtId="43" fontId="0" fillId="0" borderId="0" xfId="0" applyNumberFormat="1"/>
    <xf numFmtId="14" fontId="0" fillId="0" borderId="0" xfId="0" applyNumberFormat="1"/>
    <xf numFmtId="43" fontId="0" fillId="0" borderId="0" xfId="1" applyFont="1"/>
    <xf numFmtId="9" fontId="7" fillId="3" borderId="0" xfId="9" applyFont="1" applyFill="1"/>
    <xf numFmtId="43" fontId="2" fillId="6" borderId="11" xfId="1" applyFont="1" applyFill="1" applyBorder="1"/>
    <xf numFmtId="167" fontId="7" fillId="3" borderId="18" xfId="0" applyNumberFormat="1" applyFont="1" applyFill="1" applyBorder="1" applyAlignment="1">
      <alignment horizontal="center"/>
    </xf>
    <xf numFmtId="168" fontId="7" fillId="3" borderId="19" xfId="9" applyNumberFormat="1" applyFont="1" applyFill="1" applyBorder="1" applyAlignment="1">
      <alignment horizontal="center"/>
    </xf>
    <xf numFmtId="165" fontId="7" fillId="3" borderId="18" xfId="1" applyNumberFormat="1" applyFont="1" applyFill="1" applyBorder="1"/>
    <xf numFmtId="0" fontId="24" fillId="0" borderId="0" xfId="0" applyFont="1" applyFill="1"/>
    <xf numFmtId="0" fontId="24" fillId="0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9" fontId="6" fillId="0" borderId="0" xfId="9" applyFont="1" applyFill="1" applyAlignment="1">
      <alignment horizontal="right"/>
    </xf>
    <xf numFmtId="44" fontId="7" fillId="3" borderId="0" xfId="2" applyFont="1" applyFill="1"/>
    <xf numFmtId="180" fontId="0" fillId="0" borderId="0" xfId="0" applyNumberFormat="1"/>
    <xf numFmtId="17" fontId="6" fillId="5" borderId="2" xfId="0" applyNumberFormat="1" applyFont="1" applyFill="1" applyBorder="1" applyAlignment="1">
      <alignment horizontal="center"/>
    </xf>
    <xf numFmtId="17" fontId="6" fillId="5" borderId="3" xfId="0" applyNumberFormat="1" applyFont="1" applyFill="1" applyBorder="1" applyAlignment="1">
      <alignment horizontal="center"/>
    </xf>
  </cellXfs>
  <cellStyles count="19">
    <cellStyle name="Comma" xfId="1" builtinId="3"/>
    <cellStyle name="Currency" xfId="2" builtinId="4"/>
    <cellStyle name="Currency_Badger" xfId="3"/>
    <cellStyle name="Dezimal [0]_Compiling Utility Macros" xfId="4"/>
    <cellStyle name="Dezimal_Compiling Utility Macros" xfId="5"/>
    <cellStyle name="general" xfId="6"/>
    <cellStyle name="Normal" xfId="0" builtinId="0"/>
    <cellStyle name="Normal_Badger" xfId="7"/>
    <cellStyle name="Normal_CASH - Crescendo - RASH" xfId="8"/>
    <cellStyle name="Percent" xfId="9" builtinId="5"/>
    <cellStyle name="Standard_Anpassen der Amortisation" xfId="10"/>
    <cellStyle name="uk" xfId="11"/>
    <cellStyle name="Un" xfId="12"/>
    <cellStyle name="Unprot" xfId="13"/>
    <cellStyle name="Unprot$" xfId="14"/>
    <cellStyle name="Unprot_data" xfId="15"/>
    <cellStyle name="Unprotect" xfId="16"/>
    <cellStyle name="Währung [0]_Compiling Utility Macros" xfId="17"/>
    <cellStyle name="Währung_Compiling Utility Macros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53</xdr:row>
      <xdr:rowOff>0</xdr:rowOff>
    </xdr:from>
    <xdr:to>
      <xdr:col>8</xdr:col>
      <xdr:colOff>0</xdr:colOff>
      <xdr:row>58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3040380" y="7863840"/>
          <a:ext cx="3497580" cy="8991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M/RAAP/$CAPBKS/ShiftHistory/SHIFTS08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Probs"/>
      <sheetName val="Parms"/>
      <sheetName val="US PPI"/>
      <sheetName val="USI"/>
      <sheetName val="GDP IPD"/>
      <sheetName val="1mlibor"/>
      <sheetName val="3mlibor"/>
      <sheetName val="6mlibor"/>
      <sheetName val="HistTsy"/>
      <sheetName val="Treasury"/>
      <sheetName val="CURVES"/>
      <sheetName val="Argentina"/>
      <sheetName val="Australia"/>
      <sheetName val="Bolivia"/>
      <sheetName val="Brazil"/>
      <sheetName val="Canada"/>
      <sheetName val="Chile"/>
      <sheetName val="China"/>
      <sheetName val="Colombia"/>
      <sheetName val="DomRep"/>
      <sheetName val="Egypt"/>
      <sheetName val="El Salvador"/>
      <sheetName val="Euro"/>
      <sheetName val="Finland"/>
      <sheetName val="France"/>
      <sheetName val="Germany"/>
      <sheetName val="Greece"/>
      <sheetName val="Guatemala"/>
      <sheetName val="India"/>
      <sheetName val="Israel"/>
      <sheetName val="Italy"/>
      <sheetName val="Jamaica"/>
      <sheetName val="Japan"/>
      <sheetName val="Mexico"/>
      <sheetName val="Morocco"/>
      <sheetName val="Nicaragua"/>
      <sheetName val="Nigeria"/>
      <sheetName val="Panama"/>
      <sheetName val="Philippines"/>
      <sheetName val="Poland"/>
      <sheetName val="Puerto Rico"/>
      <sheetName val="Romania"/>
      <sheetName val="SaudiArabia"/>
      <sheetName val="SouthKorea"/>
      <sheetName val="Sweden"/>
      <sheetName val="Switzerland"/>
      <sheetName val="Taiwan"/>
      <sheetName val="Thailand"/>
      <sheetName val="Turkey"/>
      <sheetName val="UK"/>
      <sheetName val="Venezuela"/>
      <sheetName val="Range Names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8" x14ac:dyDescent="0.3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1"/>
  <sheetViews>
    <sheetView showGridLines="0" tabSelected="1" zoomScale="80" zoomScaleNormal="80" workbookViewId="0"/>
  </sheetViews>
  <sheetFormatPr defaultRowHeight="13.8" x14ac:dyDescent="0.3"/>
  <cols>
    <col min="2" max="2" width="25.375" customWidth="1"/>
    <col min="3" max="3" width="11.375" bestFit="1" customWidth="1"/>
    <col min="4" max="4" width="12.375" bestFit="1" customWidth="1"/>
    <col min="5" max="5" width="13.625" bestFit="1" customWidth="1"/>
    <col min="6" max="7" width="12.375" bestFit="1" customWidth="1"/>
    <col min="8" max="8" width="14.5" customWidth="1"/>
    <col min="9" max="9" width="11.875" bestFit="1" customWidth="1"/>
    <col min="10" max="10" width="13.625" bestFit="1" customWidth="1"/>
    <col min="11" max="14" width="12.375" bestFit="1" customWidth="1"/>
  </cols>
  <sheetData>
    <row r="1" spans="1:9" s="1" customFormat="1" ht="15.6" x14ac:dyDescent="0.3">
      <c r="A1" s="1" t="s">
        <v>27</v>
      </c>
    </row>
    <row r="3" spans="1:9" s="2" customFormat="1" x14ac:dyDescent="0.3">
      <c r="B3" s="2" t="s">
        <v>28</v>
      </c>
      <c r="C3" s="36">
        <v>36981</v>
      </c>
      <c r="D3" s="12"/>
      <c r="E3" s="94" t="s">
        <v>92</v>
      </c>
      <c r="F3" s="12"/>
      <c r="G3" s="12"/>
      <c r="H3" s="12"/>
      <c r="I3" s="95">
        <v>0.08</v>
      </c>
    </row>
    <row r="4" spans="1:9" s="2" customFormat="1" x14ac:dyDescent="0.3">
      <c r="B4" s="2" t="s">
        <v>29</v>
      </c>
      <c r="C4" s="36">
        <f ca="1">TODAY()</f>
        <v>36878</v>
      </c>
      <c r="D4" s="12"/>
      <c r="E4" s="12"/>
      <c r="F4" s="12"/>
      <c r="G4" s="12"/>
      <c r="H4" s="12"/>
    </row>
    <row r="5" spans="1:9" s="2" customFormat="1" x14ac:dyDescent="0.3">
      <c r="B5" s="2" t="s">
        <v>30</v>
      </c>
      <c r="C5" s="37">
        <v>0.15</v>
      </c>
      <c r="D5" s="12"/>
      <c r="E5" s="12"/>
      <c r="F5" s="12"/>
      <c r="G5" s="12"/>
      <c r="H5" s="12"/>
    </row>
    <row r="6" spans="1:9" s="2" customFormat="1" x14ac:dyDescent="0.3">
      <c r="D6" s="12"/>
      <c r="E6" s="12"/>
      <c r="F6" s="12"/>
      <c r="G6" s="12"/>
      <c r="H6" s="12"/>
    </row>
    <row r="7" spans="1:9" s="2" customFormat="1" x14ac:dyDescent="0.3">
      <c r="B7" s="2" t="s">
        <v>123</v>
      </c>
      <c r="C7" s="145" t="s">
        <v>124</v>
      </c>
      <c r="E7" s="146" t="s">
        <v>125</v>
      </c>
      <c r="F7" s="12"/>
      <c r="G7" s="150">
        <f>E8*0.8</f>
        <v>0</v>
      </c>
      <c r="H7" s="12"/>
    </row>
    <row r="8" spans="1:9" s="2" customFormat="1" x14ac:dyDescent="0.3">
      <c r="C8" s="148">
        <v>1</v>
      </c>
      <c r="D8" s="12"/>
      <c r="E8" s="147">
        <v>0</v>
      </c>
      <c r="F8" s="149"/>
      <c r="G8" s="12"/>
      <c r="H8" s="12"/>
    </row>
    <row r="9" spans="1:9" s="1" customFormat="1" ht="15.6" x14ac:dyDescent="0.3">
      <c r="A9" s="1" t="s">
        <v>23</v>
      </c>
    </row>
    <row r="11" spans="1:9" s="2" customFormat="1" x14ac:dyDescent="0.3">
      <c r="D11" s="12" t="s">
        <v>112</v>
      </c>
      <c r="E11" s="12" t="s">
        <v>12</v>
      </c>
      <c r="F11" s="12" t="s">
        <v>13</v>
      </c>
      <c r="G11" s="12" t="s">
        <v>14</v>
      </c>
      <c r="H11" s="12" t="s">
        <v>15</v>
      </c>
    </row>
    <row r="12" spans="1:9" s="2" customFormat="1" x14ac:dyDescent="0.3">
      <c r="A12" s="2" t="s">
        <v>133</v>
      </c>
      <c r="C12" s="128" t="s">
        <v>107</v>
      </c>
      <c r="D12" s="2" t="s">
        <v>132</v>
      </c>
    </row>
    <row r="13" spans="1:9" s="2" customFormat="1" x14ac:dyDescent="0.3">
      <c r="A13" s="41" t="s">
        <v>122</v>
      </c>
      <c r="B13"/>
      <c r="C13" s="129">
        <v>0</v>
      </c>
      <c r="D13" s="6">
        <f>0.2*C13</f>
        <v>0</v>
      </c>
      <c r="E13" s="13"/>
      <c r="F13" s="6"/>
      <c r="G13" s="6"/>
      <c r="H13" s="13"/>
    </row>
    <row r="14" spans="1:9" x14ac:dyDescent="0.3">
      <c r="A14" s="41" t="s">
        <v>7</v>
      </c>
      <c r="D14" s="6">
        <v>0.2</v>
      </c>
      <c r="E14" s="13"/>
      <c r="F14" s="6"/>
      <c r="G14" s="6"/>
      <c r="H14" s="13"/>
    </row>
    <row r="15" spans="1:9" x14ac:dyDescent="0.3">
      <c r="A15" s="41" t="s">
        <v>4</v>
      </c>
      <c r="D15" s="6">
        <v>0.25</v>
      </c>
      <c r="E15" s="13"/>
      <c r="F15" s="6"/>
      <c r="G15" s="6"/>
      <c r="H15" s="13"/>
    </row>
    <row r="16" spans="1:9" x14ac:dyDescent="0.3">
      <c r="A16" s="41" t="s">
        <v>6</v>
      </c>
      <c r="D16" s="6"/>
      <c r="E16" s="13">
        <v>0.13</v>
      </c>
      <c r="F16" s="6">
        <v>0.55000000000000004</v>
      </c>
      <c r="G16" s="6">
        <v>0.14000000000000001</v>
      </c>
      <c r="H16" s="13"/>
    </row>
    <row r="17" spans="1:24" x14ac:dyDescent="0.3">
      <c r="A17" s="41" t="s">
        <v>8</v>
      </c>
      <c r="D17" s="6">
        <v>0.255</v>
      </c>
      <c r="E17" s="13"/>
      <c r="F17" s="6"/>
      <c r="G17" s="6"/>
      <c r="H17" s="13"/>
    </row>
    <row r="18" spans="1:24" x14ac:dyDescent="0.3">
      <c r="A18" s="41" t="s">
        <v>75</v>
      </c>
      <c r="D18" s="6">
        <v>0.2</v>
      </c>
      <c r="E18" s="13"/>
      <c r="F18" s="6"/>
      <c r="G18" s="6"/>
      <c r="H18" s="13"/>
    </row>
    <row r="19" spans="1:24" x14ac:dyDescent="0.3">
      <c r="A19" s="41" t="s">
        <v>2</v>
      </c>
      <c r="D19" s="6"/>
      <c r="E19" s="13">
        <v>0.13</v>
      </c>
      <c r="F19" s="6">
        <v>0.55000000000000004</v>
      </c>
      <c r="G19" s="6">
        <v>0.1</v>
      </c>
      <c r="H19" s="13"/>
      <c r="I19" t="s">
        <v>134</v>
      </c>
      <c r="J19" t="s">
        <v>136</v>
      </c>
    </row>
    <row r="20" spans="1:24" x14ac:dyDescent="0.3">
      <c r="A20" s="41" t="s">
        <v>16</v>
      </c>
      <c r="D20" s="6"/>
      <c r="E20" s="13">
        <v>0.13</v>
      </c>
      <c r="F20" s="6">
        <v>0.45</v>
      </c>
      <c r="G20" s="6">
        <v>0.1</v>
      </c>
      <c r="H20" s="13"/>
      <c r="I20" t="s">
        <v>134</v>
      </c>
      <c r="J20" t="s">
        <v>136</v>
      </c>
    </row>
    <row r="21" spans="1:24" x14ac:dyDescent="0.3">
      <c r="A21" s="41" t="s">
        <v>5</v>
      </c>
      <c r="D21" s="6">
        <v>0.25</v>
      </c>
      <c r="E21" s="13"/>
      <c r="F21" s="6"/>
      <c r="G21" s="6"/>
      <c r="H21" s="13"/>
    </row>
    <row r="22" spans="1:24" s="10" customFormat="1" x14ac:dyDescent="0.3">
      <c r="A22" s="42" t="s">
        <v>3</v>
      </c>
      <c r="D22" s="11">
        <v>0.22</v>
      </c>
      <c r="E22" s="14"/>
      <c r="F22" s="11"/>
      <c r="G22" s="11"/>
      <c r="H22" s="14"/>
      <c r="I22" t="s">
        <v>134</v>
      </c>
      <c r="J22" t="s">
        <v>136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0" customFormat="1" x14ac:dyDescent="0.3">
      <c r="A23" s="42" t="s">
        <v>97</v>
      </c>
      <c r="D23" s="11">
        <v>0.25</v>
      </c>
      <c r="E23" s="14"/>
      <c r="F23" s="11"/>
      <c r="G23" s="11"/>
      <c r="H23" s="1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0" customFormat="1" x14ac:dyDescent="0.3">
      <c r="A24" s="42" t="s">
        <v>98</v>
      </c>
      <c r="D24" s="11">
        <v>0.04</v>
      </c>
      <c r="E24" s="14"/>
      <c r="F24" s="11"/>
      <c r="G24" s="11"/>
      <c r="H24" s="1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3">
      <c r="E25" s="15"/>
      <c r="H25" s="15"/>
    </row>
    <row r="26" spans="1:24" s="2" customFormat="1" x14ac:dyDescent="0.3">
      <c r="A26" s="2" t="s">
        <v>32</v>
      </c>
      <c r="C26" s="128" t="s">
        <v>107</v>
      </c>
      <c r="E26" s="16"/>
      <c r="H26" s="1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3">
      <c r="A27" s="41" t="s">
        <v>127</v>
      </c>
      <c r="C27" s="129">
        <v>0</v>
      </c>
      <c r="D27" s="6">
        <f>C27*0.25</f>
        <v>0</v>
      </c>
      <c r="E27" s="13"/>
      <c r="F27" s="6"/>
      <c r="G27" s="6"/>
      <c r="H27" s="13"/>
    </row>
    <row r="28" spans="1:24" x14ac:dyDescent="0.3">
      <c r="A28" s="41" t="s">
        <v>105</v>
      </c>
      <c r="C28" s="129">
        <v>0</v>
      </c>
      <c r="D28" s="6">
        <f>0.085*C28</f>
        <v>0</v>
      </c>
      <c r="E28" s="13"/>
      <c r="F28" s="6"/>
      <c r="G28" s="6"/>
      <c r="H28" s="13"/>
    </row>
    <row r="29" spans="1:24" x14ac:dyDescent="0.3">
      <c r="A29" s="41" t="s">
        <v>106</v>
      </c>
      <c r="C29" s="129">
        <v>0</v>
      </c>
      <c r="D29" s="6">
        <f>0.275*C29</f>
        <v>0</v>
      </c>
      <c r="E29" s="13"/>
      <c r="F29" s="6"/>
      <c r="G29" s="6"/>
      <c r="H29" s="13"/>
    </row>
    <row r="30" spans="1:24" x14ac:dyDescent="0.3">
      <c r="A30" s="41" t="s">
        <v>8</v>
      </c>
      <c r="C30" s="129">
        <v>0</v>
      </c>
      <c r="D30" s="6"/>
      <c r="E30" s="13"/>
      <c r="F30" s="6"/>
      <c r="G30" s="6"/>
      <c r="H30" s="13"/>
    </row>
    <row r="31" spans="1:24" x14ac:dyDescent="0.3">
      <c r="A31" s="41" t="s">
        <v>104</v>
      </c>
      <c r="C31" s="129">
        <v>0</v>
      </c>
      <c r="D31" s="6">
        <f>0.275*C31</f>
        <v>0</v>
      </c>
      <c r="E31" s="13"/>
      <c r="F31" s="6"/>
      <c r="G31" s="6"/>
      <c r="H31" s="13"/>
    </row>
    <row r="32" spans="1:24" x14ac:dyDescent="0.3">
      <c r="A32" s="41" t="s">
        <v>2</v>
      </c>
      <c r="C32" s="129">
        <v>0</v>
      </c>
      <c r="D32" s="6"/>
      <c r="E32" s="13"/>
      <c r="F32" s="6"/>
      <c r="G32" s="6"/>
      <c r="H32" s="13"/>
    </row>
    <row r="33" spans="1:24" x14ac:dyDescent="0.3">
      <c r="A33" s="41" t="s">
        <v>16</v>
      </c>
      <c r="C33" s="129">
        <v>0</v>
      </c>
      <c r="D33" s="6"/>
      <c r="E33" s="13"/>
      <c r="F33" s="6"/>
      <c r="G33" s="6"/>
      <c r="H33" s="13"/>
    </row>
    <row r="34" spans="1:24" x14ac:dyDescent="0.3">
      <c r="A34" s="41" t="s">
        <v>103</v>
      </c>
      <c r="C34" s="129">
        <v>0</v>
      </c>
      <c r="D34" s="6">
        <f>0.2*C34</f>
        <v>0</v>
      </c>
      <c r="E34" s="13"/>
      <c r="F34" s="6"/>
      <c r="G34" s="6"/>
      <c r="H34" s="13"/>
    </row>
    <row r="35" spans="1:24" s="10" customFormat="1" x14ac:dyDescent="0.3">
      <c r="A35" s="42" t="s">
        <v>3</v>
      </c>
      <c r="C35" s="129">
        <v>0</v>
      </c>
      <c r="D35" s="6"/>
      <c r="E35" s="14"/>
      <c r="F35" s="11"/>
      <c r="G35" s="11"/>
      <c r="H35" s="14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ht="15.6" x14ac:dyDescent="0.3">
      <c r="A36" s="1" t="s">
        <v>0</v>
      </c>
    </row>
    <row r="37" spans="1:24" ht="5.25" customHeight="1" x14ac:dyDescent="0.3"/>
    <row r="38" spans="1:24" x14ac:dyDescent="0.3">
      <c r="C38" s="4" t="s">
        <v>10</v>
      </c>
      <c r="D38" s="26"/>
      <c r="E38" s="153"/>
      <c r="F38" s="154"/>
      <c r="G38" s="154"/>
      <c r="H38" s="154"/>
      <c r="I38" s="154"/>
      <c r="J38" s="154"/>
      <c r="K38" s="154"/>
      <c r="L38" s="154"/>
      <c r="M38" s="154"/>
      <c r="N38" s="45"/>
    </row>
    <row r="39" spans="1:24" x14ac:dyDescent="0.3">
      <c r="C39" s="48" t="s">
        <v>11</v>
      </c>
      <c r="D39" s="39">
        <v>36891</v>
      </c>
      <c r="E39" s="84">
        <f t="shared" ref="E39:N39" si="0">EOMONTH(D39,12)</f>
        <v>37256</v>
      </c>
      <c r="F39" s="46">
        <f t="shared" si="0"/>
        <v>37621</v>
      </c>
      <c r="G39" s="46">
        <f t="shared" si="0"/>
        <v>37986</v>
      </c>
      <c r="H39" s="46">
        <f t="shared" si="0"/>
        <v>38352</v>
      </c>
      <c r="I39" s="46">
        <f t="shared" si="0"/>
        <v>38717</v>
      </c>
      <c r="J39" s="46">
        <f t="shared" si="0"/>
        <v>39082</v>
      </c>
      <c r="K39" s="46">
        <f t="shared" si="0"/>
        <v>39447</v>
      </c>
      <c r="L39" s="46">
        <f t="shared" si="0"/>
        <v>39813</v>
      </c>
      <c r="M39" s="46">
        <f t="shared" si="0"/>
        <v>40178</v>
      </c>
      <c r="N39" s="47">
        <f t="shared" si="0"/>
        <v>40543</v>
      </c>
    </row>
    <row r="40" spans="1:24" s="38" customFormat="1" x14ac:dyDescent="0.3">
      <c r="A40" s="2" t="s">
        <v>31</v>
      </c>
      <c r="E40" s="40">
        <f>IF(E39&lt;Sale_Date,0,MIN(E39-D39,E39-Sale_Date))</f>
        <v>275</v>
      </c>
      <c r="F40" s="40">
        <f t="shared" ref="F40:N40" si="1">IF(F39&lt;Sale_Date,0,MIN(F39-E39,F39-Sale_Date))</f>
        <v>365</v>
      </c>
      <c r="G40" s="40">
        <f t="shared" si="1"/>
        <v>365</v>
      </c>
      <c r="H40" s="40">
        <f t="shared" si="1"/>
        <v>366</v>
      </c>
      <c r="I40" s="40">
        <f t="shared" si="1"/>
        <v>365</v>
      </c>
      <c r="J40" s="40">
        <f t="shared" si="1"/>
        <v>365</v>
      </c>
      <c r="K40" s="40">
        <f t="shared" si="1"/>
        <v>365</v>
      </c>
      <c r="L40" s="40">
        <f t="shared" si="1"/>
        <v>366</v>
      </c>
      <c r="M40" s="40">
        <f t="shared" si="1"/>
        <v>365</v>
      </c>
      <c r="N40" s="40">
        <f t="shared" si="1"/>
        <v>365</v>
      </c>
    </row>
    <row r="41" spans="1:24" s="2" customFormat="1" x14ac:dyDescent="0.3">
      <c r="A41" s="2" t="s">
        <v>9</v>
      </c>
      <c r="D41" s="128" t="s">
        <v>101</v>
      </c>
    </row>
    <row r="42" spans="1:24" s="2" customFormat="1" x14ac:dyDescent="0.3">
      <c r="A42" s="3" t="str">
        <f>A13</f>
        <v>Keep Dakota at 18MMcf/d</v>
      </c>
      <c r="C42" s="142">
        <v>1</v>
      </c>
      <c r="D42" s="143"/>
      <c r="E42" s="144">
        <f>(18-SUM(E43:E53))*$C$13</f>
        <v>0</v>
      </c>
      <c r="F42" s="144">
        <f t="shared" ref="F42:N42" si="2">(18-SUM(F43:F53))*$C$13</f>
        <v>0</v>
      </c>
      <c r="G42" s="144">
        <f t="shared" si="2"/>
        <v>0</v>
      </c>
      <c r="H42" s="144">
        <f t="shared" si="2"/>
        <v>0</v>
      </c>
      <c r="I42" s="144">
        <f t="shared" si="2"/>
        <v>0</v>
      </c>
      <c r="J42" s="144">
        <f t="shared" si="2"/>
        <v>0</v>
      </c>
      <c r="K42" s="144">
        <f t="shared" si="2"/>
        <v>0</v>
      </c>
      <c r="L42" s="144">
        <f t="shared" si="2"/>
        <v>0</v>
      </c>
      <c r="M42" s="144">
        <f t="shared" si="2"/>
        <v>0</v>
      </c>
      <c r="N42" s="144">
        <f t="shared" si="2"/>
        <v>0</v>
      </c>
    </row>
    <row r="43" spans="1:24" x14ac:dyDescent="0.3">
      <c r="A43" s="3" t="str">
        <f>A14</f>
        <v>Beartooth</v>
      </c>
      <c r="C43" s="9">
        <v>1</v>
      </c>
      <c r="D43" s="130">
        <v>6.9401694129262698E-2</v>
      </c>
      <c r="E43" s="6">
        <v>0.4</v>
      </c>
      <c r="F43" s="6">
        <f>E43*(1-$D$43)</f>
        <v>0.37223932234829493</v>
      </c>
      <c r="G43" s="6">
        <f t="shared" ref="G43:N43" si="3">F43*(1-$D$43)</f>
        <v>0.34640528275579457</v>
      </c>
      <c r="H43" s="6">
        <f t="shared" si="3"/>
        <v>0.32236416927721617</v>
      </c>
      <c r="I43" s="6">
        <f t="shared" si="3"/>
        <v>0.29999154980280496</v>
      </c>
      <c r="J43" s="6">
        <f t="shared" si="3"/>
        <v>0.27917162802202722</v>
      </c>
      <c r="K43" s="6">
        <f t="shared" si="3"/>
        <v>0.25979664408447417</v>
      </c>
      <c r="L43" s="6">
        <f t="shared" si="3"/>
        <v>0.24176631685591457</v>
      </c>
      <c r="M43" s="6">
        <f t="shared" si="3"/>
        <v>0.224987324882722</v>
      </c>
      <c r="N43" s="6">
        <f t="shared" si="3"/>
        <v>0.20937282337825028</v>
      </c>
    </row>
    <row r="44" spans="1:24" x14ac:dyDescent="0.3">
      <c r="A44" s="3" t="str">
        <f t="shared" ref="A44:A51" si="4">A15</f>
        <v>Crescendo</v>
      </c>
      <c r="C44" s="9">
        <v>1.08</v>
      </c>
      <c r="D44" s="131" t="s">
        <v>102</v>
      </c>
      <c r="E44" s="6">
        <v>3.8728767123287664</v>
      </c>
      <c r="F44" s="6">
        <v>4.1462633212141169</v>
      </c>
      <c r="G44" s="6">
        <v>3.703081595945362</v>
      </c>
      <c r="H44" s="6">
        <v>3.2442428642993444</v>
      </c>
      <c r="I44" s="6">
        <v>2.8667174782000555</v>
      </c>
      <c r="J44" s="6">
        <v>2.5826856529389182</v>
      </c>
      <c r="K44" s="6">
        <v>2.3531566637937189</v>
      </c>
      <c r="L44" s="6">
        <v>2.1399597621823885</v>
      </c>
      <c r="M44" s="6">
        <v>1.9559293532042781</v>
      </c>
      <c r="N44" s="6">
        <v>1.740273940122167</v>
      </c>
    </row>
    <row r="45" spans="1:24" x14ac:dyDescent="0.3">
      <c r="A45" s="3" t="str">
        <f t="shared" si="4"/>
        <v>D&amp;G Roustabout</v>
      </c>
      <c r="C45" s="9">
        <v>1</v>
      </c>
      <c r="D45" s="130">
        <v>7.6330586103749307E-2</v>
      </c>
      <c r="E45" s="6">
        <v>0.3</v>
      </c>
      <c r="F45" s="6">
        <f>E45*(1-$D$45)</f>
        <v>0.27710082416887521</v>
      </c>
      <c r="G45" s="6">
        <f t="shared" ref="G45:N45" si="5">F45*(1-$D$45)</f>
        <v>0.25594955585023299</v>
      </c>
      <c r="H45" s="6">
        <f t="shared" si="5"/>
        <v>0.23641277623919038</v>
      </c>
      <c r="I45" s="6">
        <f t="shared" si="5"/>
        <v>0.21836725046643843</v>
      </c>
      <c r="J45" s="6">
        <f t="shared" si="5"/>
        <v>0.20169915025247095</v>
      </c>
      <c r="K45" s="6">
        <f t="shared" si="5"/>
        <v>0.18630333589707165</v>
      </c>
      <c r="L45" s="6">
        <f t="shared" si="5"/>
        <v>0.17208269307496449</v>
      </c>
      <c r="M45" s="6">
        <f t="shared" si="5"/>
        <v>0.15894752025424083</v>
      </c>
      <c r="N45" s="6">
        <f t="shared" si="5"/>
        <v>0.14681496287349707</v>
      </c>
    </row>
    <row r="46" spans="1:24" x14ac:dyDescent="0.3">
      <c r="A46" s="3" t="str">
        <f t="shared" si="4"/>
        <v>Hallwood</v>
      </c>
      <c r="C46" s="9">
        <v>0.94099999999999995</v>
      </c>
      <c r="D46" s="130">
        <v>6.5436023142058666E-2</v>
      </c>
      <c r="E46" s="6">
        <v>0.15</v>
      </c>
      <c r="F46" s="6">
        <f>E46*(1-$D$46)</f>
        <v>0.1401845965286912</v>
      </c>
      <c r="G46" s="6">
        <f t="shared" ref="G46:N46" si="6">F46*(1-$D$46)</f>
        <v>0.1310114740260796</v>
      </c>
      <c r="H46" s="6">
        <f t="shared" si="6"/>
        <v>0.12243860417983383</v>
      </c>
      <c r="I46" s="6">
        <f t="shared" si="6"/>
        <v>0.11442670884324087</v>
      </c>
      <c r="J46" s="6">
        <f t="shared" si="6"/>
        <v>0.10693908007530495</v>
      </c>
      <c r="K46" s="6">
        <f t="shared" si="6"/>
        <v>9.9941411956706833E-2</v>
      </c>
      <c r="L46" s="6">
        <f t="shared" si="6"/>
        <v>9.340164341105775E-2</v>
      </c>
      <c r="M46" s="6">
        <f t="shared" si="6"/>
        <v>8.7289811311305462E-2</v>
      </c>
      <c r="N46" s="6">
        <f t="shared" si="6"/>
        <v>8.1577913198272942E-2</v>
      </c>
    </row>
    <row r="47" spans="1:24" x14ac:dyDescent="0.3">
      <c r="A47" s="3" t="str">
        <f t="shared" si="4"/>
        <v>Lone Mountain/Premier</v>
      </c>
      <c r="C47" s="9">
        <v>1</v>
      </c>
      <c r="D47" s="130">
        <v>6.3832971610830097E-2</v>
      </c>
      <c r="E47" s="6">
        <v>5</v>
      </c>
      <c r="F47" s="6">
        <f>E47*(1-$D$47)</f>
        <v>4.6808351419458489</v>
      </c>
      <c r="G47" s="6">
        <f t="shared" ref="G47:N47" si="7">F47*(1-$D$47)</f>
        <v>4.3820435252150434</v>
      </c>
      <c r="H47" s="6">
        <f t="shared" si="7"/>
        <v>4.1023246652725698</v>
      </c>
      <c r="I47" s="6">
        <f t="shared" si="7"/>
        <v>3.8404610913758175</v>
      </c>
      <c r="J47" s="6">
        <f t="shared" si="7"/>
        <v>3.5953130475575272</v>
      </c>
      <c r="K47" s="6">
        <f t="shared" si="7"/>
        <v>3.3658135318607405</v>
      </c>
      <c r="L47" s="6">
        <f t="shared" si="7"/>
        <v>3.1509636522341258</v>
      </c>
      <c r="M47" s="6">
        <f t="shared" si="7"/>
        <v>2.9498282788743073</v>
      </c>
      <c r="N47" s="6">
        <f t="shared" si="7"/>
        <v>2.7615319740920996</v>
      </c>
    </row>
    <row r="48" spans="1:24" x14ac:dyDescent="0.3">
      <c r="A48" s="3" t="str">
        <f t="shared" si="4"/>
        <v>National Fuels</v>
      </c>
      <c r="C48" s="9">
        <v>0.94099999999999995</v>
      </c>
      <c r="D48" s="130">
        <v>7.4797213367828255E-2</v>
      </c>
      <c r="E48" s="6">
        <v>1.8</v>
      </c>
      <c r="F48" s="6">
        <f>E48*(1-$D$48)</f>
        <v>1.6653650159379092</v>
      </c>
      <c r="G48" s="6">
        <f t="shared" ref="G48:N48" si="8">F48*(1-$D$48)</f>
        <v>1.5408003535054846</v>
      </c>
      <c r="H48" s="6">
        <f t="shared" si="8"/>
        <v>1.4255527807071096</v>
      </c>
      <c r="I48" s="6">
        <f t="shared" si="8"/>
        <v>1.318925405201459</v>
      </c>
      <c r="J48" s="6">
        <f t="shared" si="8"/>
        <v>1.2202734602523559</v>
      </c>
      <c r="K48" s="6">
        <f t="shared" si="8"/>
        <v>1.1290004058787624</v>
      </c>
      <c r="L48" s="6">
        <f t="shared" si="8"/>
        <v>1.0445543216278839</v>
      </c>
      <c r="M48" s="6">
        <f t="shared" si="8"/>
        <v>0.96642456915879593</v>
      </c>
      <c r="N48" s="6">
        <f t="shared" si="8"/>
        <v>0.89413870445551391</v>
      </c>
    </row>
    <row r="49" spans="1:14" x14ac:dyDescent="0.3">
      <c r="A49" s="3" t="str">
        <f t="shared" si="4"/>
        <v>Northstar</v>
      </c>
      <c r="C49" s="9">
        <v>1</v>
      </c>
      <c r="D49" s="130">
        <f>AVERAGE($D$43,$D$45:$D$48,$D$50:$D$52)</f>
        <v>7.2664093115495973E-2</v>
      </c>
      <c r="E49" s="6">
        <v>0.35</v>
      </c>
      <c r="F49" s="6">
        <f>E49*(1-$D$49)</f>
        <v>0.32456756740957643</v>
      </c>
      <c r="G49" s="6">
        <f t="shared" ref="G49:N49" si="9">F49*(1-$D$49)</f>
        <v>0.30098315946905696</v>
      </c>
      <c r="H49" s="6">
        <f t="shared" si="9"/>
        <v>0.27911249114320125</v>
      </c>
      <c r="I49" s="6">
        <f t="shared" si="9"/>
        <v>0.25883103509707361</v>
      </c>
      <c r="J49" s="6">
        <f t="shared" si="9"/>
        <v>0.24002331266159965</v>
      </c>
      <c r="K49" s="6">
        <f t="shared" si="9"/>
        <v>0.22258223632046739</v>
      </c>
      <c r="L49" s="6">
        <f t="shared" si="9"/>
        <v>0.20640849997462163</v>
      </c>
      <c r="M49" s="6">
        <f t="shared" si="9"/>
        <v>0.1914100135126359</v>
      </c>
      <c r="N49" s="6">
        <f t="shared" si="9"/>
        <v>0.17750137846751537</v>
      </c>
    </row>
    <row r="50" spans="1:14" x14ac:dyDescent="0.3">
      <c r="A50" s="3" t="str">
        <f t="shared" si="4"/>
        <v>Tom Brown</v>
      </c>
      <c r="C50" s="9">
        <v>0.95</v>
      </c>
      <c r="D50" s="130">
        <v>6.5234847306868474E-2</v>
      </c>
      <c r="E50" s="6">
        <v>1.5</v>
      </c>
      <c r="F50" s="6">
        <f>E50*(1-$D$50)</f>
        <v>1.4021477290396973</v>
      </c>
      <c r="G50" s="6">
        <f t="shared" ref="G50:N50" si="10">F50*(1-$D$50)</f>
        <v>1.3106788360341204</v>
      </c>
      <c r="H50" s="6">
        <f t="shared" si="10"/>
        <v>1.2251769022970904</v>
      </c>
      <c r="I50" s="6">
        <f t="shared" si="10"/>
        <v>1.1452526741518376</v>
      </c>
      <c r="J50" s="6">
        <f t="shared" si="10"/>
        <v>1.0705422908257598</v>
      </c>
      <c r="K50" s="6">
        <f t="shared" si="10"/>
        <v>1.0007056279481963</v>
      </c>
      <c r="L50" s="6">
        <f t="shared" si="10"/>
        <v>0.93542474910987183</v>
      </c>
      <c r="M50" s="6">
        <f t="shared" si="10"/>
        <v>0.87440245843462361</v>
      </c>
      <c r="N50" s="6">
        <f t="shared" si="10"/>
        <v>0.81736094757389055</v>
      </c>
    </row>
    <row r="51" spans="1:14" x14ac:dyDescent="0.3">
      <c r="A51" s="3" t="str">
        <f t="shared" si="4"/>
        <v>Trend Oil</v>
      </c>
      <c r="C51" s="9">
        <v>1</v>
      </c>
      <c r="D51" s="130">
        <v>9.9224325972318353E-2</v>
      </c>
      <c r="E51" s="11">
        <v>0.5</v>
      </c>
      <c r="F51" s="11">
        <f>E51*(1-$D$51)</f>
        <v>0.45038783701384083</v>
      </c>
      <c r="G51" s="11">
        <f t="shared" ref="G51:N51" si="11">F51*(1-$D$51)</f>
        <v>0.40569840746001212</v>
      </c>
      <c r="H51" s="11">
        <f t="shared" si="11"/>
        <v>0.36544325643174946</v>
      </c>
      <c r="I51" s="11">
        <f t="shared" si="11"/>
        <v>0.32918239563118001</v>
      </c>
      <c r="J51" s="11">
        <f t="shared" si="11"/>
        <v>0.29651949430272317</v>
      </c>
      <c r="K51" s="11">
        <f t="shared" si="11"/>
        <v>0.26709754734288277</v>
      </c>
      <c r="L51" s="11">
        <f t="shared" si="11"/>
        <v>0.24059497323892584</v>
      </c>
      <c r="M51" s="11">
        <f t="shared" si="11"/>
        <v>0.21672209918696544</v>
      </c>
      <c r="N51" s="11">
        <f t="shared" si="11"/>
        <v>0.19521799497183287</v>
      </c>
    </row>
    <row r="52" spans="1:14" x14ac:dyDescent="0.3">
      <c r="A52" s="3" t="s">
        <v>97</v>
      </c>
      <c r="C52" s="9">
        <v>1</v>
      </c>
      <c r="D52" s="130">
        <v>6.7055083291051948E-2</v>
      </c>
      <c r="E52" s="11">
        <v>2</v>
      </c>
      <c r="F52" s="11">
        <f>E52*(1-$D$52)</f>
        <v>1.8658898334178962</v>
      </c>
      <c r="G52" s="11">
        <f t="shared" ref="G52:N52" si="12">F52*(1-$D$52)</f>
        <v>1.7407724352261322</v>
      </c>
      <c r="H52" s="11">
        <f t="shared" si="12"/>
        <v>1.6240447945912766</v>
      </c>
      <c r="I52" s="11">
        <f t="shared" si="12"/>
        <v>1.5151443356215593</v>
      </c>
      <c r="J52" s="11">
        <f t="shared" si="12"/>
        <v>1.41354620599849</v>
      </c>
      <c r="K52" s="11">
        <f t="shared" si="12"/>
        <v>1.3187607474195109</v>
      </c>
      <c r="L52" s="11">
        <f t="shared" si="12"/>
        <v>1.2303311356603257</v>
      </c>
      <c r="M52" s="11">
        <f t="shared" si="12"/>
        <v>1.147831178883048</v>
      </c>
      <c r="N52" s="11">
        <f t="shared" si="12"/>
        <v>1.070863263578979</v>
      </c>
    </row>
    <row r="53" spans="1:14" s="10" customFormat="1" x14ac:dyDescent="0.3">
      <c r="A53" s="120" t="s">
        <v>98</v>
      </c>
      <c r="C53" s="122">
        <v>1</v>
      </c>
      <c r="D53" s="130">
        <f>AVERAGE($D$43,$D$45:$D$48,$D$50:$D$52)</f>
        <v>7.2664093115495973E-2</v>
      </c>
      <c r="E53" s="7">
        <v>2</v>
      </c>
      <c r="F53" s="7">
        <f>E53*(1-$D$53)</f>
        <v>1.8546718137690081</v>
      </c>
      <c r="G53" s="7">
        <f t="shared" ref="G53:N53" si="13">F53*(1-$D$53)</f>
        <v>1.7199037683946112</v>
      </c>
      <c r="H53" s="7">
        <f t="shared" si="13"/>
        <v>1.5949285208182928</v>
      </c>
      <c r="I53" s="7">
        <f t="shared" si="13"/>
        <v>1.4790344862689921</v>
      </c>
      <c r="J53" s="7">
        <f t="shared" si="13"/>
        <v>1.3715617866377123</v>
      </c>
      <c r="K53" s="7">
        <f t="shared" si="13"/>
        <v>1.2718984932598136</v>
      </c>
      <c r="L53" s="7">
        <f t="shared" si="13"/>
        <v>1.1794771427121236</v>
      </c>
      <c r="M53" s="7">
        <f t="shared" si="13"/>
        <v>1.0937715057864907</v>
      </c>
      <c r="N53" s="7">
        <f t="shared" si="13"/>
        <v>1.0142935912429449</v>
      </c>
    </row>
    <row r="54" spans="1:14" x14ac:dyDescent="0.3">
      <c r="E54" s="8">
        <f>SUM(E42:E53)</f>
        <v>17.872876712328768</v>
      </c>
      <c r="F54" s="8">
        <f t="shared" ref="F54:N54" si="14">SUM(F42:F53)</f>
        <v>17.179653002793753</v>
      </c>
      <c r="G54" s="8">
        <f t="shared" si="14"/>
        <v>15.837328393881929</v>
      </c>
      <c r="H54" s="8">
        <f t="shared" si="14"/>
        <v>14.542041825256872</v>
      </c>
      <c r="I54" s="8">
        <f t="shared" si="14"/>
        <v>13.386334410660458</v>
      </c>
      <c r="J54" s="8">
        <f t="shared" si="14"/>
        <v>12.378275109524891</v>
      </c>
      <c r="K54" s="8">
        <f t="shared" si="14"/>
        <v>11.475056645762345</v>
      </c>
      <c r="L54" s="8">
        <f t="shared" si="14"/>
        <v>10.634964890082204</v>
      </c>
      <c r="M54" s="8">
        <f t="shared" si="14"/>
        <v>9.8675441134894122</v>
      </c>
      <c r="N54" s="8">
        <f t="shared" si="14"/>
        <v>9.1089474939549628</v>
      </c>
    </row>
    <row r="55" spans="1:14" s="2" customFormat="1" x14ac:dyDescent="0.3">
      <c r="A55" s="2" t="s">
        <v>1</v>
      </c>
      <c r="D55" s="128"/>
    </row>
    <row r="56" spans="1:14" x14ac:dyDescent="0.3">
      <c r="A56" s="3" t="str">
        <f>A27</f>
        <v>Keep the South Canyon Plant Full</v>
      </c>
      <c r="C56" s="9"/>
      <c r="E56" s="6">
        <f>((25*5/12)-E57-E58-E60-E63-E46-E50)*$C27</f>
        <v>0</v>
      </c>
      <c r="F56" s="6">
        <f>(25-F57-F58-F60-F63-F46-F50)*$C27</f>
        <v>0</v>
      </c>
      <c r="G56" s="6">
        <f t="shared" ref="G56:N56" si="15">(25-G57-G58-G60-G63-G46-G50)*$C27</f>
        <v>0</v>
      </c>
      <c r="H56" s="6">
        <f t="shared" si="15"/>
        <v>0</v>
      </c>
      <c r="I56" s="6">
        <f t="shared" si="15"/>
        <v>0</v>
      </c>
      <c r="J56" s="6">
        <f t="shared" si="15"/>
        <v>0</v>
      </c>
      <c r="K56" s="6">
        <f t="shared" si="15"/>
        <v>0</v>
      </c>
      <c r="L56" s="6">
        <f t="shared" si="15"/>
        <v>0</v>
      </c>
      <c r="M56" s="6">
        <f t="shared" si="15"/>
        <v>0</v>
      </c>
      <c r="N56" s="6">
        <f t="shared" si="15"/>
        <v>0</v>
      </c>
    </row>
    <row r="57" spans="1:14" x14ac:dyDescent="0.3">
      <c r="A57" s="3" t="str">
        <f t="shared" ref="A57:A64" si="16">A28</f>
        <v>Crescendo - Badger Wash Entrada</v>
      </c>
      <c r="C57" s="9"/>
      <c r="E57" s="6">
        <v>4.0037621494256772</v>
      </c>
      <c r="F57" s="6">
        <v>8.9883683767780536</v>
      </c>
      <c r="G57" s="6">
        <v>7.5831701580951911</v>
      </c>
      <c r="H57" s="6">
        <v>6.3976538606485489</v>
      </c>
      <c r="I57" s="6">
        <v>5.3974754709912025</v>
      </c>
      <c r="J57" s="6">
        <v>4.5536601533172725</v>
      </c>
      <c r="K57" s="6">
        <v>3.8417628580906782</v>
      </c>
      <c r="L57" s="6">
        <v>3.2411601570778714</v>
      </c>
      <c r="M57" s="6">
        <v>2.7344527894806077</v>
      </c>
      <c r="N57" s="6">
        <v>2.3069616111286271</v>
      </c>
    </row>
    <row r="58" spans="1:14" x14ac:dyDescent="0.3">
      <c r="A58" s="3" t="str">
        <f t="shared" si="16"/>
        <v>Crescendo - San Arroyo Entrada</v>
      </c>
      <c r="C58" s="9"/>
      <c r="E58" s="6">
        <v>3.7236691784416474</v>
      </c>
      <c r="F58" s="6">
        <v>8.4358738191883642</v>
      </c>
      <c r="G58" s="6">
        <v>7.2899253439452796</v>
      </c>
      <c r="H58" s="6">
        <v>6.2996451416112711</v>
      </c>
      <c r="I58" s="6">
        <v>5.4438868764530897</v>
      </c>
      <c r="J58" s="6">
        <v>4.70437677955272</v>
      </c>
      <c r="K58" s="6">
        <v>4.0653234327334449</v>
      </c>
      <c r="L58" s="6">
        <v>3.5130805603336412</v>
      </c>
      <c r="M58" s="6">
        <v>3.0358556281205376</v>
      </c>
      <c r="N58" s="6">
        <v>2.6234580267968153</v>
      </c>
    </row>
    <row r="59" spans="1:14" x14ac:dyDescent="0.3">
      <c r="A59" s="3" t="str">
        <f t="shared" si="16"/>
        <v>Hallwood</v>
      </c>
      <c r="C59" s="9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1:14" x14ac:dyDescent="0.3">
      <c r="A60" s="3" t="str">
        <f t="shared" si="16"/>
        <v>Lone Mountain - Bar-X Entrada</v>
      </c>
      <c r="C60" s="9"/>
      <c r="E60" s="6">
        <v>0</v>
      </c>
      <c r="F60" s="6">
        <v>0.3435620203415275</v>
      </c>
      <c r="G60" s="6">
        <v>1.305986828973541</v>
      </c>
      <c r="H60" s="6">
        <v>1.98</v>
      </c>
      <c r="I60" s="6">
        <v>1.98</v>
      </c>
      <c r="J60" s="6">
        <v>1.98</v>
      </c>
      <c r="K60" s="6">
        <v>1.98</v>
      </c>
      <c r="L60" s="6">
        <v>1.98</v>
      </c>
      <c r="M60" s="6">
        <v>1.98</v>
      </c>
      <c r="N60" s="6">
        <v>1.98</v>
      </c>
    </row>
    <row r="61" spans="1:14" x14ac:dyDescent="0.3">
      <c r="A61" s="3" t="str">
        <f t="shared" si="16"/>
        <v>National Fuels</v>
      </c>
      <c r="C61" s="9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3">
      <c r="A62" s="3" t="str">
        <f t="shared" si="16"/>
        <v>Northstar</v>
      </c>
      <c r="C62" s="9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3">
      <c r="A63" s="3" t="str">
        <f t="shared" si="16"/>
        <v>Tom Brown - South Canyon Entrada</v>
      </c>
      <c r="C63" s="9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0.80789041095890413</v>
      </c>
      <c r="L63" s="6">
        <v>2.7478904109589042</v>
      </c>
      <c r="M63" s="6">
        <v>4.6878904109589037</v>
      </c>
      <c r="N63" s="6">
        <v>6.6278904109589041</v>
      </c>
    </row>
    <row r="64" spans="1:14" x14ac:dyDescent="0.3">
      <c r="A64" s="3" t="str">
        <f t="shared" si="16"/>
        <v>Trend Oil</v>
      </c>
      <c r="C64" s="9"/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</row>
    <row r="65" spans="1:14" x14ac:dyDescent="0.3">
      <c r="A65" s="44" t="s">
        <v>128</v>
      </c>
      <c r="E65" s="8">
        <f>IF(SUM($C$27:$C$35)&gt;0,SUM(E56:E64),0)</f>
        <v>0</v>
      </c>
      <c r="F65" s="8">
        <f t="shared" ref="F65:N65" si="17">IF(SUM($C$27:$C$35)&gt;0,SUM(F56:F64),0)</f>
        <v>0</v>
      </c>
      <c r="G65" s="8">
        <f t="shared" si="17"/>
        <v>0</v>
      </c>
      <c r="H65" s="8">
        <f t="shared" si="17"/>
        <v>0</v>
      </c>
      <c r="I65" s="8">
        <f t="shared" si="17"/>
        <v>0</v>
      </c>
      <c r="J65" s="8">
        <f t="shared" si="17"/>
        <v>0</v>
      </c>
      <c r="K65" s="8">
        <f t="shared" si="17"/>
        <v>0</v>
      </c>
      <c r="L65" s="8">
        <f t="shared" si="17"/>
        <v>0</v>
      </c>
      <c r="M65" s="8">
        <f t="shared" si="17"/>
        <v>0</v>
      </c>
      <c r="N65" s="8">
        <f t="shared" si="17"/>
        <v>0</v>
      </c>
    </row>
    <row r="67" spans="1:14" s="1" customFormat="1" ht="15.6" x14ac:dyDescent="0.3">
      <c r="A67" s="1" t="s">
        <v>24</v>
      </c>
    </row>
    <row r="68" spans="1:14" ht="5.25" customHeight="1" x14ac:dyDescent="0.3"/>
    <row r="71" spans="1:14" x14ac:dyDescent="0.3">
      <c r="A71" s="2" t="s">
        <v>135</v>
      </c>
      <c r="B71" s="2"/>
      <c r="E71" s="85">
        <f>E$39</f>
        <v>37256</v>
      </c>
      <c r="F71" s="86">
        <f t="shared" ref="F71:N71" si="18">F$39</f>
        <v>37621</v>
      </c>
      <c r="G71" s="86">
        <f t="shared" si="18"/>
        <v>37986</v>
      </c>
      <c r="H71" s="86">
        <f t="shared" si="18"/>
        <v>38352</v>
      </c>
      <c r="I71" s="86">
        <f t="shared" si="18"/>
        <v>38717</v>
      </c>
      <c r="J71" s="86">
        <f t="shared" si="18"/>
        <v>39082</v>
      </c>
      <c r="K71" s="86">
        <f t="shared" si="18"/>
        <v>39447</v>
      </c>
      <c r="L71" s="86">
        <f t="shared" si="18"/>
        <v>39813</v>
      </c>
      <c r="M71" s="86">
        <f t="shared" si="18"/>
        <v>40178</v>
      </c>
      <c r="N71" s="87">
        <f t="shared" si="18"/>
        <v>40543</v>
      </c>
    </row>
    <row r="72" spans="1:14" x14ac:dyDescent="0.3">
      <c r="A72" s="3" t="str">
        <f>A13</f>
        <v>Keep Dakota at 18MMcf/d</v>
      </c>
      <c r="B72" s="2"/>
      <c r="E72" s="8">
        <f>$D13+MAX($G13,MIN($F13,$E13*(HLOOKUP(YEAR(E$71),Curves!$J$5:$W$6,2))))</f>
        <v>0</v>
      </c>
      <c r="F72" s="8">
        <f>$D13+MAX($G13,MIN($F13,$E13*(HLOOKUP(YEAR(F$71),Curves!$J$5:$W$6,2))))</f>
        <v>0</v>
      </c>
      <c r="G72" s="8">
        <f>$D13+MAX($G13,MIN($F13,$E13*(HLOOKUP(YEAR(G$71),Curves!$J$5:$W$6,2))))</f>
        <v>0</v>
      </c>
      <c r="H72" s="8">
        <f>$D13+MAX($G13,MIN($F13,$E13*(HLOOKUP(YEAR(H$71),Curves!$J$5:$W$6,2))))</f>
        <v>0</v>
      </c>
      <c r="I72" s="8">
        <f>$D13+MAX($G13,MIN($F13,$E13*(HLOOKUP(YEAR(I$71),Curves!$J$5:$W$6,2))))</f>
        <v>0</v>
      </c>
      <c r="J72" s="8">
        <f>$D13+MAX($G13,MIN($F13,$E13*(HLOOKUP(YEAR(J$71),Curves!$J$5:$W$6,2))))</f>
        <v>0</v>
      </c>
      <c r="K72" s="8">
        <f>$D13+MAX($G13,MIN($F13,$E13*(HLOOKUP(YEAR(K$71),Curves!$J$5:$W$6,2))))</f>
        <v>0</v>
      </c>
      <c r="L72" s="8">
        <f>$D13+MAX($G13,MIN($F13,$E13*(HLOOKUP(YEAR(L$71),Curves!$J$5:$W$6,2))))</f>
        <v>0</v>
      </c>
      <c r="M72" s="8">
        <f>$D13+MAX($G13,MIN($F13,$E13*(HLOOKUP(YEAR(M$71),Curves!$J$5:$W$6,2))))</f>
        <v>0</v>
      </c>
      <c r="N72" s="8">
        <f>$D13+MAX($G13,MIN($F13,$E13*(HLOOKUP(YEAR(N$71),Curves!$J$5:$W$6,2))))</f>
        <v>0</v>
      </c>
    </row>
    <row r="73" spans="1:14" x14ac:dyDescent="0.3">
      <c r="A73" s="3" t="str">
        <f>A14</f>
        <v>Beartooth</v>
      </c>
      <c r="E73" s="8">
        <f>$D14+MAX($G14,MIN($F14,$E14*(HLOOKUP(YEAR(E$71),Curves!$J$5:$W$6,2))))</f>
        <v>0.2</v>
      </c>
      <c r="F73" s="8">
        <f>$D14+MAX($G14,MIN($F14,$E14*(HLOOKUP(YEAR(F$71),Curves!$J$5:$W$6,2))))</f>
        <v>0.2</v>
      </c>
      <c r="G73" s="8">
        <f>$D14+MAX($G14,MIN($F14,$E14*(HLOOKUP(YEAR(G$71),Curves!$J$5:$W$6,2))))</f>
        <v>0.2</v>
      </c>
      <c r="H73" s="8">
        <f>$D14+MAX($G14,MIN($F14,$E14*(HLOOKUP(YEAR(H$71),Curves!$J$5:$W$6,2))))</f>
        <v>0.2</v>
      </c>
      <c r="I73" s="8">
        <f>$D14+MAX($G14,MIN($F14,$E14*(HLOOKUP(YEAR(I$71),Curves!$J$5:$W$6,2))))</f>
        <v>0.2</v>
      </c>
      <c r="J73" s="8">
        <f>$D14+MAX($G14,MIN($F14,$E14*(HLOOKUP(YEAR(J$71),Curves!$J$5:$W$6,2))))</f>
        <v>0.2</v>
      </c>
      <c r="K73" s="8">
        <f>$D14+MAX($G14,MIN($F14,$E14*(HLOOKUP(YEAR(K$71),Curves!$J$5:$W$6,2))))</f>
        <v>0.2</v>
      </c>
      <c r="L73" s="8">
        <f>$D14+MAX($G14,MIN($F14,$E14*(HLOOKUP(YEAR(L$71),Curves!$J$5:$W$6,2))))</f>
        <v>0.2</v>
      </c>
      <c r="M73" s="8">
        <f>$D14+MAX($G14,MIN($F14,$E14*(HLOOKUP(YEAR(M$71),Curves!$J$5:$W$6,2))))</f>
        <v>0.2</v>
      </c>
      <c r="N73" s="8">
        <f>$D14+MAX($G14,MIN($F14,$E14*(HLOOKUP(YEAR(N$71),Curves!$J$5:$W$6,2))))</f>
        <v>0.2</v>
      </c>
    </row>
    <row r="74" spans="1:14" x14ac:dyDescent="0.3">
      <c r="A74" s="3" t="str">
        <f t="shared" ref="A74:A81" si="19">A15</f>
        <v>Crescendo</v>
      </c>
      <c r="E74" s="8">
        <f>$D15+MAX($G15,MIN($F15,$E15*(HLOOKUP(YEAR(E$71),Curves!$J$5:$W$6,2))))</f>
        <v>0.25</v>
      </c>
      <c r="F74" s="8">
        <f>$D15+MAX($G15,MIN($F15,$E15*(HLOOKUP(YEAR(F$71),Curves!$J$5:$W$6,2))))</f>
        <v>0.25</v>
      </c>
      <c r="G74" s="8">
        <f>$D15+MAX($G15,MIN($F15,$E15*(HLOOKUP(YEAR(G$71),Curves!$J$5:$W$6,2))))</f>
        <v>0.25</v>
      </c>
      <c r="H74" s="8">
        <f>$D15+MAX($G15,MIN($F15,$E15*(HLOOKUP(YEAR(H$71),Curves!$J$5:$W$6,2))))</f>
        <v>0.25</v>
      </c>
      <c r="I74" s="8">
        <f>$D15+MAX($G15,MIN($F15,$E15*(HLOOKUP(YEAR(I$71),Curves!$J$5:$W$6,2))))</f>
        <v>0.25</v>
      </c>
      <c r="J74" s="8">
        <f>$D15+MAX($G15,MIN($F15,$E15*(HLOOKUP(YEAR(J$71),Curves!$J$5:$W$6,2))))</f>
        <v>0.25</v>
      </c>
      <c r="K74" s="8">
        <f>$D15+MAX($G15,MIN($F15,$E15*(HLOOKUP(YEAR(K$71),Curves!$J$5:$W$6,2))))</f>
        <v>0.25</v>
      </c>
      <c r="L74" s="8">
        <f>$D15+MAX($G15,MIN($F15,$E15*(HLOOKUP(YEAR(L$71),Curves!$J$5:$W$6,2))))</f>
        <v>0.25</v>
      </c>
      <c r="M74" s="8">
        <f>$D15+MAX($G15,MIN($F15,$E15*(HLOOKUP(YEAR(M$71),Curves!$J$5:$W$6,2))))</f>
        <v>0.25</v>
      </c>
      <c r="N74" s="8">
        <f>$D15+MAX($G15,MIN($F15,$E15*(HLOOKUP(YEAR(N$71),Curves!$J$5:$W$6,2))))</f>
        <v>0.25</v>
      </c>
    </row>
    <row r="75" spans="1:14" x14ac:dyDescent="0.3">
      <c r="A75" s="3" t="str">
        <f t="shared" si="19"/>
        <v>D&amp;G Roustabout</v>
      </c>
      <c r="E75" s="8">
        <f>$D16+MAX($G16,MIN($F16,$E16*(HLOOKUP(YEAR(E$71),Curves!$J$5:$W$6,2))))</f>
        <v>0.55000000000000004</v>
      </c>
      <c r="F75" s="8">
        <f>$D16+MAX($G16,MIN($F16,$E16*(HLOOKUP(YEAR(F$71),Curves!$J$5:$W$6,2))))</f>
        <v>0.52790291666666667</v>
      </c>
      <c r="G75" s="8">
        <f>$D16+MAX($G16,MIN($F16,$E16*(HLOOKUP(YEAR(G$71),Curves!$J$5:$W$6,2))))</f>
        <v>0.47883874999999998</v>
      </c>
      <c r="H75" s="8">
        <f>$D16+MAX($G16,MIN($F16,$E16*(HLOOKUP(YEAR(H$71),Curves!$J$5:$W$6,2))))</f>
        <v>0.46226375000000008</v>
      </c>
      <c r="I75" s="8">
        <f>$D16+MAX($G16,MIN($F16,$E16*(HLOOKUP(YEAR(I$71),Curves!$J$5:$W$6,2))))</f>
        <v>0.46058458333333335</v>
      </c>
      <c r="J75" s="8">
        <f>$D16+MAX($G16,MIN($F16,$E16*(HLOOKUP(YEAR(J$71),Curves!$J$5:$W$6,2))))</f>
        <v>0.46188458333333343</v>
      </c>
      <c r="K75" s="8">
        <f>$D16+MAX($G16,MIN($F16,$E16*(HLOOKUP(YEAR(K$71),Curves!$J$5:$W$6,2))))</f>
        <v>0.46564916666666673</v>
      </c>
      <c r="L75" s="8">
        <f>$D16+MAX($G16,MIN($F16,$E16*(HLOOKUP(YEAR(L$71),Curves!$J$5:$W$6,2))))</f>
        <v>0.47074083333333333</v>
      </c>
      <c r="M75" s="8">
        <f>$D16+MAX($G16,MIN($F16,$E16*(HLOOKUP(YEAR(M$71),Curves!$J$5:$W$6,2))))</f>
        <v>0.47984083333333327</v>
      </c>
      <c r="N75" s="8">
        <f>$D16+MAX($G16,MIN($F16,$E16*(HLOOKUP(YEAR(N$71),Curves!$J$5:$W$6,2))))</f>
        <v>0.49154083333333337</v>
      </c>
    </row>
    <row r="76" spans="1:14" x14ac:dyDescent="0.3">
      <c r="A76" s="3" t="str">
        <f t="shared" si="19"/>
        <v>Hallwood</v>
      </c>
      <c r="E76" s="8">
        <f>$D17+MAX($G17,MIN($F17,$E17*(HLOOKUP(YEAR(E$71),Curves!$J$5:$W$6,2))))</f>
        <v>0.255</v>
      </c>
      <c r="F76" s="8">
        <f>$D17+MAX($G17,MIN($F17,$E17*(HLOOKUP(YEAR(F$71),Curves!$J$5:$W$6,2))))</f>
        <v>0.255</v>
      </c>
      <c r="G76" s="8">
        <f>$D17+MAX($G17,MIN($F17,$E17*(HLOOKUP(YEAR(G$71),Curves!$J$5:$W$6,2))))</f>
        <v>0.255</v>
      </c>
      <c r="H76" s="8">
        <f>$D17+MAX($G17,MIN($F17,$E17*(HLOOKUP(YEAR(H$71),Curves!$J$5:$W$6,2))))</f>
        <v>0.255</v>
      </c>
      <c r="I76" s="8">
        <f>$D17+MAX($G17,MIN($F17,$E17*(HLOOKUP(YEAR(I$71),Curves!$J$5:$W$6,2))))</f>
        <v>0.255</v>
      </c>
      <c r="J76" s="8">
        <f>$D17+MAX($G17,MIN($F17,$E17*(HLOOKUP(YEAR(J$71),Curves!$J$5:$W$6,2))))</f>
        <v>0.255</v>
      </c>
      <c r="K76" s="8">
        <f>$D17+MAX($G17,MIN($F17,$E17*(HLOOKUP(YEAR(K$71),Curves!$J$5:$W$6,2))))</f>
        <v>0.255</v>
      </c>
      <c r="L76" s="8">
        <f>$D17+MAX($G17,MIN($F17,$E17*(HLOOKUP(YEAR(L$71),Curves!$J$5:$W$6,2))))</f>
        <v>0.255</v>
      </c>
      <c r="M76" s="8">
        <f>$D17+MAX($G17,MIN($F17,$E17*(HLOOKUP(YEAR(M$71),Curves!$J$5:$W$6,2))))</f>
        <v>0.255</v>
      </c>
      <c r="N76" s="8">
        <f>$D17+MAX($G17,MIN($F17,$E17*(HLOOKUP(YEAR(N$71),Curves!$J$5:$W$6,2))))</f>
        <v>0.255</v>
      </c>
    </row>
    <row r="77" spans="1:14" x14ac:dyDescent="0.3">
      <c r="A77" s="3" t="str">
        <f t="shared" si="19"/>
        <v>Lone Mountain/Premier</v>
      </c>
      <c r="E77" s="8">
        <f>$D18+MAX($G18,MIN($F18,$E18*(HLOOKUP(YEAR(E$71),Curves!$J$5:$W$6,2))))</f>
        <v>0.2</v>
      </c>
      <c r="F77" s="8">
        <f>$D18+MAX($G18,MIN($F18,$E18*(HLOOKUP(YEAR(F$71),Curves!$J$5:$W$6,2))))</f>
        <v>0.2</v>
      </c>
      <c r="G77" s="8">
        <f>$D18+MAX($G18,MIN($F18,$E18*(HLOOKUP(YEAR(G$71),Curves!$J$5:$W$6,2))))</f>
        <v>0.2</v>
      </c>
      <c r="H77" s="8">
        <f>$D18+MAX($G18,MIN($F18,$E18*(HLOOKUP(YEAR(H$71),Curves!$J$5:$W$6,2))))</f>
        <v>0.2</v>
      </c>
      <c r="I77" s="8">
        <f>$D18+MAX($G18,MIN($F18,$E18*(HLOOKUP(YEAR(I$71),Curves!$J$5:$W$6,2))))</f>
        <v>0.2</v>
      </c>
      <c r="J77" s="8">
        <f>$D18+MAX($G18,MIN($F18,$E18*(HLOOKUP(YEAR(J$71),Curves!$J$5:$W$6,2))))</f>
        <v>0.2</v>
      </c>
      <c r="K77" s="8">
        <f>$D18+MAX($G18,MIN($F18,$E18*(HLOOKUP(YEAR(K$71),Curves!$J$5:$W$6,2))))</f>
        <v>0.2</v>
      </c>
      <c r="L77" s="8">
        <f>$D18+MAX($G18,MIN($F18,$E18*(HLOOKUP(YEAR(L$71),Curves!$J$5:$W$6,2))))</f>
        <v>0.2</v>
      </c>
      <c r="M77" s="8">
        <f>$D18+MAX($G18,MIN($F18,$E18*(HLOOKUP(YEAR(M$71),Curves!$J$5:$W$6,2))))</f>
        <v>0.2</v>
      </c>
      <c r="N77" s="8">
        <f>$D18+MAX($G18,MIN($F18,$E18*(HLOOKUP(YEAR(N$71),Curves!$J$5:$W$6,2))))</f>
        <v>0.2</v>
      </c>
    </row>
    <row r="78" spans="1:14" x14ac:dyDescent="0.3">
      <c r="A78" s="3" t="str">
        <f t="shared" si="19"/>
        <v>National Fuels</v>
      </c>
      <c r="E78" s="8">
        <f>$D19+MAX($G19,MIN($F19,$E19*(HLOOKUP(YEAR(E$71),Curves!$J$5:$W$6,2))))</f>
        <v>0.55000000000000004</v>
      </c>
      <c r="F78" s="8">
        <f>$D19+MAX($G19,MIN($F19,$E19*(HLOOKUP(YEAR(F$71),Curves!$J$5:$W$6,2))))</f>
        <v>0.52790291666666667</v>
      </c>
      <c r="G78" s="8">
        <f>$D19+MAX($G19,MIN($F19,$E19*(HLOOKUP(YEAR(G$71),Curves!$J$5:$W$6,2))))</f>
        <v>0.47883874999999998</v>
      </c>
      <c r="H78" s="8">
        <f>$D19+MAX($G19,MIN($F19,$E19*(HLOOKUP(YEAR(H$71),Curves!$J$5:$W$6,2))))</f>
        <v>0.46226375000000008</v>
      </c>
      <c r="I78" s="8">
        <f>$D19+MAX($G19,MIN($F19,$E19*(HLOOKUP(YEAR(I$71),Curves!$J$5:$W$6,2))))</f>
        <v>0.46058458333333335</v>
      </c>
      <c r="J78" s="8">
        <f>$D19+MAX($G19,MIN($F19,$E19*(HLOOKUP(YEAR(J$71),Curves!$J$5:$W$6,2))))</f>
        <v>0.46188458333333343</v>
      </c>
      <c r="K78" s="8">
        <f>$D19+MAX($G19,MIN($F19,$E19*(HLOOKUP(YEAR(K$71),Curves!$J$5:$W$6,2))))</f>
        <v>0.46564916666666673</v>
      </c>
      <c r="L78" s="8">
        <f>$D19+MAX($G19,MIN($F19,$E19*(HLOOKUP(YEAR(L$71),Curves!$J$5:$W$6,2))))</f>
        <v>0.47074083333333333</v>
      </c>
      <c r="M78" s="8">
        <f>$D19+MAX($G19,MIN($F19,$E19*(HLOOKUP(YEAR(M$71),Curves!$J$5:$W$6,2))))</f>
        <v>0.47984083333333327</v>
      </c>
      <c r="N78" s="8">
        <f>$D19+MAX($G19,MIN($F19,$E19*(HLOOKUP(YEAR(N$71),Curves!$J$5:$W$6,2))))</f>
        <v>0.49154083333333337</v>
      </c>
    </row>
    <row r="79" spans="1:14" x14ac:dyDescent="0.3">
      <c r="A79" s="3" t="str">
        <f t="shared" si="19"/>
        <v>Northstar</v>
      </c>
      <c r="E79" s="8">
        <f>$D20+MAX($G20,MIN($F20,$E20*(HLOOKUP(YEAR(E$71),Curves!$J$5:$W$6,2))))</f>
        <v>0.45</v>
      </c>
      <c r="F79" s="8">
        <f>$D20+MAX($G20,MIN($F20,$E20*(HLOOKUP(YEAR(F$71),Curves!$J$5:$W$6,2))))</f>
        <v>0.45</v>
      </c>
      <c r="G79" s="8">
        <f>$D20+MAX($G20,MIN($F20,$E20*(HLOOKUP(YEAR(G$71),Curves!$J$5:$W$6,2))))</f>
        <v>0.45</v>
      </c>
      <c r="H79" s="8">
        <f>$D20+MAX($G20,MIN($F20,$E20*(HLOOKUP(YEAR(H$71),Curves!$J$5:$W$6,2))))</f>
        <v>0.45</v>
      </c>
      <c r="I79" s="8">
        <f>$D20+MAX($G20,MIN($F20,$E20*(HLOOKUP(YEAR(I$71),Curves!$J$5:$W$6,2))))</f>
        <v>0.45</v>
      </c>
      <c r="J79" s="8">
        <f>$D20+MAX($G20,MIN($F20,$E20*(HLOOKUP(YEAR(J$71),Curves!$J$5:$W$6,2))))</f>
        <v>0.45</v>
      </c>
      <c r="K79" s="8">
        <f>$D20+MAX($G20,MIN($F20,$E20*(HLOOKUP(YEAR(K$71),Curves!$J$5:$W$6,2))))</f>
        <v>0.45</v>
      </c>
      <c r="L79" s="8">
        <f>$D20+MAX($G20,MIN($F20,$E20*(HLOOKUP(YEAR(L$71),Curves!$J$5:$W$6,2))))</f>
        <v>0.45</v>
      </c>
      <c r="M79" s="8">
        <f>$D20+MAX($G20,MIN($F20,$E20*(HLOOKUP(YEAR(M$71),Curves!$J$5:$W$6,2))))</f>
        <v>0.45</v>
      </c>
      <c r="N79" s="8">
        <f>$D20+MAX($G20,MIN($F20,$E20*(HLOOKUP(YEAR(N$71),Curves!$J$5:$W$6,2))))</f>
        <v>0.45</v>
      </c>
    </row>
    <row r="80" spans="1:14" x14ac:dyDescent="0.3">
      <c r="A80" s="3" t="str">
        <f t="shared" si="19"/>
        <v>Tom Brown</v>
      </c>
      <c r="E80" s="8">
        <f>$D21+MAX($G21,MIN($F21,$E21*(HLOOKUP(YEAR(E$71),Curves!$J$5:$W$6,2))))</f>
        <v>0.25</v>
      </c>
      <c r="F80" s="8">
        <f>$D21+MAX($G21,MIN($F21,$E21*(HLOOKUP(YEAR(F$71),Curves!$J$5:$W$6,2))))</f>
        <v>0.25</v>
      </c>
      <c r="G80" s="8">
        <f>$D21+MAX($G21,MIN($F21,$E21*(HLOOKUP(YEAR(G$71),Curves!$J$5:$W$6,2))))</f>
        <v>0.25</v>
      </c>
      <c r="H80" s="8">
        <f>$D21+MAX($G21,MIN($F21,$E21*(HLOOKUP(YEAR(H$71),Curves!$J$5:$W$6,2))))</f>
        <v>0.25</v>
      </c>
      <c r="I80" s="8">
        <f>$D21+MAX($G21,MIN($F21,$E21*(HLOOKUP(YEAR(I$71),Curves!$J$5:$W$6,2))))</f>
        <v>0.25</v>
      </c>
      <c r="J80" s="8">
        <f>$D21+MAX($G21,MIN($F21,$E21*(HLOOKUP(YEAR(J$71),Curves!$J$5:$W$6,2))))</f>
        <v>0.25</v>
      </c>
      <c r="K80" s="8">
        <f>$D21+MAX($G21,MIN($F21,$E21*(HLOOKUP(YEAR(K$71),Curves!$J$5:$W$6,2))))</f>
        <v>0.25</v>
      </c>
      <c r="L80" s="8">
        <f>$D21+MAX($G21,MIN($F21,$E21*(HLOOKUP(YEAR(L$71),Curves!$J$5:$W$6,2))))</f>
        <v>0.25</v>
      </c>
      <c r="M80" s="8">
        <f>$D21+MAX($G21,MIN($F21,$E21*(HLOOKUP(YEAR(M$71),Curves!$J$5:$W$6,2))))</f>
        <v>0.25</v>
      </c>
      <c r="N80" s="8">
        <f>$D21+MAX($G21,MIN($F21,$E21*(HLOOKUP(YEAR(N$71),Curves!$J$5:$W$6,2))))</f>
        <v>0.25</v>
      </c>
    </row>
    <row r="81" spans="1:14" x14ac:dyDescent="0.3">
      <c r="A81" s="3" t="str">
        <f t="shared" si="19"/>
        <v>Trend Oil</v>
      </c>
      <c r="E81" s="8">
        <f>$D22+MAX($G22,MIN($F22,$E22*(HLOOKUP(YEAR(E$71),Curves!$J$5:$W$6,2))))</f>
        <v>0.22</v>
      </c>
      <c r="F81" s="8">
        <f>$D22+MAX($G22,MIN($F22,$E22*(HLOOKUP(YEAR(F$71),Curves!$J$5:$W$6,2))))</f>
        <v>0.22</v>
      </c>
      <c r="G81" s="8">
        <f>$D22+MAX($G22,MIN($F22,$E22*(HLOOKUP(YEAR(G$71),Curves!$J$5:$W$6,2))))</f>
        <v>0.22</v>
      </c>
      <c r="H81" s="8">
        <f>$D22+MAX($G22,MIN($F22,$E22*(HLOOKUP(YEAR(H$71),Curves!$J$5:$W$6,2))))</f>
        <v>0.22</v>
      </c>
      <c r="I81" s="8">
        <f>$D22+MAX($G22,MIN($F22,$E22*(HLOOKUP(YEAR(I$71),Curves!$J$5:$W$6,2))))</f>
        <v>0.22</v>
      </c>
      <c r="J81" s="8">
        <f>$D22+MAX($G22,MIN($F22,$E22*(HLOOKUP(YEAR(J$71),Curves!$J$5:$W$6,2))))</f>
        <v>0.22</v>
      </c>
      <c r="K81" s="8">
        <f>$D22+MAX($G22,MIN($F22,$E22*(HLOOKUP(YEAR(K$71),Curves!$J$5:$W$6,2))))</f>
        <v>0.22</v>
      </c>
      <c r="L81" s="8">
        <f>$D22+MAX($G22,MIN($F22,$E22*(HLOOKUP(YEAR(L$71),Curves!$J$5:$W$6,2))))</f>
        <v>0.22</v>
      </c>
      <c r="M81" s="8">
        <f>$D22+MAX($G22,MIN($F22,$E22*(HLOOKUP(YEAR(M$71),Curves!$J$5:$W$6,2))))</f>
        <v>0.22</v>
      </c>
      <c r="N81" s="8">
        <f>$D22+MAX($G22,MIN($F22,$E22*(HLOOKUP(YEAR(N$71),Curves!$J$5:$W$6,2))))</f>
        <v>0.22</v>
      </c>
    </row>
    <row r="82" spans="1:14" x14ac:dyDescent="0.3">
      <c r="A82" s="3" t="str">
        <f>A52</f>
        <v>Wasatch</v>
      </c>
      <c r="E82" s="8">
        <f>$D23+MAX($G23,MIN($F23,$E23*(HLOOKUP(YEAR(E$71),Curves!$J$5:$W$6,2))))</f>
        <v>0.25</v>
      </c>
      <c r="F82" s="8">
        <f>$D23+MAX($G23,MIN($F23,$E23*(HLOOKUP(YEAR(F$71),Curves!$J$5:$W$6,2))))</f>
        <v>0.25</v>
      </c>
      <c r="G82" s="8">
        <f>$D23+MAX($G23,MIN($F23,$E23*(HLOOKUP(YEAR(G$71),Curves!$J$5:$W$6,2))))</f>
        <v>0.25</v>
      </c>
      <c r="H82" s="8">
        <f>$D23+MAX($G23,MIN($F23,$E23*(HLOOKUP(YEAR(H$71),Curves!$J$5:$W$6,2))))</f>
        <v>0.25</v>
      </c>
      <c r="I82" s="8">
        <f>$D23+MAX($G23,MIN($F23,$E23*(HLOOKUP(YEAR(I$71),Curves!$J$5:$W$6,2))))</f>
        <v>0.25</v>
      </c>
      <c r="J82" s="8">
        <f>$D23+MAX($G23,MIN($F23,$E23*(HLOOKUP(YEAR(J$71),Curves!$J$5:$W$6,2))))</f>
        <v>0.25</v>
      </c>
      <c r="K82" s="8">
        <f>$D23+MAX($G23,MIN($F23,$E23*(HLOOKUP(YEAR(K$71),Curves!$J$5:$W$6,2))))</f>
        <v>0.25</v>
      </c>
      <c r="L82" s="8">
        <f>$D23+MAX($G23,MIN($F23,$E23*(HLOOKUP(YEAR(L$71),Curves!$J$5:$W$6,2))))</f>
        <v>0.25</v>
      </c>
      <c r="M82" s="8">
        <f>$D23+MAX($G23,MIN($F23,$E23*(HLOOKUP(YEAR(M$71),Curves!$J$5:$W$6,2))))</f>
        <v>0.25</v>
      </c>
      <c r="N82" s="8">
        <f>$D23+MAX($G23,MIN($F23,$E23*(HLOOKUP(YEAR(N$71),Curves!$J$5:$W$6,2))))</f>
        <v>0.25</v>
      </c>
    </row>
    <row r="83" spans="1:14" x14ac:dyDescent="0.3">
      <c r="A83" s="3" t="s">
        <v>98</v>
      </c>
      <c r="E83" s="8">
        <f>$D24+MAX($G24,MIN($F24,$E24*(HLOOKUP(YEAR(E$71),Curves!$J$5:$W$6,2))))</f>
        <v>0.04</v>
      </c>
      <c r="F83" s="8">
        <f>$D24+MAX($G24,MIN($F24,$E24*(HLOOKUP(YEAR(F$71),Curves!$J$5:$W$6,2))))</f>
        <v>0.04</v>
      </c>
      <c r="G83" s="8">
        <f>$D24+MAX($G24,MIN($F24,$E24*(HLOOKUP(YEAR(G$71),Curves!$J$5:$W$6,2))))</f>
        <v>0.04</v>
      </c>
      <c r="H83" s="8">
        <f>$D24+MAX($G24,MIN($F24,$E24*(HLOOKUP(YEAR(H$71),Curves!$J$5:$W$6,2))))</f>
        <v>0.04</v>
      </c>
      <c r="I83" s="8">
        <f>$D24+MAX($G24,MIN($F24,$E24*(HLOOKUP(YEAR(I$71),Curves!$J$5:$W$6,2))))</f>
        <v>0.04</v>
      </c>
      <c r="J83" s="8">
        <f>$D24+MAX($G24,MIN($F24,$E24*(HLOOKUP(YEAR(J$71),Curves!$J$5:$W$6,2))))</f>
        <v>0.04</v>
      </c>
      <c r="K83" s="8">
        <f>$D24+MAX($G24,MIN($F24,$E24*(HLOOKUP(YEAR(K$71),Curves!$J$5:$W$6,2))))</f>
        <v>0.04</v>
      </c>
      <c r="L83" s="8">
        <f>$D24+MAX($G24,MIN($F24,$E24*(HLOOKUP(YEAR(L$71),Curves!$J$5:$W$6,2))))</f>
        <v>0.04</v>
      </c>
      <c r="M83" s="8">
        <f>$D24+MAX($G24,MIN($F24,$E24*(HLOOKUP(YEAR(M$71),Curves!$J$5:$W$6,2))))</f>
        <v>0.04</v>
      </c>
      <c r="N83" s="8">
        <f>$D24+MAX($G24,MIN($F24,$E24*(HLOOKUP(YEAR(N$71),Curves!$J$5:$W$6,2))))</f>
        <v>0.04</v>
      </c>
    </row>
    <row r="85" spans="1:14" x14ac:dyDescent="0.3">
      <c r="A85" s="2" t="s">
        <v>32</v>
      </c>
      <c r="B85" s="2"/>
    </row>
    <row r="86" spans="1:14" x14ac:dyDescent="0.3">
      <c r="A86" s="3" t="str">
        <f>A27</f>
        <v>Keep the South Canyon Plant Full</v>
      </c>
      <c r="E86" s="8">
        <f>$D27+MAX($G27,MIN($F27,$E27*(HLOOKUP(YEAR(E$71),Curves!$J$5:$W$6,2))))</f>
        <v>0</v>
      </c>
      <c r="F86" s="8">
        <f>$D27+MAX($G27,MIN($F27,$E27*(HLOOKUP(YEAR(F$71),Curves!$J$5:$W$6,2))))</f>
        <v>0</v>
      </c>
      <c r="G86" s="8">
        <f>$D27+MAX($G27,MIN($F27,$E27*(HLOOKUP(YEAR(G$71),Curves!$J$5:$W$6,2))))</f>
        <v>0</v>
      </c>
      <c r="H86" s="8">
        <f>$D27+MAX($G27,MIN($F27,$E27*(HLOOKUP(YEAR(H$71),Curves!$J$5:$W$6,2))))</f>
        <v>0</v>
      </c>
      <c r="I86" s="8">
        <f>$D27+MAX($G27,MIN($F27,$E27*(HLOOKUP(YEAR(I$71),Curves!$J$5:$W$6,2))))</f>
        <v>0</v>
      </c>
      <c r="J86" s="8">
        <f>$D27+MAX($G27,MIN($F27,$E27*(HLOOKUP(YEAR(J$71),Curves!$J$5:$W$6,2))))</f>
        <v>0</v>
      </c>
      <c r="K86" s="8">
        <f>$D27+MAX($G27,MIN($F27,$E27*(HLOOKUP(YEAR(K$71),Curves!$J$5:$W$6,2))))</f>
        <v>0</v>
      </c>
      <c r="L86" s="8">
        <f>$D27+MAX($G27,MIN($F27,$E27*(HLOOKUP(YEAR(L$71),Curves!$J$5:$W$6,2))))</f>
        <v>0</v>
      </c>
      <c r="M86" s="8">
        <f>$D27+MAX($G27,MIN($F27,$E27*(HLOOKUP(YEAR(M$71),Curves!$J$5:$W$6,2))))</f>
        <v>0</v>
      </c>
      <c r="N86" s="8">
        <f>$D27+MAX($G27,MIN($F27,$E27*(HLOOKUP(YEAR(N$71),Curves!$J$5:$W$6,2))))</f>
        <v>0</v>
      </c>
    </row>
    <row r="87" spans="1:14" x14ac:dyDescent="0.3">
      <c r="A87" s="3" t="str">
        <f t="shared" ref="A87:A94" si="20">A28</f>
        <v>Crescendo - Badger Wash Entrada</v>
      </c>
      <c r="E87" s="8">
        <f>$D28+MAX($G28,MIN($F28,$E28*(HLOOKUP(YEAR(E$71),Curves!$J$5:$W$6,2))))</f>
        <v>0</v>
      </c>
      <c r="F87" s="8">
        <f>$D28+MAX($G28,MIN($F28,$E28*(HLOOKUP(YEAR(F$71),Curves!$J$5:$W$6,2))))</f>
        <v>0</v>
      </c>
      <c r="G87" s="8">
        <f>$D28+MAX($G28,MIN($F28,$E28*(HLOOKUP(YEAR(G$71),Curves!$J$5:$W$6,2))))</f>
        <v>0</v>
      </c>
      <c r="H87" s="8">
        <f>$D28+MAX($G28,MIN($F28,$E28*(HLOOKUP(YEAR(H$71),Curves!$J$5:$W$6,2))))</f>
        <v>0</v>
      </c>
      <c r="I87" s="8">
        <f>$D28+MAX($G28,MIN($F28,$E28*(HLOOKUP(YEAR(I$71),Curves!$J$5:$W$6,2))))</f>
        <v>0</v>
      </c>
      <c r="J87" s="8">
        <f>$D28+MAX($G28,MIN($F28,$E28*(HLOOKUP(YEAR(J$71),Curves!$J$5:$W$6,2))))</f>
        <v>0</v>
      </c>
      <c r="K87" s="8">
        <f>$D28+MAX($G28,MIN($F28,$E28*(HLOOKUP(YEAR(K$71),Curves!$J$5:$W$6,2))))</f>
        <v>0</v>
      </c>
      <c r="L87" s="8">
        <f>$D28+MAX($G28,MIN($F28,$E28*(HLOOKUP(YEAR(L$71),Curves!$J$5:$W$6,2))))</f>
        <v>0</v>
      </c>
      <c r="M87" s="8">
        <f>$D28+MAX($G28,MIN($F28,$E28*(HLOOKUP(YEAR(M$71),Curves!$J$5:$W$6,2))))</f>
        <v>0</v>
      </c>
      <c r="N87" s="8">
        <f>$D28+MAX($G28,MIN($F28,$E28*(HLOOKUP(YEAR(N$71),Curves!$J$5:$W$6,2))))</f>
        <v>0</v>
      </c>
    </row>
    <row r="88" spans="1:14" x14ac:dyDescent="0.3">
      <c r="A88" s="3" t="str">
        <f t="shared" si="20"/>
        <v>Crescendo - San Arroyo Entrada</v>
      </c>
      <c r="E88" s="8">
        <f>$D29+MAX($G29,MIN($F29,$E29*(HLOOKUP(YEAR(E$71),Curves!$J$5:$W$6,2))))</f>
        <v>0</v>
      </c>
      <c r="F88" s="8">
        <f>$D29+MAX($G29,MIN($F29,$E29*(HLOOKUP(YEAR(F$71),Curves!$J$5:$W$6,2))))</f>
        <v>0</v>
      </c>
      <c r="G88" s="8">
        <f>$D29+MAX($G29,MIN($F29,$E29*(HLOOKUP(YEAR(G$71),Curves!$J$5:$W$6,2))))</f>
        <v>0</v>
      </c>
      <c r="H88" s="8">
        <f>$D29+MAX($G29,MIN($F29,$E29*(HLOOKUP(YEAR(H$71),Curves!$J$5:$W$6,2))))</f>
        <v>0</v>
      </c>
      <c r="I88" s="8">
        <f>$D29+MAX($G29,MIN($F29,$E29*(HLOOKUP(YEAR(I$71),Curves!$J$5:$W$6,2))))</f>
        <v>0</v>
      </c>
      <c r="J88" s="8">
        <f>$D29+MAX($G29,MIN($F29,$E29*(HLOOKUP(YEAR(J$71),Curves!$J$5:$W$6,2))))</f>
        <v>0</v>
      </c>
      <c r="K88" s="8">
        <f>$D29+MAX($G29,MIN($F29,$E29*(HLOOKUP(YEAR(K$71),Curves!$J$5:$W$6,2))))</f>
        <v>0</v>
      </c>
      <c r="L88" s="8">
        <f>$D29+MAX($G29,MIN($F29,$E29*(HLOOKUP(YEAR(L$71),Curves!$J$5:$W$6,2))))</f>
        <v>0</v>
      </c>
      <c r="M88" s="8">
        <f>$D29+MAX($G29,MIN($F29,$E29*(HLOOKUP(YEAR(M$71),Curves!$J$5:$W$6,2))))</f>
        <v>0</v>
      </c>
      <c r="N88" s="8">
        <f>$D29+MAX($G29,MIN($F29,$E29*(HLOOKUP(YEAR(N$71),Curves!$J$5:$W$6,2))))</f>
        <v>0</v>
      </c>
    </row>
    <row r="89" spans="1:14" x14ac:dyDescent="0.3">
      <c r="A89" s="3" t="str">
        <f t="shared" si="20"/>
        <v>Hallwood</v>
      </c>
      <c r="E89" s="8">
        <f>$D30+MAX($G30,MIN($F30,$E30*(HLOOKUP(YEAR(E$71),Curves!$J$5:$W$6,2))))</f>
        <v>0</v>
      </c>
      <c r="F89" s="8">
        <f>$D30+MAX($G30,MIN($F30,$E30*(HLOOKUP(YEAR(F$71),Curves!$J$5:$W$6,2))))</f>
        <v>0</v>
      </c>
      <c r="G89" s="8">
        <f>$D30+MAX($G30,MIN($F30,$E30*(HLOOKUP(YEAR(G$71),Curves!$J$5:$W$6,2))))</f>
        <v>0</v>
      </c>
      <c r="H89" s="8">
        <f>$D30+MAX($G30,MIN($F30,$E30*(HLOOKUP(YEAR(H$71),Curves!$J$5:$W$6,2))))</f>
        <v>0</v>
      </c>
      <c r="I89" s="8">
        <f>$D30+MAX($G30,MIN($F30,$E30*(HLOOKUP(YEAR(I$71),Curves!$J$5:$W$6,2))))</f>
        <v>0</v>
      </c>
      <c r="J89" s="8">
        <f>$D30+MAX($G30,MIN($F30,$E30*(HLOOKUP(YEAR(J$71),Curves!$J$5:$W$6,2))))</f>
        <v>0</v>
      </c>
      <c r="K89" s="8">
        <f>$D30+MAX($G30,MIN($F30,$E30*(HLOOKUP(YEAR(K$71),Curves!$J$5:$W$6,2))))</f>
        <v>0</v>
      </c>
      <c r="L89" s="8">
        <f>$D30+MAX($G30,MIN($F30,$E30*(HLOOKUP(YEAR(L$71),Curves!$J$5:$W$6,2))))</f>
        <v>0</v>
      </c>
      <c r="M89" s="8">
        <f>$D30+MAX($G30,MIN($F30,$E30*(HLOOKUP(YEAR(M$71),Curves!$J$5:$W$6,2))))</f>
        <v>0</v>
      </c>
      <c r="N89" s="8">
        <f>$D30+MAX($G30,MIN($F30,$E30*(HLOOKUP(YEAR(N$71),Curves!$J$5:$W$6,2))))</f>
        <v>0</v>
      </c>
    </row>
    <row r="90" spans="1:14" x14ac:dyDescent="0.3">
      <c r="A90" s="3" t="str">
        <f t="shared" si="20"/>
        <v>Lone Mountain - Bar-X Entrada</v>
      </c>
      <c r="E90" s="8">
        <f>$D31+MAX($G31,MIN($F31,$E31*(HLOOKUP(YEAR(E$71),Curves!$J$5:$W$6,2))))</f>
        <v>0</v>
      </c>
      <c r="F90" s="8">
        <f>$D31+MAX($G31,MIN($F31,$E31*(HLOOKUP(YEAR(F$71),Curves!$J$5:$W$6,2))))</f>
        <v>0</v>
      </c>
      <c r="G90" s="8">
        <f>$D31+MAX($G31,MIN($F31,$E31*(HLOOKUP(YEAR(G$71),Curves!$J$5:$W$6,2))))</f>
        <v>0</v>
      </c>
      <c r="H90" s="8">
        <f>$D31+MAX($G31,MIN($F31,$E31*(HLOOKUP(YEAR(H$71),Curves!$J$5:$W$6,2))))</f>
        <v>0</v>
      </c>
      <c r="I90" s="8">
        <f>$D31+MAX($G31,MIN($F31,$E31*(HLOOKUP(YEAR(I$71),Curves!$J$5:$W$6,2))))</f>
        <v>0</v>
      </c>
      <c r="J90" s="8">
        <f>$D31+MAX($G31,MIN($F31,$E31*(HLOOKUP(YEAR(J$71),Curves!$J$5:$W$6,2))))</f>
        <v>0</v>
      </c>
      <c r="K90" s="8">
        <f>$D31+MAX($G31,MIN($F31,$E31*(HLOOKUP(YEAR(K$71),Curves!$J$5:$W$6,2))))</f>
        <v>0</v>
      </c>
      <c r="L90" s="8">
        <f>$D31+MAX($G31,MIN($F31,$E31*(HLOOKUP(YEAR(L$71),Curves!$J$5:$W$6,2))))</f>
        <v>0</v>
      </c>
      <c r="M90" s="8">
        <f>$D31+MAX($G31,MIN($F31,$E31*(HLOOKUP(YEAR(M$71),Curves!$J$5:$W$6,2))))</f>
        <v>0</v>
      </c>
      <c r="N90" s="8">
        <f>$D31+MAX($G31,MIN($F31,$E31*(HLOOKUP(YEAR(N$71),Curves!$J$5:$W$6,2))))</f>
        <v>0</v>
      </c>
    </row>
    <row r="91" spans="1:14" x14ac:dyDescent="0.3">
      <c r="A91" s="3" t="str">
        <f t="shared" si="20"/>
        <v>National Fuels</v>
      </c>
      <c r="E91" s="8">
        <f>$D32+MAX($G32,MIN($F32,$E32*(HLOOKUP(YEAR(E$71),Curves!$J$5:$W$6,2))))</f>
        <v>0</v>
      </c>
      <c r="F91" s="8">
        <f>$D32+MAX($G32,MIN($F32,$E32*(HLOOKUP(YEAR(F$71),Curves!$J$5:$W$6,2))))</f>
        <v>0</v>
      </c>
      <c r="G91" s="8">
        <f>$D32+MAX($G32,MIN($F32,$E32*(HLOOKUP(YEAR(G$71),Curves!$J$5:$W$6,2))))</f>
        <v>0</v>
      </c>
      <c r="H91" s="8">
        <f>$D32+MAX($G32,MIN($F32,$E32*(HLOOKUP(YEAR(H$71),Curves!$J$5:$W$6,2))))</f>
        <v>0</v>
      </c>
      <c r="I91" s="8">
        <f>$D32+MAX($G32,MIN($F32,$E32*(HLOOKUP(YEAR(I$71),Curves!$J$5:$W$6,2))))</f>
        <v>0</v>
      </c>
      <c r="J91" s="8">
        <f>$D32+MAX($G32,MIN($F32,$E32*(HLOOKUP(YEAR(J$71),Curves!$J$5:$W$6,2))))</f>
        <v>0</v>
      </c>
      <c r="K91" s="8">
        <f>$D32+MAX($G32,MIN($F32,$E32*(HLOOKUP(YEAR(K$71),Curves!$J$5:$W$6,2))))</f>
        <v>0</v>
      </c>
      <c r="L91" s="8">
        <f>$D32+MAX($G32,MIN($F32,$E32*(HLOOKUP(YEAR(L$71),Curves!$J$5:$W$6,2))))</f>
        <v>0</v>
      </c>
      <c r="M91" s="8">
        <f>$D32+MAX($G32,MIN($F32,$E32*(HLOOKUP(YEAR(M$71),Curves!$J$5:$W$6,2))))</f>
        <v>0</v>
      </c>
      <c r="N91" s="8">
        <f>$D32+MAX($G32,MIN($F32,$E32*(HLOOKUP(YEAR(N$71),Curves!$J$5:$W$6,2))))</f>
        <v>0</v>
      </c>
    </row>
    <row r="92" spans="1:14" x14ac:dyDescent="0.3">
      <c r="A92" s="3" t="str">
        <f t="shared" si="20"/>
        <v>Northstar</v>
      </c>
      <c r="E92" s="8">
        <f>$D33+MAX($G33,MIN($F33,$E33*(HLOOKUP(YEAR(E$71),Curves!$J$5:$W$6,2))))</f>
        <v>0</v>
      </c>
      <c r="F92" s="8">
        <f>$D33+MAX($G33,MIN($F33,$E33*(HLOOKUP(YEAR(F$71),Curves!$J$5:$W$6,2))))</f>
        <v>0</v>
      </c>
      <c r="G92" s="8">
        <f>$D33+MAX($G33,MIN($F33,$E33*(HLOOKUP(YEAR(G$71),Curves!$J$5:$W$6,2))))</f>
        <v>0</v>
      </c>
      <c r="H92" s="8">
        <f>$D33+MAX($G33,MIN($F33,$E33*(HLOOKUP(YEAR(H$71),Curves!$J$5:$W$6,2))))</f>
        <v>0</v>
      </c>
      <c r="I92" s="8">
        <f>$D33+MAX($G33,MIN($F33,$E33*(HLOOKUP(YEAR(I$71),Curves!$J$5:$W$6,2))))</f>
        <v>0</v>
      </c>
      <c r="J92" s="8">
        <f>$D33+MAX($G33,MIN($F33,$E33*(HLOOKUP(YEAR(J$71),Curves!$J$5:$W$6,2))))</f>
        <v>0</v>
      </c>
      <c r="K92" s="8">
        <f>$D33+MAX($G33,MIN($F33,$E33*(HLOOKUP(YEAR(K$71),Curves!$J$5:$W$6,2))))</f>
        <v>0</v>
      </c>
      <c r="L92" s="8">
        <f>$D33+MAX($G33,MIN($F33,$E33*(HLOOKUP(YEAR(L$71),Curves!$J$5:$W$6,2))))</f>
        <v>0</v>
      </c>
      <c r="M92" s="8">
        <f>$D33+MAX($G33,MIN($F33,$E33*(HLOOKUP(YEAR(M$71),Curves!$J$5:$W$6,2))))</f>
        <v>0</v>
      </c>
      <c r="N92" s="8">
        <f>$D33+MAX($G33,MIN($F33,$E33*(HLOOKUP(YEAR(N$71),Curves!$J$5:$W$6,2))))</f>
        <v>0</v>
      </c>
    </row>
    <row r="93" spans="1:14" x14ac:dyDescent="0.3">
      <c r="A93" s="3" t="str">
        <f t="shared" si="20"/>
        <v>Tom Brown - South Canyon Entrada</v>
      </c>
      <c r="E93" s="8">
        <f>$D34+MAX($G34,MIN($F34,$E34*(HLOOKUP(YEAR(E$71),Curves!$J$5:$W$6,2))))</f>
        <v>0</v>
      </c>
      <c r="F93" s="8">
        <f>$D34+MAX($G34,MIN($F34,$E34*(HLOOKUP(YEAR(F$71),Curves!$J$5:$W$6,2))))</f>
        <v>0</v>
      </c>
      <c r="G93" s="8">
        <f>$D34+MAX($G34,MIN($F34,$E34*(HLOOKUP(YEAR(G$71),Curves!$J$5:$W$6,2))))</f>
        <v>0</v>
      </c>
      <c r="H93" s="8">
        <f>$D34+MAX($G34,MIN($F34,$E34*(HLOOKUP(YEAR(H$71),Curves!$J$5:$W$6,2))))</f>
        <v>0</v>
      </c>
      <c r="I93" s="8">
        <f>$D34+MAX($G34,MIN($F34,$E34*(HLOOKUP(YEAR(I$71),Curves!$J$5:$W$6,2))))</f>
        <v>0</v>
      </c>
      <c r="J93" s="8">
        <f>$D34+MAX($G34,MIN($F34,$E34*(HLOOKUP(YEAR(J$71),Curves!$J$5:$W$6,2))))</f>
        <v>0</v>
      </c>
      <c r="K93" s="8">
        <f>$D34+MAX($G34,MIN($F34,$E34*(HLOOKUP(YEAR(K$71),Curves!$J$5:$W$6,2))))</f>
        <v>0</v>
      </c>
      <c r="L93" s="8">
        <f>$D34+MAX($G34,MIN($F34,$E34*(HLOOKUP(YEAR(L$71),Curves!$J$5:$W$6,2))))</f>
        <v>0</v>
      </c>
      <c r="M93" s="8">
        <f>$D34+MAX($G34,MIN($F34,$E34*(HLOOKUP(YEAR(M$71),Curves!$J$5:$W$6,2))))</f>
        <v>0</v>
      </c>
      <c r="N93" s="8">
        <f>$D34+MAX($G34,MIN($F34,$E34*(HLOOKUP(YEAR(N$71),Curves!$J$5:$W$6,2))))</f>
        <v>0</v>
      </c>
    </row>
    <row r="94" spans="1:14" x14ac:dyDescent="0.3">
      <c r="A94" s="3" t="str">
        <f t="shared" si="20"/>
        <v>Trend Oil</v>
      </c>
      <c r="E94" s="8">
        <f>$D35+MAX($G35,MIN($F35,$E35*(HLOOKUP(YEAR(E$71),Curves!$J$5:$W$6,2))))</f>
        <v>0</v>
      </c>
      <c r="F94" s="8">
        <f>$D35+MAX($G35,MIN($F35,$E35*(HLOOKUP(YEAR(F$71),Curves!$J$5:$W$6,2))))</f>
        <v>0</v>
      </c>
      <c r="G94" s="8">
        <f>$D35+MAX($G35,MIN($F35,$E35*(HLOOKUP(YEAR(G$71),Curves!$J$5:$W$6,2))))</f>
        <v>0</v>
      </c>
      <c r="H94" s="8">
        <f>$D35+MAX($G35,MIN($F35,$E35*(HLOOKUP(YEAR(H$71),Curves!$J$5:$W$6,2))))</f>
        <v>0</v>
      </c>
      <c r="I94" s="8">
        <f>$D35+MAX($G35,MIN($F35,$E35*(HLOOKUP(YEAR(I$71),Curves!$J$5:$W$6,2))))</f>
        <v>0</v>
      </c>
      <c r="J94" s="8">
        <f>$D35+MAX($G35,MIN($F35,$E35*(HLOOKUP(YEAR(J$71),Curves!$J$5:$W$6,2))))</f>
        <v>0</v>
      </c>
      <c r="K94" s="8">
        <f>$D35+MAX($G35,MIN($F35,$E35*(HLOOKUP(YEAR(K$71),Curves!$J$5:$W$6,2))))</f>
        <v>0</v>
      </c>
      <c r="L94" s="8">
        <f>$D35+MAX($G35,MIN($F35,$E35*(HLOOKUP(YEAR(L$71),Curves!$J$5:$W$6,2))))</f>
        <v>0</v>
      </c>
      <c r="M94" s="8">
        <f>$D35+MAX($G35,MIN($F35,$E35*(HLOOKUP(YEAR(M$71),Curves!$J$5:$W$6,2))))</f>
        <v>0</v>
      </c>
      <c r="N94" s="8">
        <f>$D35+MAX($G35,MIN($F35,$E35*(HLOOKUP(YEAR(N$71),Curves!$J$5:$W$6,2))))</f>
        <v>0</v>
      </c>
    </row>
    <row r="96" spans="1:14" s="1" customFormat="1" ht="15.6" x14ac:dyDescent="0.3">
      <c r="A96" s="1" t="s">
        <v>36</v>
      </c>
    </row>
    <row r="98" spans="1:14" x14ac:dyDescent="0.3">
      <c r="A98" t="s">
        <v>129</v>
      </c>
      <c r="C98" s="134" t="s">
        <v>77</v>
      </c>
      <c r="D98" s="50">
        <f>457000+(IF(SUM(C13,C27:C35)&gt;0,120000,0))</f>
        <v>457000</v>
      </c>
    </row>
    <row r="99" spans="1:14" x14ac:dyDescent="0.3">
      <c r="B99" t="s">
        <v>126</v>
      </c>
      <c r="C99" s="134"/>
      <c r="D99" s="140">
        <v>0.03</v>
      </c>
    </row>
    <row r="100" spans="1:14" x14ac:dyDescent="0.3">
      <c r="A100" t="s">
        <v>130</v>
      </c>
      <c r="C100" s="134" t="s">
        <v>131</v>
      </c>
      <c r="D100" s="151">
        <v>9.3590000000000007E-2</v>
      </c>
      <c r="E100" s="152">
        <f>$D$100*(E54+E65)*E40*1000</f>
        <v>459998.69616438361</v>
      </c>
      <c r="F100" s="152">
        <f t="shared" ref="F100:N100" si="21">$D$100*(F54+F65)*F40*1000</f>
        <v>586862.95945398556</v>
      </c>
      <c r="G100" s="152">
        <f t="shared" si="21"/>
        <v>541008.68099994457</v>
      </c>
      <c r="H100" s="152">
        <f t="shared" si="21"/>
        <v>498122.2281598394</v>
      </c>
      <c r="I100" s="152">
        <f t="shared" si="21"/>
        <v>457281.868685205</v>
      </c>
      <c r="J100" s="152">
        <f t="shared" si="21"/>
        <v>422846.21013765858</v>
      </c>
      <c r="K100" s="152">
        <f t="shared" si="21"/>
        <v>391991.95128906774</v>
      </c>
      <c r="L100" s="152">
        <f t="shared" si="21"/>
        <v>364289.4492469824</v>
      </c>
      <c r="M100" s="152">
        <f t="shared" si="21"/>
        <v>337078.76055723807</v>
      </c>
      <c r="N100" s="152">
        <f t="shared" si="21"/>
        <v>311164.83452512446</v>
      </c>
    </row>
    <row r="101" spans="1:14" x14ac:dyDescent="0.3">
      <c r="A101" t="s">
        <v>35</v>
      </c>
      <c r="C101" s="134" t="s">
        <v>77</v>
      </c>
      <c r="D101" s="50">
        <v>180000</v>
      </c>
    </row>
    <row r="102" spans="1:14" x14ac:dyDescent="0.3">
      <c r="A102" t="s">
        <v>108</v>
      </c>
      <c r="C102" s="134" t="s">
        <v>77</v>
      </c>
      <c r="D102" s="50">
        <v>115000</v>
      </c>
    </row>
    <row r="103" spans="1:14" x14ac:dyDescent="0.3">
      <c r="A103" t="s">
        <v>99</v>
      </c>
      <c r="D103" s="50">
        <f>(5000)*12</f>
        <v>60000</v>
      </c>
    </row>
    <row r="104" spans="1:14" x14ac:dyDescent="0.3">
      <c r="A104" t="s">
        <v>119</v>
      </c>
      <c r="D104" s="140">
        <v>0.04</v>
      </c>
    </row>
    <row r="106" spans="1:14" s="1" customFormat="1" ht="15.6" x14ac:dyDescent="0.3">
      <c r="A106" s="1" t="s">
        <v>88</v>
      </c>
    </row>
    <row r="108" spans="1:14" x14ac:dyDescent="0.3">
      <c r="E108" s="85">
        <f>E$39</f>
        <v>37256</v>
      </c>
      <c r="F108" s="86">
        <f t="shared" ref="F108:N108" si="22">F$39</f>
        <v>37621</v>
      </c>
      <c r="G108" s="86">
        <f t="shared" si="22"/>
        <v>37986</v>
      </c>
      <c r="H108" s="86">
        <f t="shared" si="22"/>
        <v>38352</v>
      </c>
      <c r="I108" s="86">
        <f t="shared" si="22"/>
        <v>38717</v>
      </c>
      <c r="J108" s="86">
        <f t="shared" si="22"/>
        <v>39082</v>
      </c>
      <c r="K108" s="86">
        <f t="shared" si="22"/>
        <v>39447</v>
      </c>
      <c r="L108" s="86">
        <f t="shared" si="22"/>
        <v>39813</v>
      </c>
      <c r="M108" s="86">
        <f t="shared" si="22"/>
        <v>40178</v>
      </c>
      <c r="N108" s="87">
        <f t="shared" si="22"/>
        <v>40543</v>
      </c>
    </row>
    <row r="109" spans="1:14" x14ac:dyDescent="0.3">
      <c r="A109" t="s">
        <v>89</v>
      </c>
      <c r="E109" s="50">
        <v>0</v>
      </c>
      <c r="F109" s="50"/>
      <c r="G109" s="50"/>
      <c r="H109" s="50"/>
      <c r="I109" s="50"/>
      <c r="J109" s="50"/>
      <c r="K109" s="50"/>
      <c r="L109" s="50"/>
      <c r="M109" s="50"/>
      <c r="N109" s="50"/>
    </row>
    <row r="110" spans="1:14" x14ac:dyDescent="0.3">
      <c r="A110" t="s">
        <v>90</v>
      </c>
      <c r="E110" s="91">
        <v>0</v>
      </c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x14ac:dyDescent="0.3">
      <c r="E111" s="92">
        <f>SUM(E109:E110)</f>
        <v>0</v>
      </c>
      <c r="F111" s="92">
        <f t="shared" ref="F111:N111" si="23">SUM(F109:F110)</f>
        <v>0</v>
      </c>
      <c r="G111" s="92">
        <f t="shared" si="23"/>
        <v>0</v>
      </c>
      <c r="H111" s="92">
        <f t="shared" si="23"/>
        <v>0</v>
      </c>
      <c r="I111" s="92">
        <f t="shared" si="23"/>
        <v>0</v>
      </c>
      <c r="J111" s="92">
        <f t="shared" si="23"/>
        <v>0</v>
      </c>
      <c r="K111" s="92">
        <f t="shared" si="23"/>
        <v>0</v>
      </c>
      <c r="L111" s="92">
        <f t="shared" si="23"/>
        <v>0</v>
      </c>
      <c r="M111" s="92">
        <f t="shared" si="23"/>
        <v>0</v>
      </c>
      <c r="N111" s="92">
        <f t="shared" si="23"/>
        <v>0</v>
      </c>
    </row>
    <row r="113" spans="1:14" s="1" customFormat="1" ht="15.6" x14ac:dyDescent="0.3">
      <c r="A113" s="1" t="s">
        <v>113</v>
      </c>
    </row>
    <row r="115" spans="1:14" x14ac:dyDescent="0.3">
      <c r="A115" t="s">
        <v>114</v>
      </c>
      <c r="C115" s="136">
        <v>0.62</v>
      </c>
      <c r="D115" t="s">
        <v>115</v>
      </c>
    </row>
    <row r="116" spans="1:14" x14ac:dyDescent="0.3">
      <c r="A116" t="s">
        <v>121</v>
      </c>
      <c r="C116" s="136">
        <v>-0.25</v>
      </c>
      <c r="D116" t="s">
        <v>115</v>
      </c>
    </row>
    <row r="117" spans="1:14" x14ac:dyDescent="0.3">
      <c r="A117" t="s">
        <v>116</v>
      </c>
      <c r="D117" s="139">
        <v>0</v>
      </c>
      <c r="E117" s="137">
        <f t="shared" ref="E117:N117" si="24">($C$115+$C$116)*E56*E40</f>
        <v>0</v>
      </c>
      <c r="F117" s="137">
        <f t="shared" si="24"/>
        <v>0</v>
      </c>
      <c r="G117" s="137">
        <f t="shared" si="24"/>
        <v>0</v>
      </c>
      <c r="H117" s="137">
        <f t="shared" si="24"/>
        <v>0</v>
      </c>
      <c r="I117" s="137">
        <f t="shared" si="24"/>
        <v>0</v>
      </c>
      <c r="J117" s="137">
        <f t="shared" si="24"/>
        <v>0</v>
      </c>
      <c r="K117" s="137">
        <f t="shared" si="24"/>
        <v>0</v>
      </c>
      <c r="L117" s="137">
        <f t="shared" si="24"/>
        <v>0</v>
      </c>
      <c r="M117" s="137">
        <f t="shared" si="24"/>
        <v>0</v>
      </c>
      <c r="N117" s="137">
        <f t="shared" si="24"/>
        <v>0</v>
      </c>
    </row>
    <row r="119" spans="1:14" x14ac:dyDescent="0.3">
      <c r="A119" t="s">
        <v>117</v>
      </c>
      <c r="D119" s="138">
        <f ca="1">ValDate</f>
        <v>36878</v>
      </c>
      <c r="E119" s="138">
        <f>E108</f>
        <v>37256</v>
      </c>
      <c r="F119" s="138">
        <f t="shared" ref="F119:N119" si="25">F108</f>
        <v>37621</v>
      </c>
      <c r="G119" s="138">
        <f t="shared" si="25"/>
        <v>37986</v>
      </c>
      <c r="H119" s="138">
        <f t="shared" si="25"/>
        <v>38352</v>
      </c>
      <c r="I119" s="138">
        <f t="shared" si="25"/>
        <v>38717</v>
      </c>
      <c r="J119" s="138">
        <f t="shared" si="25"/>
        <v>39082</v>
      </c>
      <c r="K119" s="138">
        <f t="shared" si="25"/>
        <v>39447</v>
      </c>
      <c r="L119" s="138">
        <f t="shared" si="25"/>
        <v>39813</v>
      </c>
      <c r="M119" s="138">
        <f t="shared" si="25"/>
        <v>40178</v>
      </c>
      <c r="N119" s="138">
        <f t="shared" si="25"/>
        <v>40543</v>
      </c>
    </row>
    <row r="121" spans="1:14" x14ac:dyDescent="0.3">
      <c r="A121" t="s">
        <v>118</v>
      </c>
      <c r="C121" s="141">
        <f ca="1">XNPV(0.15,D117:N117,D119:N119)</f>
        <v>0</v>
      </c>
    </row>
  </sheetData>
  <mergeCells count="1">
    <mergeCell ref="E38:M38"/>
  </mergeCells>
  <pageMargins left="0.75" right="0.75" top="1" bottom="1" header="0.5" footer="0.5"/>
  <pageSetup scale="67" orientation="landscape" r:id="rId1"/>
  <headerFooter alignWithMargins="0">
    <oddHeader xml:space="preserve">&amp;CEvaluation of Wildhorse South Gathering System
</oddHeader>
  </headerFooter>
  <rowBreaks count="2" manualBreakCount="2">
    <brk id="35" max="13" man="1"/>
    <brk id="66" max="13" man="1"/>
  </rowBreaks>
  <colBreaks count="1" manualBreakCount="1">
    <brk id="14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showGridLines="0" zoomScale="80" workbookViewId="0"/>
  </sheetViews>
  <sheetFormatPr defaultRowHeight="13.8" x14ac:dyDescent="0.3"/>
  <cols>
    <col min="2" max="2" width="10" bestFit="1" customWidth="1"/>
    <col min="3" max="3" width="19" customWidth="1"/>
    <col min="4" max="4" width="16.375" customWidth="1"/>
    <col min="5" max="5" width="15.375" customWidth="1"/>
    <col min="6" max="6" width="14" customWidth="1"/>
    <col min="7" max="7" width="17" customWidth="1"/>
    <col min="8" max="8" width="12.625" customWidth="1"/>
    <col min="9" max="9" width="14.125" customWidth="1"/>
  </cols>
  <sheetData>
    <row r="1" spans="1:23" s="1" customFormat="1" ht="15.6" x14ac:dyDescent="0.3">
      <c r="B1" s="1" t="s">
        <v>17</v>
      </c>
    </row>
    <row r="3" spans="1:23" x14ac:dyDescent="0.3">
      <c r="C3" s="21" t="s">
        <v>18</v>
      </c>
      <c r="D3" s="21" t="s">
        <v>19</v>
      </c>
      <c r="E3" s="21" t="s">
        <v>20</v>
      </c>
      <c r="F3" s="21"/>
      <c r="G3" s="21" t="s">
        <v>21</v>
      </c>
    </row>
    <row r="4" spans="1:23" x14ac:dyDescent="0.3">
      <c r="A4">
        <f>YEAR(B4)</f>
        <v>2001</v>
      </c>
      <c r="B4" s="18">
        <v>36922</v>
      </c>
      <c r="C4" s="23">
        <v>8.5839999999999996</v>
      </c>
      <c r="D4" s="23">
        <v>0.155</v>
      </c>
      <c r="E4" s="22">
        <f>C4+D4</f>
        <v>8.738999999999999</v>
      </c>
      <c r="F4" s="22"/>
      <c r="G4" s="23">
        <v>22.739561366666699</v>
      </c>
      <c r="I4" s="25" t="s">
        <v>25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6"/>
    </row>
    <row r="5" spans="1:23" x14ac:dyDescent="0.3">
      <c r="A5">
        <f t="shared" ref="A5:A68" si="0">YEAR(B5)</f>
        <v>2001</v>
      </c>
      <c r="B5" s="19">
        <f t="shared" ref="B5:B68" si="1">EOMONTH(B4,1)</f>
        <v>36950</v>
      </c>
      <c r="C5" s="23">
        <v>8.266</v>
      </c>
      <c r="D5" s="23">
        <v>0.03</v>
      </c>
      <c r="E5" s="22">
        <f t="shared" ref="E5:E68" si="2">C5+D5</f>
        <v>8.2959999999999994</v>
      </c>
      <c r="F5" s="22"/>
      <c r="G5" s="23">
        <v>21.797575626315801</v>
      </c>
      <c r="I5" s="27"/>
      <c r="J5" s="28">
        <f>YEAR(B4)</f>
        <v>2001</v>
      </c>
      <c r="K5" s="28">
        <f>J5+1</f>
        <v>2002</v>
      </c>
      <c r="L5" s="28">
        <f t="shared" ref="L5:W5" si="3">K5+1</f>
        <v>2003</v>
      </c>
      <c r="M5" s="28">
        <f t="shared" si="3"/>
        <v>2004</v>
      </c>
      <c r="N5" s="28">
        <f t="shared" si="3"/>
        <v>2005</v>
      </c>
      <c r="O5" s="28">
        <f t="shared" si="3"/>
        <v>2006</v>
      </c>
      <c r="P5" s="28">
        <f t="shared" si="3"/>
        <v>2007</v>
      </c>
      <c r="Q5" s="28">
        <f t="shared" si="3"/>
        <v>2008</v>
      </c>
      <c r="R5" s="28">
        <f t="shared" si="3"/>
        <v>2009</v>
      </c>
      <c r="S5" s="28">
        <f t="shared" si="3"/>
        <v>2010</v>
      </c>
      <c r="T5" s="28">
        <f t="shared" si="3"/>
        <v>2011</v>
      </c>
      <c r="U5" s="28">
        <f t="shared" si="3"/>
        <v>2012</v>
      </c>
      <c r="V5" s="28">
        <f t="shared" si="3"/>
        <v>2013</v>
      </c>
      <c r="W5" s="29">
        <f t="shared" si="3"/>
        <v>2014</v>
      </c>
    </row>
    <row r="6" spans="1:23" x14ac:dyDescent="0.3">
      <c r="A6">
        <f t="shared" si="0"/>
        <v>2001</v>
      </c>
      <c r="B6" s="19">
        <f t="shared" si="1"/>
        <v>36981</v>
      </c>
      <c r="C6" s="23">
        <v>7.2859999999999996</v>
      </c>
      <c r="D6" s="23">
        <v>-8.5000000000000006E-2</v>
      </c>
      <c r="E6" s="22">
        <f t="shared" si="2"/>
        <v>7.2009999999999996</v>
      </c>
      <c r="F6" s="22"/>
      <c r="G6" s="23">
        <v>20.436799181818198</v>
      </c>
      <c r="I6" s="30" t="s">
        <v>20</v>
      </c>
      <c r="J6" s="31">
        <f>SUMIF($A$4:$A$347,J$5,$E$4:$E$347)/COUNTIF($A$4:$A$347,J$5)</f>
        <v>5.5493749999999986</v>
      </c>
      <c r="K6" s="31">
        <f t="shared" ref="K6:W6" si="4">SUMIF($A$4:$A$347,K$5,$E$4:$E$347)/COUNTIF($A$4:$A$347,K$5)</f>
        <v>4.0607916666666668</v>
      </c>
      <c r="L6" s="31">
        <f t="shared" si="4"/>
        <v>3.6833749999999998</v>
      </c>
      <c r="M6" s="31">
        <f t="shared" si="4"/>
        <v>3.5558750000000003</v>
      </c>
      <c r="N6" s="31">
        <f t="shared" si="4"/>
        <v>3.5429583333333334</v>
      </c>
      <c r="O6" s="31">
        <f t="shared" si="4"/>
        <v>3.5529583333333341</v>
      </c>
      <c r="P6" s="31">
        <f t="shared" si="4"/>
        <v>3.5819166666666669</v>
      </c>
      <c r="Q6" s="31">
        <f t="shared" si="4"/>
        <v>3.621083333333333</v>
      </c>
      <c r="R6" s="31">
        <f t="shared" si="4"/>
        <v>3.6910833333333328</v>
      </c>
      <c r="S6" s="31">
        <f t="shared" si="4"/>
        <v>3.7810833333333336</v>
      </c>
      <c r="T6" s="31">
        <f t="shared" si="4"/>
        <v>4.1464999999999996</v>
      </c>
      <c r="U6" s="31">
        <f t="shared" si="4"/>
        <v>4.3490000000000002</v>
      </c>
      <c r="V6" s="31">
        <f t="shared" si="4"/>
        <v>4.4939999999999998</v>
      </c>
      <c r="W6" s="32">
        <f t="shared" si="4"/>
        <v>4.6439999999999992</v>
      </c>
    </row>
    <row r="7" spans="1:23" x14ac:dyDescent="0.3">
      <c r="A7">
        <f t="shared" si="0"/>
        <v>2001</v>
      </c>
      <c r="B7" s="19">
        <f t="shared" si="1"/>
        <v>37011</v>
      </c>
      <c r="C7" s="23">
        <v>5.6660000000000004</v>
      </c>
      <c r="D7" s="23">
        <v>-0.33</v>
      </c>
      <c r="E7" s="22">
        <f t="shared" si="2"/>
        <v>5.3360000000000003</v>
      </c>
      <c r="F7" s="22"/>
      <c r="G7" s="23">
        <v>16.3407041</v>
      </c>
      <c r="I7" s="33" t="s">
        <v>26</v>
      </c>
      <c r="J7" s="34">
        <f>SUMIF($A$4:$A$347,J$5,$G$4:$G$347)/COUNTIF($A$4:$A$347,J$5)</f>
        <v>17.564436469828575</v>
      </c>
      <c r="K7" s="34">
        <f t="shared" ref="K7:W7" si="5">SUMIF($A$4:$A$347,K$5,$G$4:$G$347)/COUNTIF($A$4:$A$347,K$5)</f>
        <v>13.128947084029742</v>
      </c>
      <c r="L7" s="34">
        <f t="shared" si="5"/>
        <v>10.862091107535759</v>
      </c>
      <c r="M7" s="34">
        <f t="shared" si="5"/>
        <v>10.770325820607674</v>
      </c>
      <c r="N7" s="34">
        <f t="shared" si="5"/>
        <v>10.838240017568358</v>
      </c>
      <c r="O7" s="34">
        <f t="shared" si="5"/>
        <v>10.907488517557367</v>
      </c>
      <c r="P7" s="34">
        <f t="shared" si="5"/>
        <v>11.045443816287884</v>
      </c>
      <c r="Q7" s="34">
        <f t="shared" si="5"/>
        <v>11.267352713902243</v>
      </c>
      <c r="R7" s="34">
        <f t="shared" si="5"/>
        <v>11.514920953100749</v>
      </c>
      <c r="S7" s="34">
        <f t="shared" si="5"/>
        <v>11.762977904579309</v>
      </c>
      <c r="T7" s="34">
        <f t="shared" si="5"/>
        <v>12.033696582431643</v>
      </c>
      <c r="U7" s="34">
        <f t="shared" si="5"/>
        <v>12.3171713276221</v>
      </c>
      <c r="V7" s="34">
        <f t="shared" si="5"/>
        <v>12.600731343474335</v>
      </c>
      <c r="W7" s="35">
        <f t="shared" si="5"/>
        <v>12.8171940159922</v>
      </c>
    </row>
    <row r="8" spans="1:23" x14ac:dyDescent="0.3">
      <c r="A8">
        <f t="shared" si="0"/>
        <v>2001</v>
      </c>
      <c r="B8" s="19">
        <f t="shared" si="1"/>
        <v>37042</v>
      </c>
      <c r="C8" s="23">
        <v>5.0960000000000001</v>
      </c>
      <c r="D8" s="23">
        <v>-0.33</v>
      </c>
      <c r="E8" s="22">
        <f t="shared" si="2"/>
        <v>4.766</v>
      </c>
      <c r="F8" s="22"/>
      <c r="G8" s="23">
        <v>16.472506527272699</v>
      </c>
    </row>
    <row r="9" spans="1:23" x14ac:dyDescent="0.3">
      <c r="A9">
        <f t="shared" si="0"/>
        <v>2001</v>
      </c>
      <c r="B9" s="19">
        <f t="shared" si="1"/>
        <v>37072</v>
      </c>
      <c r="C9" s="23">
        <v>5.0460000000000003</v>
      </c>
      <c r="D9" s="23">
        <v>-0.33</v>
      </c>
      <c r="E9" s="22">
        <f t="shared" si="2"/>
        <v>4.7160000000000002</v>
      </c>
      <c r="F9" s="22"/>
      <c r="G9" s="23">
        <v>15.962831533333301</v>
      </c>
    </row>
    <row r="10" spans="1:23" x14ac:dyDescent="0.3">
      <c r="A10">
        <f t="shared" si="0"/>
        <v>2001</v>
      </c>
      <c r="B10" s="19">
        <f t="shared" si="1"/>
        <v>37103</v>
      </c>
      <c r="C10" s="23">
        <v>5.0259999999999998</v>
      </c>
      <c r="D10" s="23">
        <v>-0.54249999999999998</v>
      </c>
      <c r="E10" s="22">
        <f t="shared" si="2"/>
        <v>4.4834999999999994</v>
      </c>
      <c r="F10" s="22"/>
      <c r="G10" s="23">
        <v>15.9197677666667</v>
      </c>
    </row>
    <row r="11" spans="1:23" x14ac:dyDescent="0.3">
      <c r="A11">
        <f t="shared" si="0"/>
        <v>2001</v>
      </c>
      <c r="B11" s="19">
        <f t="shared" si="1"/>
        <v>37134</v>
      </c>
      <c r="C11" s="23">
        <v>5.0060000000000002</v>
      </c>
      <c r="D11" s="23">
        <v>-0.54249999999999998</v>
      </c>
      <c r="E11" s="22">
        <f t="shared" si="2"/>
        <v>4.4634999999999998</v>
      </c>
      <c r="F11" s="22"/>
      <c r="G11" s="23">
        <v>16.054523586956499</v>
      </c>
    </row>
    <row r="12" spans="1:23" x14ac:dyDescent="0.3">
      <c r="A12">
        <f t="shared" si="0"/>
        <v>2001</v>
      </c>
      <c r="B12" s="19">
        <f t="shared" si="1"/>
        <v>37164</v>
      </c>
      <c r="C12" s="23">
        <v>4.9859999999999998</v>
      </c>
      <c r="D12" s="23">
        <v>-0.54249999999999998</v>
      </c>
      <c r="E12" s="22">
        <f t="shared" si="2"/>
        <v>4.4435000000000002</v>
      </c>
      <c r="F12" s="22"/>
      <c r="G12" s="23">
        <v>16.199205800000001</v>
      </c>
    </row>
    <row r="13" spans="1:23" x14ac:dyDescent="0.3">
      <c r="A13">
        <f t="shared" si="0"/>
        <v>2001</v>
      </c>
      <c r="B13" s="19">
        <f t="shared" si="1"/>
        <v>37195</v>
      </c>
      <c r="C13" s="23">
        <v>4.9710000000000001</v>
      </c>
      <c r="D13" s="23">
        <v>-0.45750000000000002</v>
      </c>
      <c r="E13" s="22">
        <f t="shared" si="2"/>
        <v>4.5135000000000005</v>
      </c>
      <c r="F13" s="22"/>
      <c r="G13" s="23">
        <v>16.211209673913</v>
      </c>
    </row>
    <row r="14" spans="1:23" x14ac:dyDescent="0.3">
      <c r="A14">
        <f t="shared" si="0"/>
        <v>2001</v>
      </c>
      <c r="B14" s="19">
        <f t="shared" si="1"/>
        <v>37225</v>
      </c>
      <c r="C14" s="23">
        <v>5.0460000000000003</v>
      </c>
      <c r="D14" s="23">
        <v>-0.26250000000000001</v>
      </c>
      <c r="E14" s="22">
        <f t="shared" si="2"/>
        <v>4.7835000000000001</v>
      </c>
      <c r="F14" s="22"/>
      <c r="G14" s="23">
        <v>16.348517399999999</v>
      </c>
    </row>
    <row r="15" spans="1:23" x14ac:dyDescent="0.3">
      <c r="A15">
        <f t="shared" si="0"/>
        <v>2001</v>
      </c>
      <c r="B15" s="19">
        <f t="shared" si="1"/>
        <v>37256</v>
      </c>
      <c r="C15" s="23">
        <v>5.1260000000000003</v>
      </c>
      <c r="D15" s="23">
        <v>-0.27500000000000002</v>
      </c>
      <c r="E15" s="22">
        <f t="shared" si="2"/>
        <v>4.851</v>
      </c>
      <c r="F15" s="22"/>
      <c r="G15" s="23">
        <v>16.290035074999999</v>
      </c>
    </row>
    <row r="16" spans="1:23" x14ac:dyDescent="0.3">
      <c r="A16">
        <f t="shared" si="0"/>
        <v>2002</v>
      </c>
      <c r="B16" s="19">
        <f t="shared" si="1"/>
        <v>37287</v>
      </c>
      <c r="C16" s="23">
        <v>5.1210000000000004</v>
      </c>
      <c r="D16" s="23">
        <v>-0.22</v>
      </c>
      <c r="E16" s="22">
        <f t="shared" si="2"/>
        <v>4.9010000000000007</v>
      </c>
      <c r="F16" s="22"/>
      <c r="G16" s="23">
        <v>13.4144428863636</v>
      </c>
    </row>
    <row r="17" spans="1:7" x14ac:dyDescent="0.3">
      <c r="A17">
        <f t="shared" si="0"/>
        <v>2002</v>
      </c>
      <c r="B17" s="19">
        <f t="shared" si="1"/>
        <v>37315</v>
      </c>
      <c r="C17" s="23">
        <v>4.8659999999999997</v>
      </c>
      <c r="D17" s="23">
        <v>-0.24</v>
      </c>
      <c r="E17" s="22">
        <f t="shared" si="2"/>
        <v>4.6259999999999994</v>
      </c>
      <c r="F17" s="22"/>
      <c r="G17" s="23">
        <v>13.35715295</v>
      </c>
    </row>
    <row r="18" spans="1:7" x14ac:dyDescent="0.3">
      <c r="A18">
        <f t="shared" si="0"/>
        <v>2002</v>
      </c>
      <c r="B18" s="19">
        <f t="shared" si="1"/>
        <v>37346</v>
      </c>
      <c r="C18" s="23">
        <v>4.5960000000000001</v>
      </c>
      <c r="D18" s="23">
        <v>-0.24</v>
      </c>
      <c r="E18" s="22">
        <f t="shared" si="2"/>
        <v>4.3559999999999999</v>
      </c>
      <c r="F18" s="22"/>
      <c r="G18" s="23">
        <v>13.303641633333299</v>
      </c>
    </row>
    <row r="19" spans="1:7" x14ac:dyDescent="0.3">
      <c r="A19">
        <f t="shared" si="0"/>
        <v>2002</v>
      </c>
      <c r="B19" s="19">
        <f t="shared" si="1"/>
        <v>37376</v>
      </c>
      <c r="C19" s="23">
        <v>4.3109999999999999</v>
      </c>
      <c r="D19" s="23">
        <v>-0.47</v>
      </c>
      <c r="E19" s="22">
        <f t="shared" si="2"/>
        <v>3.8410000000000002</v>
      </c>
      <c r="F19" s="22"/>
      <c r="G19" s="23">
        <v>13.0297320636364</v>
      </c>
    </row>
    <row r="20" spans="1:7" x14ac:dyDescent="0.3">
      <c r="A20">
        <f t="shared" si="0"/>
        <v>2002</v>
      </c>
      <c r="B20" s="19">
        <f t="shared" si="1"/>
        <v>37407</v>
      </c>
      <c r="C20" s="23">
        <v>4.2560000000000002</v>
      </c>
      <c r="D20" s="23">
        <v>-0.47</v>
      </c>
      <c r="E20" s="22">
        <f t="shared" si="2"/>
        <v>3.7860000000000005</v>
      </c>
      <c r="F20" s="22"/>
      <c r="G20" s="23">
        <v>12.995289969565199</v>
      </c>
    </row>
    <row r="21" spans="1:7" x14ac:dyDescent="0.3">
      <c r="A21">
        <f t="shared" si="0"/>
        <v>2002</v>
      </c>
      <c r="B21" s="19">
        <f t="shared" si="1"/>
        <v>37437</v>
      </c>
      <c r="C21" s="23">
        <v>4.2359999999999998</v>
      </c>
      <c r="D21" s="23">
        <v>-0.47</v>
      </c>
      <c r="E21" s="22">
        <f t="shared" si="2"/>
        <v>3.766</v>
      </c>
      <c r="F21" s="22"/>
      <c r="G21" s="23">
        <v>12.975719</v>
      </c>
    </row>
    <row r="22" spans="1:7" x14ac:dyDescent="0.3">
      <c r="A22">
        <f t="shared" si="0"/>
        <v>2002</v>
      </c>
      <c r="B22" s="19">
        <f t="shared" si="1"/>
        <v>37468</v>
      </c>
      <c r="C22" s="23">
        <v>4.2359999999999998</v>
      </c>
      <c r="D22" s="23">
        <v>-0.47</v>
      </c>
      <c r="E22" s="22">
        <f t="shared" si="2"/>
        <v>3.766</v>
      </c>
      <c r="F22" s="22"/>
      <c r="G22" s="23">
        <v>13.1983000363636</v>
      </c>
    </row>
    <row r="23" spans="1:7" x14ac:dyDescent="0.3">
      <c r="A23">
        <f t="shared" si="0"/>
        <v>2002</v>
      </c>
      <c r="B23" s="19">
        <f t="shared" si="1"/>
        <v>37499</v>
      </c>
      <c r="C23" s="23">
        <v>4.2359999999999998</v>
      </c>
      <c r="D23" s="23">
        <v>-0.47</v>
      </c>
      <c r="E23" s="22">
        <f t="shared" si="2"/>
        <v>3.766</v>
      </c>
      <c r="F23" s="22"/>
      <c r="G23" s="23">
        <v>13.175377027272701</v>
      </c>
    </row>
    <row r="24" spans="1:7" x14ac:dyDescent="0.3">
      <c r="A24">
        <f t="shared" si="0"/>
        <v>2002</v>
      </c>
      <c r="B24" s="19">
        <f t="shared" si="1"/>
        <v>37529</v>
      </c>
      <c r="C24" s="23">
        <v>4.2309999999999999</v>
      </c>
      <c r="D24" s="23">
        <v>-0.47</v>
      </c>
      <c r="E24" s="22">
        <f t="shared" si="2"/>
        <v>3.7610000000000001</v>
      </c>
      <c r="F24" s="22"/>
      <c r="G24" s="23">
        <v>13.1568875571429</v>
      </c>
    </row>
    <row r="25" spans="1:7" x14ac:dyDescent="0.3">
      <c r="A25">
        <f t="shared" si="0"/>
        <v>2002</v>
      </c>
      <c r="B25" s="19">
        <f t="shared" si="1"/>
        <v>37560</v>
      </c>
      <c r="C25" s="23">
        <v>4.2210000000000001</v>
      </c>
      <c r="D25" s="23">
        <v>-0.46500000000000002</v>
      </c>
      <c r="E25" s="22">
        <f t="shared" si="2"/>
        <v>3.7560000000000002</v>
      </c>
      <c r="F25" s="22"/>
      <c r="G25" s="23">
        <v>13.0016875608696</v>
      </c>
    </row>
    <row r="26" spans="1:7" x14ac:dyDescent="0.3">
      <c r="A26">
        <f t="shared" si="0"/>
        <v>2002</v>
      </c>
      <c r="B26" s="19">
        <f t="shared" si="1"/>
        <v>37590</v>
      </c>
      <c r="C26" s="23">
        <v>4.3109999999999999</v>
      </c>
      <c r="D26" s="23">
        <v>-0.14749999999999999</v>
      </c>
      <c r="E26" s="22">
        <f t="shared" si="2"/>
        <v>4.1635</v>
      </c>
      <c r="F26" s="22"/>
      <c r="G26" s="23">
        <v>12.9793563666667</v>
      </c>
    </row>
    <row r="27" spans="1:7" x14ac:dyDescent="0.3">
      <c r="A27">
        <f t="shared" si="0"/>
        <v>2002</v>
      </c>
      <c r="B27" s="19">
        <f t="shared" si="1"/>
        <v>37621</v>
      </c>
      <c r="C27" s="23">
        <v>4.4009999999999998</v>
      </c>
      <c r="D27" s="23">
        <v>-0.16</v>
      </c>
      <c r="E27" s="22">
        <f t="shared" si="2"/>
        <v>4.2409999999999997</v>
      </c>
      <c r="F27" s="22"/>
      <c r="G27" s="23">
        <v>12.959777957142901</v>
      </c>
    </row>
    <row r="28" spans="1:7" x14ac:dyDescent="0.3">
      <c r="A28">
        <f t="shared" si="0"/>
        <v>2003</v>
      </c>
      <c r="B28" s="19">
        <f t="shared" si="1"/>
        <v>37652</v>
      </c>
      <c r="C28" s="23">
        <v>4.4160000000000004</v>
      </c>
      <c r="D28" s="23">
        <v>-0.105</v>
      </c>
      <c r="E28" s="22">
        <f t="shared" si="2"/>
        <v>4.3109999999999999</v>
      </c>
      <c r="F28" s="22"/>
      <c r="G28" s="23">
        <v>12.0068796181818</v>
      </c>
    </row>
    <row r="29" spans="1:7" x14ac:dyDescent="0.3">
      <c r="A29">
        <f t="shared" si="0"/>
        <v>2003</v>
      </c>
      <c r="B29" s="19">
        <f t="shared" si="1"/>
        <v>37680</v>
      </c>
      <c r="C29" s="23">
        <v>4.2460000000000004</v>
      </c>
      <c r="D29" s="23">
        <v>-0.125</v>
      </c>
      <c r="E29" s="22">
        <f t="shared" si="2"/>
        <v>4.1210000000000004</v>
      </c>
      <c r="F29" s="22"/>
      <c r="G29" s="23">
        <v>10.6770102</v>
      </c>
    </row>
    <row r="30" spans="1:7" x14ac:dyDescent="0.3">
      <c r="A30">
        <f t="shared" si="0"/>
        <v>2003</v>
      </c>
      <c r="B30" s="19">
        <f t="shared" si="1"/>
        <v>37711</v>
      </c>
      <c r="C30" s="23">
        <v>4.0510000000000002</v>
      </c>
      <c r="D30" s="23">
        <v>-0.125</v>
      </c>
      <c r="E30" s="22">
        <f t="shared" si="2"/>
        <v>3.9260000000000002</v>
      </c>
      <c r="F30" s="22"/>
      <c r="G30" s="23">
        <v>10.6545227666667</v>
      </c>
    </row>
    <row r="31" spans="1:7" x14ac:dyDescent="0.3">
      <c r="A31">
        <f t="shared" si="0"/>
        <v>2003</v>
      </c>
      <c r="B31" s="19">
        <f t="shared" si="1"/>
        <v>37741</v>
      </c>
      <c r="C31" s="23">
        <v>3.8559999999999999</v>
      </c>
      <c r="D31" s="23">
        <v>-0.34499999999999997</v>
      </c>
      <c r="E31" s="22">
        <f t="shared" si="2"/>
        <v>3.5110000000000001</v>
      </c>
      <c r="F31" s="22"/>
      <c r="G31" s="23">
        <v>10.399342954545499</v>
      </c>
    </row>
    <row r="32" spans="1:7" x14ac:dyDescent="0.3">
      <c r="A32">
        <f t="shared" si="0"/>
        <v>2003</v>
      </c>
      <c r="B32" s="19">
        <f t="shared" si="1"/>
        <v>37772</v>
      </c>
      <c r="C32" s="23">
        <v>3.8159999999999998</v>
      </c>
      <c r="D32" s="23">
        <v>-0.34499999999999997</v>
      </c>
      <c r="E32" s="22">
        <f t="shared" si="2"/>
        <v>3.4710000000000001</v>
      </c>
      <c r="F32" s="22"/>
      <c r="G32" s="23">
        <v>10.3868737636364</v>
      </c>
    </row>
    <row r="33" spans="1:7" x14ac:dyDescent="0.3">
      <c r="A33">
        <f t="shared" si="0"/>
        <v>2003</v>
      </c>
      <c r="B33" s="19">
        <f t="shared" si="1"/>
        <v>37802</v>
      </c>
      <c r="C33" s="23">
        <v>3.8260000000000001</v>
      </c>
      <c r="D33" s="23">
        <v>-0.34499999999999997</v>
      </c>
      <c r="E33" s="22">
        <f t="shared" si="2"/>
        <v>3.4809999999999999</v>
      </c>
      <c r="F33" s="22"/>
      <c r="G33" s="23">
        <v>10.3849517285714</v>
      </c>
    </row>
    <row r="34" spans="1:7" x14ac:dyDescent="0.3">
      <c r="A34">
        <f t="shared" si="0"/>
        <v>2003</v>
      </c>
      <c r="B34" s="19">
        <f t="shared" si="1"/>
        <v>37833</v>
      </c>
      <c r="C34" s="23">
        <v>3.819</v>
      </c>
      <c r="D34" s="23">
        <v>-0.34499999999999997</v>
      </c>
      <c r="E34" s="22">
        <f t="shared" si="2"/>
        <v>3.4740000000000002</v>
      </c>
      <c r="F34" s="22"/>
      <c r="G34" s="23">
        <v>10.6239368590909</v>
      </c>
    </row>
    <row r="35" spans="1:7" x14ac:dyDescent="0.3">
      <c r="A35">
        <f t="shared" si="0"/>
        <v>2003</v>
      </c>
      <c r="B35" s="19">
        <f t="shared" si="1"/>
        <v>37864</v>
      </c>
      <c r="C35" s="23">
        <v>3.806</v>
      </c>
      <c r="D35" s="23">
        <v>-0.34499999999999997</v>
      </c>
      <c r="E35" s="22">
        <f t="shared" si="2"/>
        <v>3.4610000000000003</v>
      </c>
      <c r="F35" s="22"/>
      <c r="G35" s="23">
        <v>10.621975933333299</v>
      </c>
    </row>
    <row r="36" spans="1:7" x14ac:dyDescent="0.3">
      <c r="A36">
        <f t="shared" si="0"/>
        <v>2003</v>
      </c>
      <c r="B36" s="19">
        <f t="shared" si="1"/>
        <v>37894</v>
      </c>
      <c r="C36" s="23">
        <v>3.8180000000000001</v>
      </c>
      <c r="D36" s="23">
        <v>-0.34499999999999997</v>
      </c>
      <c r="E36" s="22">
        <f t="shared" si="2"/>
        <v>3.4729999999999999</v>
      </c>
      <c r="F36" s="22"/>
      <c r="G36" s="23">
        <v>10.6189260681818</v>
      </c>
    </row>
    <row r="37" spans="1:7" x14ac:dyDescent="0.3">
      <c r="A37">
        <f t="shared" si="0"/>
        <v>2003</v>
      </c>
      <c r="B37" s="19">
        <f t="shared" si="1"/>
        <v>37925</v>
      </c>
      <c r="C37" s="23">
        <v>3.8279999999999998</v>
      </c>
      <c r="D37" s="23">
        <v>-0.34</v>
      </c>
      <c r="E37" s="22">
        <f t="shared" si="2"/>
        <v>3.488</v>
      </c>
      <c r="F37" s="22"/>
      <c r="G37" s="23">
        <v>11.321049339130401</v>
      </c>
    </row>
    <row r="38" spans="1:7" x14ac:dyDescent="0.3">
      <c r="A38">
        <f t="shared" si="0"/>
        <v>2003</v>
      </c>
      <c r="B38" s="19">
        <f t="shared" si="1"/>
        <v>37955</v>
      </c>
      <c r="C38" s="23">
        <v>3.9630000000000001</v>
      </c>
      <c r="D38" s="23">
        <v>-0.27750000000000002</v>
      </c>
      <c r="E38" s="22">
        <f t="shared" si="2"/>
        <v>3.6855000000000002</v>
      </c>
      <c r="F38" s="22"/>
      <c r="G38" s="23">
        <v>11.322062875</v>
      </c>
    </row>
    <row r="39" spans="1:7" x14ac:dyDescent="0.3">
      <c r="A39">
        <f t="shared" si="0"/>
        <v>2003</v>
      </c>
      <c r="B39" s="19">
        <f t="shared" si="1"/>
        <v>37986</v>
      </c>
      <c r="C39" s="23">
        <v>4.0880000000000001</v>
      </c>
      <c r="D39" s="23">
        <v>-0.28999999999999998</v>
      </c>
      <c r="E39" s="22">
        <f t="shared" si="2"/>
        <v>3.798</v>
      </c>
      <c r="F39" s="22"/>
      <c r="G39" s="23">
        <v>11.3275611840909</v>
      </c>
    </row>
    <row r="40" spans="1:7" x14ac:dyDescent="0.3">
      <c r="A40">
        <f t="shared" si="0"/>
        <v>2004</v>
      </c>
      <c r="B40" s="19">
        <f t="shared" si="1"/>
        <v>38017</v>
      </c>
      <c r="C40" s="23">
        <v>4.2009999999999996</v>
      </c>
      <c r="D40" s="23">
        <v>-0.23499999999999999</v>
      </c>
      <c r="E40" s="22">
        <f t="shared" si="2"/>
        <v>3.9659999999999997</v>
      </c>
      <c r="F40" s="22"/>
      <c r="G40" s="23">
        <v>10.615483719047599</v>
      </c>
    </row>
    <row r="41" spans="1:7" x14ac:dyDescent="0.3">
      <c r="A41">
        <f t="shared" si="0"/>
        <v>2004</v>
      </c>
      <c r="B41" s="19">
        <f t="shared" si="1"/>
        <v>38046</v>
      </c>
      <c r="C41" s="23">
        <v>4.056</v>
      </c>
      <c r="D41" s="23">
        <v>-0.255</v>
      </c>
      <c r="E41" s="22">
        <f t="shared" si="2"/>
        <v>3.8010000000000002</v>
      </c>
      <c r="F41" s="22"/>
      <c r="G41" s="23">
        <v>10.622321812499999</v>
      </c>
    </row>
    <row r="42" spans="1:7" x14ac:dyDescent="0.3">
      <c r="A42">
        <f t="shared" si="0"/>
        <v>2004</v>
      </c>
      <c r="B42" s="19">
        <f t="shared" si="1"/>
        <v>38077</v>
      </c>
      <c r="C42" s="23">
        <v>3.9209999999999998</v>
      </c>
      <c r="D42" s="23">
        <v>-0.255</v>
      </c>
      <c r="E42" s="22">
        <f t="shared" si="2"/>
        <v>3.6659999999999999</v>
      </c>
      <c r="F42" s="22"/>
      <c r="G42" s="23">
        <v>10.6271046173913</v>
      </c>
    </row>
    <row r="43" spans="1:7" x14ac:dyDescent="0.3">
      <c r="A43">
        <f t="shared" si="0"/>
        <v>2004</v>
      </c>
      <c r="B43" s="19">
        <f t="shared" si="1"/>
        <v>38107</v>
      </c>
      <c r="C43" s="23">
        <v>3.766</v>
      </c>
      <c r="D43" s="23">
        <v>-0.35</v>
      </c>
      <c r="E43" s="22">
        <f t="shared" si="2"/>
        <v>3.4159999999999999</v>
      </c>
      <c r="F43" s="22"/>
      <c r="G43" s="23">
        <v>10.398516231818199</v>
      </c>
    </row>
    <row r="44" spans="1:7" x14ac:dyDescent="0.3">
      <c r="A44">
        <f t="shared" si="0"/>
        <v>2004</v>
      </c>
      <c r="B44" s="19">
        <f t="shared" si="1"/>
        <v>38138</v>
      </c>
      <c r="C44" s="23">
        <v>3.7309999999999999</v>
      </c>
      <c r="D44" s="23">
        <v>-0.35</v>
      </c>
      <c r="E44" s="22">
        <f t="shared" si="2"/>
        <v>3.3809999999999998</v>
      </c>
      <c r="F44" s="22"/>
      <c r="G44" s="23">
        <v>10.4044501166667</v>
      </c>
    </row>
    <row r="45" spans="1:7" x14ac:dyDescent="0.3">
      <c r="A45">
        <f t="shared" si="0"/>
        <v>2004</v>
      </c>
      <c r="B45" s="19">
        <f t="shared" si="1"/>
        <v>38168</v>
      </c>
      <c r="C45" s="23">
        <v>3.7509999999999999</v>
      </c>
      <c r="D45" s="23">
        <v>-0.35</v>
      </c>
      <c r="E45" s="22">
        <f t="shared" si="2"/>
        <v>3.4009999999999998</v>
      </c>
      <c r="F45" s="22"/>
      <c r="G45" s="23">
        <v>10.4098395318182</v>
      </c>
    </row>
    <row r="46" spans="1:7" x14ac:dyDescent="0.3">
      <c r="A46">
        <f t="shared" si="0"/>
        <v>2004</v>
      </c>
      <c r="B46" s="19">
        <f t="shared" si="1"/>
        <v>38199</v>
      </c>
      <c r="C46" s="23">
        <v>3.7440000000000002</v>
      </c>
      <c r="D46" s="23">
        <v>-0.35</v>
      </c>
      <c r="E46" s="22">
        <f t="shared" si="2"/>
        <v>3.3940000000000001</v>
      </c>
      <c r="F46" s="22"/>
      <c r="G46" s="23">
        <v>10.660025181818201</v>
      </c>
    </row>
    <row r="47" spans="1:7" x14ac:dyDescent="0.3">
      <c r="A47">
        <f t="shared" si="0"/>
        <v>2004</v>
      </c>
      <c r="B47" s="19">
        <f t="shared" si="1"/>
        <v>38230</v>
      </c>
      <c r="C47" s="23">
        <v>3.746</v>
      </c>
      <c r="D47" s="23">
        <v>-0.35</v>
      </c>
      <c r="E47" s="22">
        <f t="shared" si="2"/>
        <v>3.3959999999999999</v>
      </c>
      <c r="F47" s="22"/>
      <c r="G47" s="23">
        <v>10.666095184090899</v>
      </c>
    </row>
    <row r="48" spans="1:7" x14ac:dyDescent="0.3">
      <c r="A48">
        <f t="shared" si="0"/>
        <v>2004</v>
      </c>
      <c r="B48" s="19">
        <f t="shared" si="1"/>
        <v>38260</v>
      </c>
      <c r="C48" s="23">
        <v>3.7629999999999999</v>
      </c>
      <c r="D48" s="23">
        <v>-0.35</v>
      </c>
      <c r="E48" s="22">
        <f t="shared" si="2"/>
        <v>3.4129999999999998</v>
      </c>
      <c r="F48" s="22"/>
      <c r="G48" s="23">
        <v>10.6713484818182</v>
      </c>
    </row>
    <row r="49" spans="1:7" x14ac:dyDescent="0.3">
      <c r="A49">
        <f t="shared" si="0"/>
        <v>2004</v>
      </c>
      <c r="B49" s="19">
        <f t="shared" si="1"/>
        <v>38291</v>
      </c>
      <c r="C49" s="23">
        <v>3.7730000000000001</v>
      </c>
      <c r="D49" s="23">
        <v>-0.34499999999999997</v>
      </c>
      <c r="E49" s="22">
        <f t="shared" si="2"/>
        <v>3.4279999999999999</v>
      </c>
      <c r="F49" s="22"/>
      <c r="G49" s="23">
        <v>11.384041566666699</v>
      </c>
    </row>
    <row r="50" spans="1:7" x14ac:dyDescent="0.3">
      <c r="A50">
        <f t="shared" si="0"/>
        <v>2004</v>
      </c>
      <c r="B50" s="19">
        <f t="shared" si="1"/>
        <v>38321</v>
      </c>
      <c r="C50" s="23">
        <v>3.9180000000000001</v>
      </c>
      <c r="D50" s="23">
        <v>-0.27750000000000002</v>
      </c>
      <c r="E50" s="22">
        <f t="shared" si="2"/>
        <v>3.6405000000000003</v>
      </c>
      <c r="F50" s="22"/>
      <c r="G50" s="23">
        <v>11.389839334090899</v>
      </c>
    </row>
    <row r="51" spans="1:7" x14ac:dyDescent="0.3">
      <c r="A51">
        <f t="shared" si="0"/>
        <v>2004</v>
      </c>
      <c r="B51" s="19">
        <f t="shared" si="1"/>
        <v>38352</v>
      </c>
      <c r="C51" s="23">
        <v>4.0579999999999998</v>
      </c>
      <c r="D51" s="23">
        <v>-0.28999999999999998</v>
      </c>
      <c r="E51" s="22">
        <f t="shared" si="2"/>
        <v>3.7679999999999998</v>
      </c>
      <c r="F51" s="22"/>
      <c r="G51" s="23">
        <v>11.394844069565201</v>
      </c>
    </row>
    <row r="52" spans="1:7" x14ac:dyDescent="0.3">
      <c r="A52">
        <f t="shared" si="0"/>
        <v>2005</v>
      </c>
      <c r="B52" s="19">
        <f t="shared" si="1"/>
        <v>38383</v>
      </c>
      <c r="C52" s="23">
        <v>4.1909999999999998</v>
      </c>
      <c r="D52" s="23">
        <v>-0.23499999999999999</v>
      </c>
      <c r="E52" s="22">
        <f t="shared" si="2"/>
        <v>3.956</v>
      </c>
      <c r="F52" s="22"/>
      <c r="G52" s="23">
        <v>10.683851316666701</v>
      </c>
    </row>
    <row r="53" spans="1:7" x14ac:dyDescent="0.3">
      <c r="A53">
        <f t="shared" si="0"/>
        <v>2005</v>
      </c>
      <c r="B53" s="19">
        <f t="shared" si="1"/>
        <v>38411</v>
      </c>
      <c r="C53" s="23">
        <v>4.0460000000000003</v>
      </c>
      <c r="D53" s="23">
        <v>-0.255</v>
      </c>
      <c r="E53" s="22">
        <f t="shared" si="2"/>
        <v>3.7910000000000004</v>
      </c>
      <c r="F53" s="22"/>
      <c r="G53" s="23">
        <v>10.689812425</v>
      </c>
    </row>
    <row r="54" spans="1:7" x14ac:dyDescent="0.3">
      <c r="A54">
        <f t="shared" si="0"/>
        <v>2005</v>
      </c>
      <c r="B54" s="19">
        <f t="shared" si="1"/>
        <v>38442</v>
      </c>
      <c r="C54" s="23">
        <v>3.911</v>
      </c>
      <c r="D54" s="23">
        <v>-0.255</v>
      </c>
      <c r="E54" s="22">
        <f t="shared" si="2"/>
        <v>3.6560000000000001</v>
      </c>
      <c r="F54" s="22"/>
      <c r="G54" s="23">
        <v>10.6946538195652</v>
      </c>
    </row>
    <row r="55" spans="1:7" x14ac:dyDescent="0.3">
      <c r="A55">
        <f t="shared" si="0"/>
        <v>2005</v>
      </c>
      <c r="B55" s="19">
        <f t="shared" si="1"/>
        <v>38472</v>
      </c>
      <c r="C55" s="23">
        <v>3.7559999999999998</v>
      </c>
      <c r="D55" s="23">
        <v>-0.35499999999999998</v>
      </c>
      <c r="E55" s="22">
        <f t="shared" si="2"/>
        <v>3.4009999999999998</v>
      </c>
      <c r="F55" s="22"/>
      <c r="G55" s="23">
        <v>10.466728266666699</v>
      </c>
    </row>
    <row r="56" spans="1:7" x14ac:dyDescent="0.3">
      <c r="A56">
        <f t="shared" si="0"/>
        <v>2005</v>
      </c>
      <c r="B56" s="19">
        <f t="shared" si="1"/>
        <v>38503</v>
      </c>
      <c r="C56" s="23">
        <v>3.7210000000000001</v>
      </c>
      <c r="D56" s="23">
        <v>-0.35499999999999998</v>
      </c>
      <c r="E56" s="22">
        <f t="shared" si="2"/>
        <v>3.3660000000000001</v>
      </c>
      <c r="F56" s="22"/>
      <c r="G56" s="23">
        <v>10.472526034090899</v>
      </c>
    </row>
    <row r="57" spans="1:7" x14ac:dyDescent="0.3">
      <c r="A57">
        <f t="shared" si="0"/>
        <v>2005</v>
      </c>
      <c r="B57" s="19">
        <f t="shared" si="1"/>
        <v>38533</v>
      </c>
      <c r="C57" s="23">
        <v>3.7410000000000001</v>
      </c>
      <c r="D57" s="23">
        <v>-0.35499999999999998</v>
      </c>
      <c r="E57" s="22">
        <f t="shared" si="2"/>
        <v>3.3860000000000001</v>
      </c>
      <c r="F57" s="22"/>
      <c r="G57" s="23">
        <v>10.4777793318182</v>
      </c>
    </row>
    <row r="58" spans="1:7" x14ac:dyDescent="0.3">
      <c r="A58">
        <f t="shared" si="0"/>
        <v>2005</v>
      </c>
      <c r="B58" s="19">
        <f t="shared" si="1"/>
        <v>38564</v>
      </c>
      <c r="C58" s="23">
        <v>3.734</v>
      </c>
      <c r="D58" s="23">
        <v>-0.35499999999999998</v>
      </c>
      <c r="E58" s="22">
        <f t="shared" si="2"/>
        <v>3.379</v>
      </c>
      <c r="F58" s="22"/>
      <c r="G58" s="23">
        <v>10.7280874875</v>
      </c>
    </row>
    <row r="59" spans="1:7" x14ac:dyDescent="0.3">
      <c r="A59">
        <f t="shared" si="0"/>
        <v>2005</v>
      </c>
      <c r="B59" s="19">
        <f t="shared" si="1"/>
        <v>38595</v>
      </c>
      <c r="C59" s="23">
        <v>3.7360000000000002</v>
      </c>
      <c r="D59" s="23">
        <v>-0.35499999999999998</v>
      </c>
      <c r="E59" s="22">
        <f t="shared" si="2"/>
        <v>3.3810000000000002</v>
      </c>
      <c r="F59" s="22"/>
      <c r="G59" s="23">
        <v>10.733768667391301</v>
      </c>
    </row>
    <row r="60" spans="1:7" x14ac:dyDescent="0.3">
      <c r="A60">
        <f t="shared" si="0"/>
        <v>2005</v>
      </c>
      <c r="B60" s="19">
        <f t="shared" si="1"/>
        <v>38625</v>
      </c>
      <c r="C60" s="23">
        <v>3.7530000000000001</v>
      </c>
      <c r="D60" s="23">
        <v>-0.35499999999999998</v>
      </c>
      <c r="E60" s="22">
        <f t="shared" si="2"/>
        <v>3.3980000000000001</v>
      </c>
      <c r="F60" s="22"/>
      <c r="G60" s="23">
        <v>10.739288281818199</v>
      </c>
    </row>
    <row r="61" spans="1:7" x14ac:dyDescent="0.3">
      <c r="A61">
        <f t="shared" si="0"/>
        <v>2005</v>
      </c>
      <c r="B61" s="19">
        <f t="shared" si="1"/>
        <v>38656</v>
      </c>
      <c r="C61" s="23">
        <v>3.7629999999999999</v>
      </c>
      <c r="D61" s="23">
        <v>-0.35</v>
      </c>
      <c r="E61" s="22">
        <f t="shared" si="2"/>
        <v>3.4129999999999998</v>
      </c>
      <c r="F61" s="22"/>
      <c r="G61" s="23">
        <v>11.451981366666701</v>
      </c>
    </row>
    <row r="62" spans="1:7" x14ac:dyDescent="0.3">
      <c r="A62">
        <f t="shared" si="0"/>
        <v>2005</v>
      </c>
      <c r="B62" s="19">
        <f t="shared" si="1"/>
        <v>38686</v>
      </c>
      <c r="C62" s="23">
        <v>3.9079999999999999</v>
      </c>
      <c r="D62" s="23">
        <v>-0.27750000000000002</v>
      </c>
      <c r="E62" s="22">
        <f t="shared" si="2"/>
        <v>3.6305000000000001</v>
      </c>
      <c r="F62" s="22"/>
      <c r="G62" s="23">
        <v>11.4573707818182</v>
      </c>
    </row>
    <row r="63" spans="1:7" x14ac:dyDescent="0.3">
      <c r="A63">
        <f t="shared" si="0"/>
        <v>2005</v>
      </c>
      <c r="B63" s="19">
        <f t="shared" si="1"/>
        <v>38717</v>
      </c>
      <c r="C63" s="23">
        <v>4.048</v>
      </c>
      <c r="D63" s="23">
        <v>-0.28999999999999998</v>
      </c>
      <c r="E63" s="22">
        <f t="shared" si="2"/>
        <v>3.758</v>
      </c>
      <c r="F63" s="22"/>
      <c r="G63" s="23">
        <v>11.463032431818201</v>
      </c>
    </row>
    <row r="64" spans="1:7" x14ac:dyDescent="0.3">
      <c r="A64">
        <f t="shared" si="0"/>
        <v>2006</v>
      </c>
      <c r="B64" s="19">
        <f t="shared" si="1"/>
        <v>38748</v>
      </c>
      <c r="C64" s="23">
        <v>4.2009999999999996</v>
      </c>
      <c r="D64" s="23">
        <v>-0.23499999999999999</v>
      </c>
      <c r="E64" s="22">
        <f t="shared" si="2"/>
        <v>3.9659999999999997</v>
      </c>
      <c r="F64" s="22"/>
      <c r="G64" s="23">
        <v>10.7519272340909</v>
      </c>
    </row>
    <row r="65" spans="1:7" x14ac:dyDescent="0.3">
      <c r="A65">
        <f t="shared" si="0"/>
        <v>2006</v>
      </c>
      <c r="B65" s="19">
        <f t="shared" si="1"/>
        <v>38776</v>
      </c>
      <c r="C65" s="23">
        <v>4.056</v>
      </c>
      <c r="D65" s="23">
        <v>-0.255</v>
      </c>
      <c r="E65" s="22">
        <f t="shared" si="2"/>
        <v>3.8010000000000002</v>
      </c>
      <c r="F65" s="22"/>
      <c r="G65" s="23">
        <v>10.757752225000001</v>
      </c>
    </row>
    <row r="66" spans="1:7" x14ac:dyDescent="0.3">
      <c r="A66">
        <f t="shared" si="0"/>
        <v>2006</v>
      </c>
      <c r="B66" s="19">
        <f t="shared" si="1"/>
        <v>38807</v>
      </c>
      <c r="C66" s="23">
        <v>3.9209999999999998</v>
      </c>
      <c r="D66" s="23">
        <v>-0.255</v>
      </c>
      <c r="E66" s="22">
        <f t="shared" si="2"/>
        <v>3.6659999999999999</v>
      </c>
      <c r="F66" s="22"/>
      <c r="G66" s="23">
        <v>10.7625936195652</v>
      </c>
    </row>
    <row r="67" spans="1:7" x14ac:dyDescent="0.3">
      <c r="A67">
        <f t="shared" si="0"/>
        <v>2006</v>
      </c>
      <c r="B67" s="19">
        <f t="shared" si="1"/>
        <v>38837</v>
      </c>
      <c r="C67" s="23">
        <v>3.766</v>
      </c>
      <c r="D67" s="23">
        <v>-0.35499999999999998</v>
      </c>
      <c r="E67" s="22">
        <f t="shared" si="2"/>
        <v>3.411</v>
      </c>
      <c r="F67" s="22"/>
      <c r="G67" s="23">
        <v>10.534967525000001</v>
      </c>
    </row>
    <row r="68" spans="1:7" x14ac:dyDescent="0.3">
      <c r="A68">
        <f t="shared" si="0"/>
        <v>2006</v>
      </c>
      <c r="B68" s="19">
        <f t="shared" si="1"/>
        <v>38868</v>
      </c>
      <c r="C68" s="23">
        <v>3.7309999999999999</v>
      </c>
      <c r="D68" s="23">
        <v>-0.35499999999999998</v>
      </c>
      <c r="E68" s="22">
        <f t="shared" si="2"/>
        <v>3.3759999999999999</v>
      </c>
      <c r="F68" s="22"/>
      <c r="G68" s="23">
        <v>10.540199517391301</v>
      </c>
    </row>
    <row r="69" spans="1:7" x14ac:dyDescent="0.3">
      <c r="A69">
        <f t="shared" ref="A69:A132" si="6">YEAR(B69)</f>
        <v>2006</v>
      </c>
      <c r="B69" s="19">
        <f t="shared" ref="B69:B132" si="7">EOMONTH(B68,1)</f>
        <v>38898</v>
      </c>
      <c r="C69" s="23">
        <v>3.7509999999999999</v>
      </c>
      <c r="D69" s="23">
        <v>-0.35499999999999998</v>
      </c>
      <c r="E69" s="22">
        <f t="shared" ref="E69:E132" si="8">C69+D69</f>
        <v>3.3959999999999999</v>
      </c>
      <c r="F69" s="22"/>
      <c r="G69" s="23">
        <v>10.545719131818201</v>
      </c>
    </row>
    <row r="70" spans="1:7" x14ac:dyDescent="0.3">
      <c r="A70">
        <f t="shared" si="6"/>
        <v>2006</v>
      </c>
      <c r="B70" s="19">
        <f t="shared" si="7"/>
        <v>38929</v>
      </c>
      <c r="C70" s="23">
        <v>3.7440000000000002</v>
      </c>
      <c r="D70" s="23">
        <v>-0.35499999999999998</v>
      </c>
      <c r="E70" s="22">
        <f t="shared" si="8"/>
        <v>3.3890000000000002</v>
      </c>
      <c r="F70" s="22"/>
      <c r="G70" s="23">
        <v>10.796027287499999</v>
      </c>
    </row>
    <row r="71" spans="1:7" x14ac:dyDescent="0.3">
      <c r="A71">
        <f t="shared" si="6"/>
        <v>2006</v>
      </c>
      <c r="B71" s="19">
        <f t="shared" si="7"/>
        <v>38960</v>
      </c>
      <c r="C71" s="23">
        <v>3.746</v>
      </c>
      <c r="D71" s="23">
        <v>-0.35499999999999998</v>
      </c>
      <c r="E71" s="22">
        <f t="shared" si="8"/>
        <v>3.391</v>
      </c>
      <c r="F71" s="22"/>
      <c r="G71" s="23">
        <v>10.801317869565199</v>
      </c>
    </row>
    <row r="72" spans="1:7" x14ac:dyDescent="0.3">
      <c r="A72">
        <f t="shared" si="6"/>
        <v>2006</v>
      </c>
      <c r="B72" s="19">
        <f t="shared" si="7"/>
        <v>38990</v>
      </c>
      <c r="C72" s="23">
        <v>3.7629999999999999</v>
      </c>
      <c r="D72" s="23">
        <v>-0.35499999999999998</v>
      </c>
      <c r="E72" s="22">
        <f t="shared" si="8"/>
        <v>3.4079999999999999</v>
      </c>
      <c r="F72" s="22"/>
      <c r="G72" s="23">
        <v>10.807500316666699</v>
      </c>
    </row>
    <row r="73" spans="1:7" x14ac:dyDescent="0.3">
      <c r="A73">
        <f t="shared" si="6"/>
        <v>2006</v>
      </c>
      <c r="B73" s="19">
        <f t="shared" si="7"/>
        <v>39021</v>
      </c>
      <c r="C73" s="23">
        <v>3.7730000000000001</v>
      </c>
      <c r="D73" s="23">
        <v>-0.35</v>
      </c>
      <c r="E73" s="22">
        <f t="shared" si="8"/>
        <v>3.423</v>
      </c>
      <c r="F73" s="22"/>
      <c r="G73" s="23">
        <v>11.5200572840909</v>
      </c>
    </row>
    <row r="74" spans="1:7" x14ac:dyDescent="0.3">
      <c r="A74">
        <f t="shared" si="6"/>
        <v>2006</v>
      </c>
      <c r="B74" s="19">
        <f t="shared" si="7"/>
        <v>39051</v>
      </c>
      <c r="C74" s="23">
        <v>3.9180000000000001</v>
      </c>
      <c r="D74" s="23">
        <v>-0.27750000000000002</v>
      </c>
      <c r="E74" s="22">
        <f t="shared" si="8"/>
        <v>3.6405000000000003</v>
      </c>
      <c r="F74" s="22"/>
      <c r="G74" s="23">
        <v>11.5285774</v>
      </c>
    </row>
    <row r="75" spans="1:7" x14ac:dyDescent="0.3">
      <c r="A75">
        <f t="shared" si="6"/>
        <v>2006</v>
      </c>
      <c r="B75" s="19">
        <f t="shared" si="7"/>
        <v>39082</v>
      </c>
      <c r="C75" s="23">
        <v>4.0579999999999998</v>
      </c>
      <c r="D75" s="23">
        <v>-0.28999999999999998</v>
      </c>
      <c r="E75" s="22">
        <f t="shared" si="8"/>
        <v>3.7679999999999998</v>
      </c>
      <c r="F75" s="22"/>
      <c r="G75" s="23">
        <v>11.543222800000001</v>
      </c>
    </row>
    <row r="76" spans="1:7" x14ac:dyDescent="0.3">
      <c r="A76">
        <f t="shared" si="6"/>
        <v>2007</v>
      </c>
      <c r="B76" s="19">
        <f t="shared" si="7"/>
        <v>39113</v>
      </c>
      <c r="C76" s="23">
        <v>4.2309999999999999</v>
      </c>
      <c r="D76" s="23">
        <v>-0.23499999999999999</v>
      </c>
      <c r="E76" s="22">
        <f t="shared" si="8"/>
        <v>3.996</v>
      </c>
      <c r="F76" s="22"/>
      <c r="G76" s="23">
        <v>10.840693</v>
      </c>
    </row>
    <row r="77" spans="1:7" x14ac:dyDescent="0.3">
      <c r="A77">
        <f t="shared" si="6"/>
        <v>2007</v>
      </c>
      <c r="B77" s="19">
        <f t="shared" si="7"/>
        <v>39141</v>
      </c>
      <c r="C77" s="23">
        <v>4.0860000000000003</v>
      </c>
      <c r="D77" s="23">
        <v>-0.255</v>
      </c>
      <c r="E77" s="22">
        <f t="shared" si="8"/>
        <v>3.8310000000000004</v>
      </c>
      <c r="F77" s="22"/>
      <c r="G77" s="23">
        <v>10.855338400000001</v>
      </c>
    </row>
    <row r="78" spans="1:7" x14ac:dyDescent="0.3">
      <c r="A78">
        <f t="shared" si="6"/>
        <v>2007</v>
      </c>
      <c r="B78" s="19">
        <f t="shared" si="7"/>
        <v>39172</v>
      </c>
      <c r="C78" s="23">
        <v>3.9510000000000001</v>
      </c>
      <c r="D78" s="23">
        <v>-0.255</v>
      </c>
      <c r="E78" s="22">
        <f t="shared" si="8"/>
        <v>3.6960000000000002</v>
      </c>
      <c r="F78" s="22"/>
      <c r="G78" s="23">
        <v>10.8699838</v>
      </c>
    </row>
    <row r="79" spans="1:7" x14ac:dyDescent="0.3">
      <c r="A79">
        <f t="shared" si="6"/>
        <v>2007</v>
      </c>
      <c r="B79" s="19">
        <f t="shared" si="7"/>
        <v>39202</v>
      </c>
      <c r="C79" s="23">
        <v>3.7959999999999998</v>
      </c>
      <c r="D79" s="23">
        <v>-0.35499999999999998</v>
      </c>
      <c r="E79" s="22">
        <f t="shared" si="8"/>
        <v>3.4409999999999998</v>
      </c>
      <c r="F79" s="22"/>
      <c r="G79" s="23">
        <v>10.6505212</v>
      </c>
    </row>
    <row r="80" spans="1:7" x14ac:dyDescent="0.3">
      <c r="A80">
        <f t="shared" si="6"/>
        <v>2007</v>
      </c>
      <c r="B80" s="19">
        <f t="shared" si="7"/>
        <v>39233</v>
      </c>
      <c r="C80" s="23">
        <v>3.7610000000000001</v>
      </c>
      <c r="D80" s="23">
        <v>-0.35499999999999998</v>
      </c>
      <c r="E80" s="22">
        <f t="shared" si="8"/>
        <v>3.4060000000000001</v>
      </c>
      <c r="F80" s="22"/>
      <c r="G80" s="23">
        <v>10.665166599999999</v>
      </c>
    </row>
    <row r="81" spans="1:7" x14ac:dyDescent="0.3">
      <c r="A81">
        <f t="shared" si="6"/>
        <v>2007</v>
      </c>
      <c r="B81" s="19">
        <f t="shared" si="7"/>
        <v>39263</v>
      </c>
      <c r="C81" s="23">
        <v>3.7810000000000001</v>
      </c>
      <c r="D81" s="23">
        <v>-0.35499999999999998</v>
      </c>
      <c r="E81" s="22">
        <f t="shared" si="8"/>
        <v>3.4260000000000002</v>
      </c>
      <c r="F81" s="22"/>
      <c r="G81" s="23">
        <v>10.679812</v>
      </c>
    </row>
    <row r="82" spans="1:7" x14ac:dyDescent="0.3">
      <c r="A82">
        <f t="shared" si="6"/>
        <v>2007</v>
      </c>
      <c r="B82" s="19">
        <f t="shared" si="7"/>
        <v>39294</v>
      </c>
      <c r="C82" s="23">
        <v>3.774</v>
      </c>
      <c r="D82" s="23">
        <v>-0.35499999999999998</v>
      </c>
      <c r="E82" s="22">
        <f t="shared" si="8"/>
        <v>3.419</v>
      </c>
      <c r="F82" s="22"/>
      <c r="G82" s="23">
        <v>10.938981399999999</v>
      </c>
    </row>
    <row r="83" spans="1:7" x14ac:dyDescent="0.3">
      <c r="A83">
        <f t="shared" si="6"/>
        <v>2007</v>
      </c>
      <c r="B83" s="19">
        <f t="shared" si="7"/>
        <v>39325</v>
      </c>
      <c r="C83" s="23">
        <v>3.7759999999999998</v>
      </c>
      <c r="D83" s="23">
        <v>-0.35499999999999998</v>
      </c>
      <c r="E83" s="22">
        <f t="shared" si="8"/>
        <v>3.4209999999999998</v>
      </c>
      <c r="F83" s="22"/>
      <c r="G83" s="23">
        <v>10.9536268</v>
      </c>
    </row>
    <row r="84" spans="1:7" x14ac:dyDescent="0.3">
      <c r="A84">
        <f t="shared" si="6"/>
        <v>2007</v>
      </c>
      <c r="B84" s="19">
        <f t="shared" si="7"/>
        <v>39355</v>
      </c>
      <c r="C84" s="23">
        <v>3.7930000000000001</v>
      </c>
      <c r="D84" s="23">
        <v>-0.35499999999999998</v>
      </c>
      <c r="E84" s="22">
        <f t="shared" si="8"/>
        <v>3.4380000000000002</v>
      </c>
      <c r="F84" s="22"/>
      <c r="G84" s="23">
        <v>10.968272199999999</v>
      </c>
    </row>
    <row r="85" spans="1:7" x14ac:dyDescent="0.3">
      <c r="A85">
        <f t="shared" si="6"/>
        <v>2007</v>
      </c>
      <c r="B85" s="19">
        <f t="shared" si="7"/>
        <v>39386</v>
      </c>
      <c r="C85" s="23">
        <v>3.8029999999999999</v>
      </c>
      <c r="D85" s="23">
        <v>-0.35</v>
      </c>
      <c r="E85" s="22">
        <f t="shared" si="8"/>
        <v>3.4529999999999998</v>
      </c>
      <c r="F85" s="22"/>
      <c r="G85" s="23">
        <v>11.689676800000001</v>
      </c>
    </row>
    <row r="86" spans="1:7" x14ac:dyDescent="0.3">
      <c r="A86">
        <f t="shared" si="6"/>
        <v>2007</v>
      </c>
      <c r="B86" s="19">
        <f t="shared" si="7"/>
        <v>39416</v>
      </c>
      <c r="C86" s="23">
        <v>3.948</v>
      </c>
      <c r="D86" s="23">
        <v>-0.28999999999999998</v>
      </c>
      <c r="E86" s="22">
        <f t="shared" si="8"/>
        <v>3.6579999999999999</v>
      </c>
      <c r="F86" s="22"/>
      <c r="G86" s="23">
        <v>11.706500078787901</v>
      </c>
    </row>
    <row r="87" spans="1:7" x14ac:dyDescent="0.3">
      <c r="A87">
        <f t="shared" si="6"/>
        <v>2007</v>
      </c>
      <c r="B87" s="19">
        <f t="shared" si="7"/>
        <v>39447</v>
      </c>
      <c r="C87" s="23">
        <v>4.0880000000000001</v>
      </c>
      <c r="D87" s="23">
        <v>-0.28999999999999998</v>
      </c>
      <c r="E87" s="22">
        <f t="shared" si="8"/>
        <v>3.798</v>
      </c>
      <c r="F87" s="22"/>
      <c r="G87" s="23">
        <v>11.726753516666699</v>
      </c>
    </row>
    <row r="88" spans="1:7" x14ac:dyDescent="0.3">
      <c r="A88">
        <f t="shared" si="6"/>
        <v>2008</v>
      </c>
      <c r="B88" s="19">
        <f t="shared" si="7"/>
        <v>39478</v>
      </c>
      <c r="C88" s="23">
        <v>4.2809999999999997</v>
      </c>
      <c r="D88" s="23">
        <v>-0.28999999999999998</v>
      </c>
      <c r="E88" s="22">
        <f t="shared" si="8"/>
        <v>3.9909999999999997</v>
      </c>
      <c r="F88" s="22"/>
      <c r="G88" s="23">
        <v>11.030866246969699</v>
      </c>
    </row>
    <row r="89" spans="1:7" x14ac:dyDescent="0.3">
      <c r="A89">
        <f t="shared" si="6"/>
        <v>2008</v>
      </c>
      <c r="B89" s="19">
        <f t="shared" si="7"/>
        <v>39507</v>
      </c>
      <c r="C89" s="23">
        <v>4.1360000000000001</v>
      </c>
      <c r="D89" s="23">
        <v>-0.28999999999999998</v>
      </c>
      <c r="E89" s="22">
        <f t="shared" si="8"/>
        <v>3.8460000000000001</v>
      </c>
      <c r="F89" s="22"/>
      <c r="G89" s="23">
        <v>11.0510470888889</v>
      </c>
    </row>
    <row r="90" spans="1:7" x14ac:dyDescent="0.3">
      <c r="A90">
        <f t="shared" si="6"/>
        <v>2008</v>
      </c>
      <c r="B90" s="19">
        <f t="shared" si="7"/>
        <v>39538</v>
      </c>
      <c r="C90" s="23">
        <v>4.0010000000000003</v>
      </c>
      <c r="D90" s="23">
        <v>-0.28999999999999998</v>
      </c>
      <c r="E90" s="22">
        <f t="shared" si="8"/>
        <v>3.7110000000000003</v>
      </c>
      <c r="F90" s="22"/>
      <c r="G90" s="23">
        <v>11.071681655555601</v>
      </c>
    </row>
    <row r="91" spans="1:7" x14ac:dyDescent="0.3">
      <c r="A91">
        <f t="shared" si="6"/>
        <v>2008</v>
      </c>
      <c r="B91" s="19">
        <f t="shared" si="7"/>
        <v>39568</v>
      </c>
      <c r="C91" s="23">
        <v>3.8460000000000001</v>
      </c>
      <c r="D91" s="23">
        <v>-0.35499999999999998</v>
      </c>
      <c r="E91" s="22">
        <f t="shared" si="8"/>
        <v>3.4910000000000001</v>
      </c>
      <c r="F91" s="22"/>
      <c r="G91" s="23">
        <v>10.8583897121212</v>
      </c>
    </row>
    <row r="92" spans="1:7" x14ac:dyDescent="0.3">
      <c r="A92">
        <f t="shared" si="6"/>
        <v>2008</v>
      </c>
      <c r="B92" s="19">
        <f t="shared" si="7"/>
        <v>39599</v>
      </c>
      <c r="C92" s="23">
        <v>3.8109999999999999</v>
      </c>
      <c r="D92" s="23">
        <v>-0.35499999999999998</v>
      </c>
      <c r="E92" s="22">
        <f t="shared" si="8"/>
        <v>3.456</v>
      </c>
      <c r="F92" s="22"/>
      <c r="G92" s="23">
        <v>10.879024278787901</v>
      </c>
    </row>
    <row r="93" spans="1:7" x14ac:dyDescent="0.3">
      <c r="A93">
        <f t="shared" si="6"/>
        <v>2008</v>
      </c>
      <c r="B93" s="19">
        <f t="shared" si="7"/>
        <v>39629</v>
      </c>
      <c r="C93" s="23">
        <v>3.831</v>
      </c>
      <c r="D93" s="23">
        <v>-0.35499999999999998</v>
      </c>
      <c r="E93" s="22">
        <f t="shared" si="8"/>
        <v>3.476</v>
      </c>
      <c r="F93" s="22"/>
      <c r="G93" s="23">
        <v>10.899192157142901</v>
      </c>
    </row>
    <row r="94" spans="1:7" x14ac:dyDescent="0.3">
      <c r="A94">
        <f t="shared" si="6"/>
        <v>2008</v>
      </c>
      <c r="B94" s="19">
        <f t="shared" si="7"/>
        <v>39660</v>
      </c>
      <c r="C94" s="23">
        <v>3.8239999999999998</v>
      </c>
      <c r="D94" s="23">
        <v>-0.35499999999999998</v>
      </c>
      <c r="E94" s="22">
        <f t="shared" si="8"/>
        <v>3.4689999999999999</v>
      </c>
      <c r="F94" s="22"/>
      <c r="G94" s="23">
        <v>11.165089646969699</v>
      </c>
    </row>
    <row r="95" spans="1:7" x14ac:dyDescent="0.3">
      <c r="A95">
        <f t="shared" si="6"/>
        <v>2008</v>
      </c>
      <c r="B95" s="19">
        <f t="shared" si="7"/>
        <v>39691</v>
      </c>
      <c r="C95" s="23">
        <v>3.8260000000000001</v>
      </c>
      <c r="D95" s="23">
        <v>-0.35499999999999998</v>
      </c>
      <c r="E95" s="22">
        <f t="shared" si="8"/>
        <v>3.4710000000000001</v>
      </c>
      <c r="F95" s="22"/>
      <c r="G95" s="23">
        <v>11.1852704888889</v>
      </c>
    </row>
    <row r="96" spans="1:7" x14ac:dyDescent="0.3">
      <c r="A96">
        <f t="shared" si="6"/>
        <v>2008</v>
      </c>
      <c r="B96" s="19">
        <f t="shared" si="7"/>
        <v>39721</v>
      </c>
      <c r="C96" s="23">
        <v>3.843</v>
      </c>
      <c r="D96" s="23">
        <v>-0.35499999999999998</v>
      </c>
      <c r="E96" s="22">
        <f t="shared" si="8"/>
        <v>3.488</v>
      </c>
      <c r="F96" s="22"/>
      <c r="G96" s="23">
        <v>11.205814310606099</v>
      </c>
    </row>
    <row r="97" spans="1:7" x14ac:dyDescent="0.3">
      <c r="A97">
        <f t="shared" si="6"/>
        <v>2008</v>
      </c>
      <c r="B97" s="19">
        <f t="shared" si="7"/>
        <v>39752</v>
      </c>
      <c r="C97" s="23">
        <v>3.8530000000000002</v>
      </c>
      <c r="D97" s="23">
        <v>-0.35499999999999998</v>
      </c>
      <c r="E97" s="22">
        <f t="shared" si="8"/>
        <v>3.4980000000000002</v>
      </c>
      <c r="F97" s="22"/>
      <c r="G97" s="23">
        <v>11.933646020289901</v>
      </c>
    </row>
    <row r="98" spans="1:7" x14ac:dyDescent="0.3">
      <c r="A98">
        <f t="shared" si="6"/>
        <v>2008</v>
      </c>
      <c r="B98" s="19">
        <f t="shared" si="7"/>
        <v>39782</v>
      </c>
      <c r="C98" s="23">
        <v>3.9980000000000002</v>
      </c>
      <c r="D98" s="23">
        <v>-0.28999999999999998</v>
      </c>
      <c r="E98" s="22">
        <f t="shared" si="8"/>
        <v>3.7080000000000002</v>
      </c>
      <c r="F98" s="22"/>
      <c r="G98" s="23">
        <v>11.95373375</v>
      </c>
    </row>
    <row r="99" spans="1:7" x14ac:dyDescent="0.3">
      <c r="A99">
        <f t="shared" si="6"/>
        <v>2008</v>
      </c>
      <c r="B99" s="19">
        <f t="shared" si="7"/>
        <v>39813</v>
      </c>
      <c r="C99" s="23">
        <v>4.1379999999999999</v>
      </c>
      <c r="D99" s="23">
        <v>-0.28999999999999998</v>
      </c>
      <c r="E99" s="22">
        <f t="shared" si="8"/>
        <v>3.8479999999999999</v>
      </c>
      <c r="F99" s="22"/>
      <c r="G99" s="23">
        <v>11.9744772106061</v>
      </c>
    </row>
    <row r="100" spans="1:7" x14ac:dyDescent="0.3">
      <c r="A100">
        <f t="shared" si="6"/>
        <v>2009</v>
      </c>
      <c r="B100" s="19">
        <f t="shared" si="7"/>
        <v>39844</v>
      </c>
      <c r="C100" s="23">
        <v>4.351</v>
      </c>
      <c r="D100" s="23">
        <v>-0.28999999999999998</v>
      </c>
      <c r="E100" s="22">
        <f t="shared" si="8"/>
        <v>4.0609999999999999</v>
      </c>
      <c r="F100" s="22"/>
      <c r="G100" s="23">
        <v>11.2783125206349</v>
      </c>
    </row>
    <row r="101" spans="1:7" x14ac:dyDescent="0.3">
      <c r="A101">
        <f t="shared" si="6"/>
        <v>2009</v>
      </c>
      <c r="B101" s="19">
        <f t="shared" si="7"/>
        <v>39872</v>
      </c>
      <c r="C101" s="23">
        <v>4.2060000000000004</v>
      </c>
      <c r="D101" s="23">
        <v>-0.28999999999999998</v>
      </c>
      <c r="E101" s="22">
        <f t="shared" si="8"/>
        <v>3.9160000000000004</v>
      </c>
      <c r="F101" s="22"/>
      <c r="G101" s="23">
        <v>11.2981627916667</v>
      </c>
    </row>
    <row r="102" spans="1:7" x14ac:dyDescent="0.3">
      <c r="A102">
        <f t="shared" si="6"/>
        <v>2009</v>
      </c>
      <c r="B102" s="19">
        <f t="shared" si="7"/>
        <v>39903</v>
      </c>
      <c r="C102" s="23">
        <v>4.0709999999999997</v>
      </c>
      <c r="D102" s="23">
        <v>-0.28999999999999998</v>
      </c>
      <c r="E102" s="22">
        <f t="shared" si="8"/>
        <v>3.7809999999999997</v>
      </c>
      <c r="F102" s="22"/>
      <c r="G102" s="23">
        <v>11.3192057106061</v>
      </c>
    </row>
    <row r="103" spans="1:7" x14ac:dyDescent="0.3">
      <c r="A103">
        <f t="shared" si="6"/>
        <v>2009</v>
      </c>
      <c r="B103" s="19">
        <f t="shared" si="7"/>
        <v>39933</v>
      </c>
      <c r="C103" s="23">
        <v>3.9159999999999999</v>
      </c>
      <c r="D103" s="23">
        <v>-0.35499999999999998</v>
      </c>
      <c r="E103" s="22">
        <f t="shared" si="8"/>
        <v>3.5609999999999999</v>
      </c>
      <c r="F103" s="22"/>
      <c r="G103" s="23">
        <v>11.106004512121199</v>
      </c>
    </row>
    <row r="104" spans="1:7" x14ac:dyDescent="0.3">
      <c r="A104">
        <f t="shared" si="6"/>
        <v>2009</v>
      </c>
      <c r="B104" s="19">
        <f t="shared" si="7"/>
        <v>39964</v>
      </c>
      <c r="C104" s="23">
        <v>3.8809999999999998</v>
      </c>
      <c r="D104" s="23">
        <v>-0.35499999999999998</v>
      </c>
      <c r="E104" s="22">
        <f t="shared" si="8"/>
        <v>3.5259999999999998</v>
      </c>
      <c r="F104" s="22"/>
      <c r="G104" s="23">
        <v>11.126457588888901</v>
      </c>
    </row>
    <row r="105" spans="1:7" x14ac:dyDescent="0.3">
      <c r="A105">
        <f t="shared" si="6"/>
        <v>2009</v>
      </c>
      <c r="B105" s="19">
        <f t="shared" si="7"/>
        <v>39994</v>
      </c>
      <c r="C105" s="23">
        <v>3.9009999999999998</v>
      </c>
      <c r="D105" s="23">
        <v>-0.35499999999999998</v>
      </c>
      <c r="E105" s="22">
        <f t="shared" si="8"/>
        <v>3.5459999999999998</v>
      </c>
      <c r="F105" s="22"/>
      <c r="G105" s="23">
        <v>11.1470014106061</v>
      </c>
    </row>
    <row r="106" spans="1:7" x14ac:dyDescent="0.3">
      <c r="A106">
        <f t="shared" si="6"/>
        <v>2009</v>
      </c>
      <c r="B106" s="19">
        <f t="shared" si="7"/>
        <v>40025</v>
      </c>
      <c r="C106" s="23">
        <v>3.8940000000000001</v>
      </c>
      <c r="D106" s="23">
        <v>-0.35499999999999998</v>
      </c>
      <c r="E106" s="22">
        <f t="shared" si="8"/>
        <v>3.5390000000000001</v>
      </c>
      <c r="F106" s="22"/>
      <c r="G106" s="23">
        <v>11.4125979202898</v>
      </c>
    </row>
    <row r="107" spans="1:7" x14ac:dyDescent="0.3">
      <c r="A107">
        <f t="shared" si="6"/>
        <v>2009</v>
      </c>
      <c r="B107" s="19">
        <f t="shared" si="7"/>
        <v>40056</v>
      </c>
      <c r="C107" s="23">
        <v>3.8959999999999999</v>
      </c>
      <c r="D107" s="23">
        <v>-0.35499999999999998</v>
      </c>
      <c r="E107" s="22">
        <f t="shared" si="8"/>
        <v>3.5409999999999999</v>
      </c>
      <c r="F107" s="22"/>
      <c r="G107" s="23">
        <v>11.432885288888899</v>
      </c>
    </row>
    <row r="108" spans="1:7" x14ac:dyDescent="0.3">
      <c r="A108">
        <f t="shared" si="6"/>
        <v>2009</v>
      </c>
      <c r="B108" s="19">
        <f t="shared" si="7"/>
        <v>40086</v>
      </c>
      <c r="C108" s="23">
        <v>3.9129999999999998</v>
      </c>
      <c r="D108" s="23">
        <v>-0.35499999999999998</v>
      </c>
      <c r="E108" s="22">
        <f t="shared" si="8"/>
        <v>3.5579999999999998</v>
      </c>
      <c r="F108" s="22"/>
      <c r="G108" s="23">
        <v>11.453701345454499</v>
      </c>
    </row>
    <row r="109" spans="1:7" x14ac:dyDescent="0.3">
      <c r="A109">
        <f t="shared" si="6"/>
        <v>2009</v>
      </c>
      <c r="B109" s="19">
        <f t="shared" si="7"/>
        <v>40117</v>
      </c>
      <c r="C109" s="23">
        <v>3.923</v>
      </c>
      <c r="D109" s="23">
        <v>-0.35499999999999998</v>
      </c>
      <c r="E109" s="22">
        <f t="shared" si="8"/>
        <v>3.5680000000000001</v>
      </c>
      <c r="F109" s="22"/>
      <c r="G109" s="23">
        <v>12.1810951121212</v>
      </c>
    </row>
    <row r="110" spans="1:7" x14ac:dyDescent="0.3">
      <c r="A110">
        <f t="shared" si="6"/>
        <v>2009</v>
      </c>
      <c r="B110" s="19">
        <f t="shared" si="7"/>
        <v>40147</v>
      </c>
      <c r="C110" s="23">
        <v>4.0679999999999996</v>
      </c>
      <c r="D110" s="23">
        <v>-0.28999999999999998</v>
      </c>
      <c r="E110" s="22">
        <f t="shared" si="8"/>
        <v>3.7779999999999996</v>
      </c>
      <c r="F110" s="22"/>
      <c r="G110" s="23">
        <v>12.2012629904762</v>
      </c>
    </row>
    <row r="111" spans="1:7" x14ac:dyDescent="0.3">
      <c r="A111">
        <f t="shared" si="6"/>
        <v>2009</v>
      </c>
      <c r="B111" s="19">
        <f t="shared" si="7"/>
        <v>40178</v>
      </c>
      <c r="C111" s="23">
        <v>4.2080000000000002</v>
      </c>
      <c r="D111" s="23">
        <v>-0.28999999999999998</v>
      </c>
      <c r="E111" s="22">
        <f t="shared" si="8"/>
        <v>3.9180000000000001</v>
      </c>
      <c r="F111" s="22"/>
      <c r="G111" s="23">
        <v>12.2223642454545</v>
      </c>
    </row>
    <row r="112" spans="1:7" x14ac:dyDescent="0.3">
      <c r="A112">
        <f t="shared" si="6"/>
        <v>2010</v>
      </c>
      <c r="B112" s="19">
        <f t="shared" si="7"/>
        <v>40209</v>
      </c>
      <c r="C112" s="23">
        <v>4.4409999999999998</v>
      </c>
      <c r="D112" s="23">
        <v>-0.28999999999999998</v>
      </c>
      <c r="E112" s="22">
        <f t="shared" si="8"/>
        <v>4.1509999999999998</v>
      </c>
      <c r="F112" s="22"/>
      <c r="G112" s="23">
        <v>11.5257419416667</v>
      </c>
    </row>
    <row r="113" spans="1:7" x14ac:dyDescent="0.3">
      <c r="A113">
        <f t="shared" si="6"/>
        <v>2010</v>
      </c>
      <c r="B113" s="19">
        <f t="shared" si="7"/>
        <v>40237</v>
      </c>
      <c r="C113" s="23">
        <v>4.2960000000000003</v>
      </c>
      <c r="D113" s="23">
        <v>-0.28999999999999998</v>
      </c>
      <c r="E113" s="22">
        <f t="shared" si="8"/>
        <v>4.0060000000000002</v>
      </c>
      <c r="F113" s="22"/>
      <c r="G113" s="23">
        <v>11.545777591666701</v>
      </c>
    </row>
    <row r="114" spans="1:7" x14ac:dyDescent="0.3">
      <c r="A114">
        <f t="shared" si="6"/>
        <v>2010</v>
      </c>
      <c r="B114" s="19">
        <f t="shared" si="7"/>
        <v>40268</v>
      </c>
      <c r="C114" s="23">
        <v>4.1609999999999996</v>
      </c>
      <c r="D114" s="23">
        <v>-0.28999999999999998</v>
      </c>
      <c r="E114" s="22">
        <f t="shared" si="8"/>
        <v>3.8709999999999996</v>
      </c>
      <c r="F114" s="22"/>
      <c r="G114" s="23">
        <v>11.566998055072499</v>
      </c>
    </row>
    <row r="115" spans="1:7" x14ac:dyDescent="0.3">
      <c r="A115">
        <f t="shared" si="6"/>
        <v>2010</v>
      </c>
      <c r="B115" s="19">
        <f t="shared" si="7"/>
        <v>40298</v>
      </c>
      <c r="C115" s="23">
        <v>4.0060000000000002</v>
      </c>
      <c r="D115" s="23">
        <v>-0.35499999999999998</v>
      </c>
      <c r="E115" s="22">
        <f t="shared" si="8"/>
        <v>3.6510000000000002</v>
      </c>
      <c r="F115" s="22"/>
      <c r="G115" s="23">
        <v>11.3536193121212</v>
      </c>
    </row>
    <row r="116" spans="1:7" x14ac:dyDescent="0.3">
      <c r="A116">
        <f t="shared" si="6"/>
        <v>2010</v>
      </c>
      <c r="B116" s="19">
        <f t="shared" si="7"/>
        <v>40329</v>
      </c>
      <c r="C116" s="23">
        <v>3.9710000000000001</v>
      </c>
      <c r="D116" s="23">
        <v>-0.35499999999999998</v>
      </c>
      <c r="E116" s="22">
        <f t="shared" si="8"/>
        <v>3.6160000000000001</v>
      </c>
      <c r="F116" s="22"/>
      <c r="G116" s="23">
        <v>11.3740723888889</v>
      </c>
    </row>
    <row r="117" spans="1:7" x14ac:dyDescent="0.3">
      <c r="A117">
        <f t="shared" si="6"/>
        <v>2010</v>
      </c>
      <c r="B117" s="19">
        <f t="shared" si="7"/>
        <v>40359</v>
      </c>
      <c r="C117" s="23">
        <v>3.9910000000000001</v>
      </c>
      <c r="D117" s="23">
        <v>-0.35499999999999998</v>
      </c>
      <c r="E117" s="22">
        <f t="shared" si="8"/>
        <v>3.6360000000000001</v>
      </c>
      <c r="F117" s="22"/>
      <c r="G117" s="23">
        <v>11.3948884454545</v>
      </c>
    </row>
    <row r="118" spans="1:7" x14ac:dyDescent="0.3">
      <c r="A118">
        <f t="shared" si="6"/>
        <v>2010</v>
      </c>
      <c r="B118" s="19">
        <f t="shared" si="7"/>
        <v>40390</v>
      </c>
      <c r="C118" s="23">
        <v>3.984</v>
      </c>
      <c r="D118" s="23">
        <v>-0.35499999999999998</v>
      </c>
      <c r="E118" s="22">
        <f t="shared" si="8"/>
        <v>3.629</v>
      </c>
      <c r="F118" s="22"/>
      <c r="G118" s="23">
        <v>11.660047012121201</v>
      </c>
    </row>
    <row r="119" spans="1:7" x14ac:dyDescent="0.3">
      <c r="A119">
        <f t="shared" si="6"/>
        <v>2010</v>
      </c>
      <c r="B119" s="19">
        <f t="shared" si="7"/>
        <v>40421</v>
      </c>
      <c r="C119" s="23">
        <v>3.9860000000000002</v>
      </c>
      <c r="D119" s="23">
        <v>-0.35499999999999998</v>
      </c>
      <c r="E119" s="22">
        <f t="shared" si="8"/>
        <v>3.6310000000000002</v>
      </c>
      <c r="F119" s="22"/>
      <c r="G119" s="23">
        <v>11.680409343939401</v>
      </c>
    </row>
    <row r="120" spans="1:7" x14ac:dyDescent="0.3">
      <c r="A120">
        <f t="shared" si="6"/>
        <v>2010</v>
      </c>
      <c r="B120" s="19">
        <f t="shared" si="7"/>
        <v>40451</v>
      </c>
      <c r="C120" s="23">
        <v>4.0030000000000001</v>
      </c>
      <c r="D120" s="23">
        <v>-0.35499999999999998</v>
      </c>
      <c r="E120" s="22">
        <f t="shared" si="8"/>
        <v>3.6480000000000001</v>
      </c>
      <c r="F120" s="22"/>
      <c r="G120" s="23">
        <v>11.7013161454545</v>
      </c>
    </row>
    <row r="121" spans="1:7" x14ac:dyDescent="0.3">
      <c r="A121">
        <f t="shared" si="6"/>
        <v>2010</v>
      </c>
      <c r="B121" s="19">
        <f t="shared" si="7"/>
        <v>40482</v>
      </c>
      <c r="C121" s="23">
        <v>4.0129999999999999</v>
      </c>
      <c r="D121" s="23">
        <v>-0.35499999999999998</v>
      </c>
      <c r="E121" s="22">
        <f t="shared" si="8"/>
        <v>3.6579999999999999</v>
      </c>
      <c r="F121" s="22"/>
      <c r="G121" s="23">
        <v>12.4285284222222</v>
      </c>
    </row>
    <row r="122" spans="1:7" x14ac:dyDescent="0.3">
      <c r="A122">
        <f t="shared" si="6"/>
        <v>2010</v>
      </c>
      <c r="B122" s="19">
        <f t="shared" si="7"/>
        <v>40512</v>
      </c>
      <c r="C122" s="23">
        <v>4.1580000000000004</v>
      </c>
      <c r="D122" s="23">
        <v>-0.28999999999999998</v>
      </c>
      <c r="E122" s="22">
        <f t="shared" si="8"/>
        <v>3.8680000000000003</v>
      </c>
      <c r="F122" s="22"/>
      <c r="G122" s="23">
        <v>12.450025065909101</v>
      </c>
    </row>
    <row r="123" spans="1:7" x14ac:dyDescent="0.3">
      <c r="A123">
        <f t="shared" si="6"/>
        <v>2010</v>
      </c>
      <c r="B123" s="19">
        <f t="shared" si="7"/>
        <v>40543</v>
      </c>
      <c r="C123" s="23">
        <v>4.298</v>
      </c>
      <c r="D123" s="23">
        <v>-0.28999999999999998</v>
      </c>
      <c r="E123" s="22">
        <f t="shared" si="8"/>
        <v>4.008</v>
      </c>
      <c r="F123" s="22"/>
      <c r="G123" s="23">
        <v>12.474311130434801</v>
      </c>
    </row>
    <row r="124" spans="1:7" x14ac:dyDescent="0.3">
      <c r="A124">
        <f t="shared" si="6"/>
        <v>2011</v>
      </c>
      <c r="B124" s="19">
        <f t="shared" si="7"/>
        <v>40574</v>
      </c>
      <c r="C124" s="23">
        <v>4.5510000000000002</v>
      </c>
      <c r="D124" s="23">
        <v>-0.28999999999999998</v>
      </c>
      <c r="E124" s="22">
        <f t="shared" si="8"/>
        <v>4.2610000000000001</v>
      </c>
      <c r="F124" s="22"/>
      <c r="G124" s="23">
        <v>11.7802442833333</v>
      </c>
    </row>
    <row r="125" spans="1:7" x14ac:dyDescent="0.3">
      <c r="A125">
        <f t="shared" si="6"/>
        <v>2011</v>
      </c>
      <c r="B125" s="19">
        <f t="shared" si="7"/>
        <v>40602</v>
      </c>
      <c r="C125" s="23">
        <v>4.4059999999999997</v>
      </c>
      <c r="D125" s="23">
        <v>-0.28999999999999998</v>
      </c>
      <c r="E125" s="22">
        <f t="shared" si="8"/>
        <v>4.1159999999999997</v>
      </c>
      <c r="F125" s="22"/>
      <c r="G125" s="23">
        <v>11.803573975000001</v>
      </c>
    </row>
    <row r="126" spans="1:7" x14ac:dyDescent="0.3">
      <c r="A126">
        <f t="shared" si="6"/>
        <v>2011</v>
      </c>
      <c r="B126" s="19">
        <f t="shared" si="7"/>
        <v>40633</v>
      </c>
      <c r="C126" s="23">
        <v>4.2709999999999999</v>
      </c>
      <c r="D126" s="23">
        <v>-0.28999999999999998</v>
      </c>
      <c r="E126" s="22">
        <f t="shared" si="8"/>
        <v>3.9809999999999999</v>
      </c>
      <c r="F126" s="22"/>
      <c r="G126" s="23">
        <v>11.8280233804348</v>
      </c>
    </row>
    <row r="127" spans="1:7" x14ac:dyDescent="0.3">
      <c r="A127">
        <f t="shared" si="6"/>
        <v>2011</v>
      </c>
      <c r="B127" s="19">
        <f t="shared" si="7"/>
        <v>40663</v>
      </c>
      <c r="C127" s="23">
        <v>4.1159999999999997</v>
      </c>
      <c r="D127" s="23">
        <v>0</v>
      </c>
      <c r="E127" s="22">
        <f t="shared" si="8"/>
        <v>4.1159999999999997</v>
      </c>
      <c r="F127" s="22"/>
      <c r="G127" s="23">
        <v>11.6170237333333</v>
      </c>
    </row>
    <row r="128" spans="1:7" x14ac:dyDescent="0.3">
      <c r="A128">
        <f t="shared" si="6"/>
        <v>2011</v>
      </c>
      <c r="B128" s="19">
        <f t="shared" si="7"/>
        <v>40694</v>
      </c>
      <c r="C128" s="23">
        <v>4.0810000000000004</v>
      </c>
      <c r="D128" s="23">
        <v>0</v>
      </c>
      <c r="E128" s="22">
        <f t="shared" si="8"/>
        <v>4.0810000000000004</v>
      </c>
      <c r="F128" s="22"/>
      <c r="G128" s="23">
        <v>11.6405167659091</v>
      </c>
    </row>
    <row r="129" spans="1:7" x14ac:dyDescent="0.3">
      <c r="A129">
        <f t="shared" si="6"/>
        <v>2011</v>
      </c>
      <c r="B129" s="19">
        <f t="shared" si="7"/>
        <v>40724</v>
      </c>
      <c r="C129" s="23">
        <v>4.101</v>
      </c>
      <c r="D129" s="23">
        <v>0</v>
      </c>
      <c r="E129" s="22">
        <f t="shared" si="8"/>
        <v>4.101</v>
      </c>
      <c r="F129" s="22"/>
      <c r="G129" s="23">
        <v>11.664554268181799</v>
      </c>
    </row>
    <row r="130" spans="1:7" x14ac:dyDescent="0.3">
      <c r="A130">
        <f t="shared" si="6"/>
        <v>2011</v>
      </c>
      <c r="B130" s="19">
        <f t="shared" si="7"/>
        <v>40755</v>
      </c>
      <c r="C130" s="23">
        <v>4.0940000000000003</v>
      </c>
      <c r="D130" s="23">
        <v>0</v>
      </c>
      <c r="E130" s="22">
        <f t="shared" si="8"/>
        <v>4.0940000000000003</v>
      </c>
      <c r="F130" s="22"/>
      <c r="G130" s="23">
        <v>11.932584912499999</v>
      </c>
    </row>
    <row r="131" spans="1:7" x14ac:dyDescent="0.3">
      <c r="A131">
        <f t="shared" si="6"/>
        <v>2011</v>
      </c>
      <c r="B131" s="19">
        <f t="shared" si="7"/>
        <v>40786</v>
      </c>
      <c r="C131" s="23">
        <v>4.0960000000000001</v>
      </c>
      <c r="D131" s="23">
        <v>0</v>
      </c>
      <c r="E131" s="22">
        <f t="shared" si="8"/>
        <v>4.0960000000000001</v>
      </c>
      <c r="F131" s="22"/>
      <c r="G131" s="23">
        <v>11.9561945326087</v>
      </c>
    </row>
    <row r="132" spans="1:7" x14ac:dyDescent="0.3">
      <c r="A132">
        <f t="shared" si="6"/>
        <v>2011</v>
      </c>
      <c r="B132" s="19">
        <f t="shared" si="7"/>
        <v>40816</v>
      </c>
      <c r="C132" s="23">
        <v>4.1130000000000004</v>
      </c>
      <c r="D132" s="23">
        <v>0</v>
      </c>
      <c r="E132" s="22">
        <f t="shared" si="8"/>
        <v>4.1130000000000004</v>
      </c>
      <c r="F132" s="22"/>
      <c r="G132" s="23">
        <v>11.9799657181818</v>
      </c>
    </row>
    <row r="133" spans="1:7" x14ac:dyDescent="0.3">
      <c r="A133">
        <f t="shared" ref="A133:A196" si="9">YEAR(B133)</f>
        <v>2011</v>
      </c>
      <c r="B133" s="19">
        <f t="shared" ref="B133:B196" si="10">EOMONTH(B132,1)</f>
        <v>40847</v>
      </c>
      <c r="C133" s="23">
        <v>4.1230000000000002</v>
      </c>
      <c r="D133" s="23">
        <v>0</v>
      </c>
      <c r="E133" s="22">
        <f t="shared" ref="E133:E196" si="11">C133+D133</f>
        <v>4.1230000000000002</v>
      </c>
      <c r="F133" s="22"/>
      <c r="G133" s="23">
        <v>12.7100818333333</v>
      </c>
    </row>
    <row r="134" spans="1:7" x14ac:dyDescent="0.3">
      <c r="A134">
        <f t="shared" si="9"/>
        <v>2011</v>
      </c>
      <c r="B134" s="19">
        <f t="shared" si="10"/>
        <v>40877</v>
      </c>
      <c r="C134" s="23">
        <v>4.2679999999999998</v>
      </c>
      <c r="D134" s="23">
        <v>0</v>
      </c>
      <c r="E134" s="22">
        <f t="shared" si="11"/>
        <v>4.2679999999999998</v>
      </c>
      <c r="F134" s="22"/>
      <c r="G134" s="23">
        <v>12.7339832181818</v>
      </c>
    </row>
    <row r="135" spans="1:7" x14ac:dyDescent="0.3">
      <c r="A135">
        <f t="shared" si="9"/>
        <v>2011</v>
      </c>
      <c r="B135" s="19">
        <f t="shared" si="10"/>
        <v>40908</v>
      </c>
      <c r="C135" s="23">
        <v>4.4080000000000004</v>
      </c>
      <c r="D135" s="23">
        <v>0</v>
      </c>
      <c r="E135" s="22">
        <f t="shared" si="11"/>
        <v>4.4080000000000004</v>
      </c>
      <c r="F135" s="22"/>
      <c r="G135" s="23">
        <v>12.7576123681818</v>
      </c>
    </row>
    <row r="136" spans="1:7" x14ac:dyDescent="0.3">
      <c r="A136">
        <f t="shared" si="9"/>
        <v>2012</v>
      </c>
      <c r="B136" s="19">
        <f t="shared" si="10"/>
        <v>40939</v>
      </c>
      <c r="C136" s="23">
        <v>4.681</v>
      </c>
      <c r="D136" s="23">
        <v>0</v>
      </c>
      <c r="E136" s="22">
        <f t="shared" si="11"/>
        <v>4.681</v>
      </c>
      <c r="F136" s="22"/>
      <c r="G136" s="23">
        <v>12.063657965909099</v>
      </c>
    </row>
    <row r="137" spans="1:7" x14ac:dyDescent="0.3">
      <c r="A137">
        <f t="shared" si="9"/>
        <v>2012</v>
      </c>
      <c r="B137" s="19">
        <f t="shared" si="10"/>
        <v>40968</v>
      </c>
      <c r="C137" s="23">
        <v>4.5359999999999996</v>
      </c>
      <c r="D137" s="23">
        <v>0</v>
      </c>
      <c r="E137" s="22">
        <f t="shared" si="11"/>
        <v>4.5359999999999996</v>
      </c>
      <c r="F137" s="22"/>
      <c r="G137" s="23">
        <v>12.0874232333333</v>
      </c>
    </row>
    <row r="138" spans="1:7" x14ac:dyDescent="0.3">
      <c r="A138">
        <f t="shared" si="9"/>
        <v>2012</v>
      </c>
      <c r="B138" s="19">
        <f t="shared" si="10"/>
        <v>40999</v>
      </c>
      <c r="C138" s="23">
        <v>4.4009999999999998</v>
      </c>
      <c r="D138" s="23">
        <v>0</v>
      </c>
      <c r="E138" s="22">
        <f t="shared" si="11"/>
        <v>4.4009999999999998</v>
      </c>
      <c r="F138" s="22"/>
      <c r="G138" s="23">
        <v>12.111324618181801</v>
      </c>
    </row>
    <row r="139" spans="1:7" x14ac:dyDescent="0.3">
      <c r="A139">
        <f t="shared" si="9"/>
        <v>2012</v>
      </c>
      <c r="B139" s="19">
        <f t="shared" si="10"/>
        <v>41029</v>
      </c>
      <c r="C139" s="23">
        <v>4.2460000000000004</v>
      </c>
      <c r="D139" s="23">
        <v>0</v>
      </c>
      <c r="E139" s="22">
        <f t="shared" si="11"/>
        <v>4.2460000000000004</v>
      </c>
      <c r="F139" s="22"/>
      <c r="G139" s="23">
        <v>11.9001457357143</v>
      </c>
    </row>
    <row r="140" spans="1:7" x14ac:dyDescent="0.3">
      <c r="A140">
        <f t="shared" si="9"/>
        <v>2012</v>
      </c>
      <c r="B140" s="19">
        <f t="shared" si="10"/>
        <v>41060</v>
      </c>
      <c r="C140" s="23">
        <v>4.2110000000000003</v>
      </c>
      <c r="D140" s="23">
        <v>0</v>
      </c>
      <c r="E140" s="22">
        <f t="shared" si="11"/>
        <v>4.2110000000000003</v>
      </c>
      <c r="F140" s="22"/>
      <c r="G140" s="23">
        <v>11.9247234804348</v>
      </c>
    </row>
    <row r="141" spans="1:7" x14ac:dyDescent="0.3">
      <c r="A141">
        <f t="shared" si="9"/>
        <v>2012</v>
      </c>
      <c r="B141" s="19">
        <f t="shared" si="10"/>
        <v>41090</v>
      </c>
      <c r="C141" s="23">
        <v>4.2309999999999999</v>
      </c>
      <c r="D141" s="23">
        <v>0</v>
      </c>
      <c r="E141" s="22">
        <f t="shared" si="11"/>
        <v>4.2309999999999999</v>
      </c>
      <c r="F141" s="22"/>
      <c r="G141" s="23">
        <v>11.9478318333333</v>
      </c>
    </row>
    <row r="142" spans="1:7" x14ac:dyDescent="0.3">
      <c r="A142">
        <f t="shared" si="9"/>
        <v>2012</v>
      </c>
      <c r="B142" s="19">
        <f t="shared" si="10"/>
        <v>41121</v>
      </c>
      <c r="C142" s="23">
        <v>4.2240000000000002</v>
      </c>
      <c r="D142" s="23">
        <v>0</v>
      </c>
      <c r="E142" s="22">
        <f t="shared" si="11"/>
        <v>4.2240000000000002</v>
      </c>
      <c r="F142" s="22"/>
      <c r="G142" s="23">
        <v>12.2159849833333</v>
      </c>
    </row>
    <row r="143" spans="1:7" x14ac:dyDescent="0.3">
      <c r="A143">
        <f t="shared" si="9"/>
        <v>2012</v>
      </c>
      <c r="B143" s="19">
        <f t="shared" si="10"/>
        <v>41152</v>
      </c>
      <c r="C143" s="23">
        <v>4.226</v>
      </c>
      <c r="D143" s="23">
        <v>0</v>
      </c>
      <c r="E143" s="22">
        <f t="shared" si="11"/>
        <v>4.226</v>
      </c>
      <c r="F143" s="22"/>
      <c r="G143" s="23">
        <v>12.240134930434801</v>
      </c>
    </row>
    <row r="144" spans="1:7" x14ac:dyDescent="0.3">
      <c r="A144">
        <f t="shared" si="9"/>
        <v>2012</v>
      </c>
      <c r="B144" s="19">
        <f t="shared" si="10"/>
        <v>41182</v>
      </c>
      <c r="C144" s="23">
        <v>4.2430000000000003</v>
      </c>
      <c r="D144" s="23">
        <v>0</v>
      </c>
      <c r="E144" s="22">
        <f t="shared" si="11"/>
        <v>4.2430000000000003</v>
      </c>
      <c r="F144" s="22"/>
      <c r="G144" s="23">
        <v>12.262943825000001</v>
      </c>
    </row>
    <row r="145" spans="1:7" x14ac:dyDescent="0.3">
      <c r="A145">
        <f t="shared" si="9"/>
        <v>2012</v>
      </c>
      <c r="B145" s="19">
        <f t="shared" si="10"/>
        <v>41213</v>
      </c>
      <c r="C145" s="23">
        <v>4.2530000000000001</v>
      </c>
      <c r="D145" s="23">
        <v>0</v>
      </c>
      <c r="E145" s="22">
        <f t="shared" si="11"/>
        <v>4.2530000000000001</v>
      </c>
      <c r="F145" s="22"/>
      <c r="G145" s="23">
        <v>12.993761832608699</v>
      </c>
    </row>
    <row r="146" spans="1:7" x14ac:dyDescent="0.3">
      <c r="A146">
        <f t="shared" si="9"/>
        <v>2012</v>
      </c>
      <c r="B146" s="19">
        <f t="shared" si="10"/>
        <v>41243</v>
      </c>
      <c r="C146" s="23">
        <v>4.3979999999999997</v>
      </c>
      <c r="D146" s="23">
        <v>0</v>
      </c>
      <c r="E146" s="22">
        <f t="shared" si="11"/>
        <v>4.3979999999999997</v>
      </c>
      <c r="F146" s="22"/>
      <c r="G146" s="23">
        <v>13.017533018181799</v>
      </c>
    </row>
    <row r="147" spans="1:7" x14ac:dyDescent="0.3">
      <c r="A147">
        <f t="shared" si="9"/>
        <v>2012</v>
      </c>
      <c r="B147" s="19">
        <f t="shared" si="10"/>
        <v>41274</v>
      </c>
      <c r="C147" s="23">
        <v>4.5380000000000003</v>
      </c>
      <c r="D147" s="23">
        <v>0</v>
      </c>
      <c r="E147" s="22">
        <f t="shared" si="11"/>
        <v>4.5380000000000003</v>
      </c>
      <c r="F147" s="22"/>
      <c r="G147" s="23">
        <v>13.040590475</v>
      </c>
    </row>
    <row r="148" spans="1:7" x14ac:dyDescent="0.3">
      <c r="A148">
        <f t="shared" si="9"/>
        <v>2013</v>
      </c>
      <c r="B148" s="19">
        <f t="shared" si="10"/>
        <v>41305</v>
      </c>
      <c r="C148" s="23">
        <v>4.8259999999999996</v>
      </c>
      <c r="D148" s="23">
        <v>0</v>
      </c>
      <c r="E148" s="22">
        <f t="shared" si="11"/>
        <v>4.8259999999999996</v>
      </c>
      <c r="F148" s="22"/>
      <c r="G148" s="23">
        <v>12.348024470454501</v>
      </c>
    </row>
    <row r="149" spans="1:7" x14ac:dyDescent="0.3">
      <c r="A149">
        <f t="shared" si="9"/>
        <v>2013</v>
      </c>
      <c r="B149" s="19">
        <f t="shared" si="10"/>
        <v>41333</v>
      </c>
      <c r="C149" s="23">
        <v>4.681</v>
      </c>
      <c r="D149" s="23">
        <v>0</v>
      </c>
      <c r="E149" s="22">
        <f t="shared" si="11"/>
        <v>4.681</v>
      </c>
      <c r="F149" s="22"/>
      <c r="G149" s="23">
        <v>12.370673575</v>
      </c>
    </row>
    <row r="150" spans="1:7" x14ac:dyDescent="0.3">
      <c r="A150">
        <f t="shared" si="9"/>
        <v>2013</v>
      </c>
      <c r="B150" s="19">
        <f t="shared" si="10"/>
        <v>41364</v>
      </c>
      <c r="C150" s="23">
        <v>4.5460000000000003</v>
      </c>
      <c r="D150" s="23">
        <v>0</v>
      </c>
      <c r="E150" s="22">
        <f t="shared" si="11"/>
        <v>4.5460000000000003</v>
      </c>
      <c r="F150" s="22"/>
      <c r="G150" s="23">
        <v>12.3946021833333</v>
      </c>
    </row>
    <row r="151" spans="1:7" x14ac:dyDescent="0.3">
      <c r="A151">
        <f t="shared" si="9"/>
        <v>2013</v>
      </c>
      <c r="B151" s="19">
        <f t="shared" si="10"/>
        <v>41394</v>
      </c>
      <c r="C151" s="23">
        <v>4.391</v>
      </c>
      <c r="D151" s="23">
        <v>0</v>
      </c>
      <c r="E151" s="22">
        <f t="shared" si="11"/>
        <v>4.391</v>
      </c>
      <c r="F151" s="22"/>
      <c r="G151" s="23">
        <v>12.1839872159091</v>
      </c>
    </row>
    <row r="152" spans="1:7" x14ac:dyDescent="0.3">
      <c r="A152">
        <f t="shared" si="9"/>
        <v>2013</v>
      </c>
      <c r="B152" s="19">
        <f t="shared" si="10"/>
        <v>41425</v>
      </c>
      <c r="C152" s="23">
        <v>4.3559999999999999</v>
      </c>
      <c r="D152" s="23">
        <v>0</v>
      </c>
      <c r="E152" s="22">
        <f t="shared" si="11"/>
        <v>4.3559999999999999</v>
      </c>
      <c r="F152" s="22"/>
      <c r="G152" s="23">
        <v>12.208273280434801</v>
      </c>
    </row>
    <row r="153" spans="1:7" x14ac:dyDescent="0.3">
      <c r="A153">
        <f t="shared" si="9"/>
        <v>2013</v>
      </c>
      <c r="B153" s="19">
        <f t="shared" si="10"/>
        <v>41455</v>
      </c>
      <c r="C153" s="23">
        <v>4.3760000000000003</v>
      </c>
      <c r="D153" s="23">
        <v>0</v>
      </c>
      <c r="E153" s="22">
        <f t="shared" si="11"/>
        <v>4.3760000000000003</v>
      </c>
      <c r="F153" s="22"/>
      <c r="G153" s="23">
        <v>12.231082174999999</v>
      </c>
    </row>
    <row r="154" spans="1:7" x14ac:dyDescent="0.3">
      <c r="A154">
        <f t="shared" si="9"/>
        <v>2013</v>
      </c>
      <c r="B154" s="19">
        <f t="shared" si="10"/>
        <v>41486</v>
      </c>
      <c r="C154" s="23">
        <v>4.3689999999999998</v>
      </c>
      <c r="D154" s="23">
        <v>0</v>
      </c>
      <c r="E154" s="22">
        <f t="shared" si="11"/>
        <v>4.3689999999999998</v>
      </c>
      <c r="F154" s="22"/>
      <c r="G154" s="23">
        <v>12.4998070181818</v>
      </c>
    </row>
    <row r="155" spans="1:7" x14ac:dyDescent="0.3">
      <c r="A155">
        <f t="shared" si="9"/>
        <v>2013</v>
      </c>
      <c r="B155" s="19">
        <f t="shared" si="10"/>
        <v>41517</v>
      </c>
      <c r="C155" s="23">
        <v>4.3710000000000004</v>
      </c>
      <c r="D155" s="23">
        <v>0</v>
      </c>
      <c r="E155" s="22">
        <f t="shared" si="11"/>
        <v>4.3710000000000004</v>
      </c>
      <c r="F155" s="22"/>
      <c r="G155" s="23">
        <v>12.523436168181799</v>
      </c>
    </row>
    <row r="156" spans="1:7" x14ac:dyDescent="0.3">
      <c r="A156">
        <f t="shared" si="9"/>
        <v>2013</v>
      </c>
      <c r="B156" s="19">
        <f t="shared" si="10"/>
        <v>41547</v>
      </c>
      <c r="C156" s="23">
        <v>4.3879999999999999</v>
      </c>
      <c r="D156" s="23">
        <v>0</v>
      </c>
      <c r="E156" s="22">
        <f t="shared" si="11"/>
        <v>4.3879999999999999</v>
      </c>
      <c r="F156" s="22"/>
      <c r="G156" s="23">
        <v>12.5463652857143</v>
      </c>
    </row>
    <row r="157" spans="1:7" x14ac:dyDescent="0.3">
      <c r="A157">
        <f t="shared" si="9"/>
        <v>2013</v>
      </c>
      <c r="B157" s="19">
        <f t="shared" si="10"/>
        <v>41578</v>
      </c>
      <c r="C157" s="23">
        <v>4.3979999999999997</v>
      </c>
      <c r="D157" s="23">
        <v>0</v>
      </c>
      <c r="E157" s="22">
        <f t="shared" si="11"/>
        <v>4.3979999999999997</v>
      </c>
      <c r="F157" s="22"/>
      <c r="G157" s="23">
        <v>13.2777022304348</v>
      </c>
    </row>
    <row r="158" spans="1:7" x14ac:dyDescent="0.3">
      <c r="A158">
        <f t="shared" si="9"/>
        <v>2013</v>
      </c>
      <c r="B158" s="19">
        <f t="shared" si="10"/>
        <v>41608</v>
      </c>
      <c r="C158" s="23">
        <v>4.5430000000000001</v>
      </c>
      <c r="D158" s="23">
        <v>0</v>
      </c>
      <c r="E158" s="22">
        <f t="shared" si="11"/>
        <v>4.5430000000000001</v>
      </c>
      <c r="F158" s="22"/>
      <c r="G158" s="23">
        <v>13.3008105833333</v>
      </c>
    </row>
    <row r="159" spans="1:7" x14ac:dyDescent="0.3">
      <c r="A159">
        <f t="shared" si="9"/>
        <v>2013</v>
      </c>
      <c r="B159" s="19">
        <f t="shared" si="10"/>
        <v>41639</v>
      </c>
      <c r="C159" s="23">
        <v>4.6829999999999998</v>
      </c>
      <c r="D159" s="23">
        <v>0</v>
      </c>
      <c r="E159" s="22">
        <f t="shared" si="11"/>
        <v>4.6829999999999998</v>
      </c>
      <c r="F159" s="22"/>
      <c r="G159" s="23">
        <v>13.324011935714299</v>
      </c>
    </row>
    <row r="160" spans="1:7" x14ac:dyDescent="0.3">
      <c r="A160">
        <f t="shared" si="9"/>
        <v>2014</v>
      </c>
      <c r="B160" s="19">
        <f t="shared" si="10"/>
        <v>41670</v>
      </c>
      <c r="C160" s="23">
        <v>4.976</v>
      </c>
      <c r="D160" s="23">
        <v>0</v>
      </c>
      <c r="E160" s="22">
        <f t="shared" si="11"/>
        <v>4.976</v>
      </c>
      <c r="F160" s="22"/>
      <c r="G160" s="23">
        <v>12.6315742704545</v>
      </c>
    </row>
    <row r="161" spans="1:7" x14ac:dyDescent="0.3">
      <c r="A161">
        <f t="shared" si="9"/>
        <v>2014</v>
      </c>
      <c r="B161" s="19">
        <f t="shared" si="10"/>
        <v>41698</v>
      </c>
      <c r="C161" s="23">
        <v>4.8310000000000004</v>
      </c>
      <c r="D161" s="23">
        <v>0</v>
      </c>
      <c r="E161" s="22">
        <f t="shared" si="11"/>
        <v>4.8310000000000004</v>
      </c>
      <c r="F161" s="22"/>
      <c r="G161" s="23">
        <v>12.654223375000001</v>
      </c>
    </row>
    <row r="162" spans="1:7" x14ac:dyDescent="0.3">
      <c r="A162">
        <f t="shared" si="9"/>
        <v>2014</v>
      </c>
      <c r="B162" s="19">
        <f t="shared" si="10"/>
        <v>41729</v>
      </c>
      <c r="C162" s="23">
        <v>4.6959999999999997</v>
      </c>
      <c r="D162" s="23">
        <v>0</v>
      </c>
      <c r="E162" s="22">
        <f t="shared" si="11"/>
        <v>4.6959999999999997</v>
      </c>
      <c r="F162" s="22"/>
      <c r="G162" s="23">
        <v>12.6635065833333</v>
      </c>
    </row>
    <row r="163" spans="1:7" x14ac:dyDescent="0.3">
      <c r="A163">
        <f t="shared" si="9"/>
        <v>2014</v>
      </c>
      <c r="B163" s="19">
        <f t="shared" si="10"/>
        <v>41759</v>
      </c>
      <c r="C163" s="23">
        <v>4.5410000000000004</v>
      </c>
      <c r="D163" s="23">
        <v>0</v>
      </c>
      <c r="E163" s="22">
        <f t="shared" si="11"/>
        <v>4.5410000000000004</v>
      </c>
      <c r="F163" s="22"/>
      <c r="G163" s="23">
        <v>12.4386545681818</v>
      </c>
    </row>
    <row r="164" spans="1:7" x14ac:dyDescent="0.3">
      <c r="A164">
        <f t="shared" si="9"/>
        <v>2014</v>
      </c>
      <c r="B164" s="19">
        <f t="shared" si="10"/>
        <v>41790</v>
      </c>
      <c r="C164" s="23">
        <v>4.5060000000000002</v>
      </c>
      <c r="D164" s="23">
        <v>0</v>
      </c>
      <c r="E164" s="22">
        <f t="shared" si="11"/>
        <v>4.5060000000000002</v>
      </c>
      <c r="F164" s="22"/>
      <c r="G164" s="23">
        <v>12.4476383181818</v>
      </c>
    </row>
    <row r="165" spans="1:7" x14ac:dyDescent="0.3">
      <c r="A165">
        <f t="shared" si="9"/>
        <v>2014</v>
      </c>
      <c r="B165" s="19">
        <f t="shared" si="10"/>
        <v>41820</v>
      </c>
      <c r="C165" s="23">
        <v>4.5259999999999998</v>
      </c>
      <c r="D165" s="23">
        <v>0</v>
      </c>
      <c r="E165" s="22">
        <f t="shared" si="11"/>
        <v>4.5259999999999998</v>
      </c>
      <c r="F165" s="22"/>
      <c r="G165" s="23">
        <v>12.4559220357143</v>
      </c>
    </row>
    <row r="166" spans="1:7" x14ac:dyDescent="0.3">
      <c r="A166">
        <f t="shared" si="9"/>
        <v>2014</v>
      </c>
      <c r="B166" s="19">
        <f t="shared" si="10"/>
        <v>41851</v>
      </c>
      <c r="C166" s="23">
        <v>4.5190000000000001</v>
      </c>
      <c r="D166" s="23">
        <v>0</v>
      </c>
      <c r="E166" s="22">
        <f t="shared" si="11"/>
        <v>4.5190000000000001</v>
      </c>
      <c r="F166" s="22"/>
      <c r="G166" s="23">
        <v>12.7105381704545</v>
      </c>
    </row>
    <row r="167" spans="1:7" x14ac:dyDescent="0.3">
      <c r="A167">
        <f t="shared" si="9"/>
        <v>2014</v>
      </c>
      <c r="B167" s="19">
        <f t="shared" si="10"/>
        <v>41882</v>
      </c>
      <c r="C167" s="23">
        <v>4.5209999999999999</v>
      </c>
      <c r="D167" s="23">
        <v>0</v>
      </c>
      <c r="E167" s="22">
        <f t="shared" si="11"/>
        <v>4.5209999999999999</v>
      </c>
      <c r="F167" s="22"/>
      <c r="G167" s="23">
        <v>12.7188413333333</v>
      </c>
    </row>
    <row r="168" spans="1:7" x14ac:dyDescent="0.3">
      <c r="A168">
        <f t="shared" si="9"/>
        <v>2014</v>
      </c>
      <c r="B168" s="19">
        <f t="shared" si="10"/>
        <v>41912</v>
      </c>
      <c r="C168" s="23">
        <v>4.5380000000000003</v>
      </c>
      <c r="D168" s="23">
        <v>0</v>
      </c>
      <c r="E168" s="22">
        <f t="shared" si="11"/>
        <v>4.5380000000000003</v>
      </c>
      <c r="F168" s="22"/>
      <c r="G168" s="23">
        <v>12.727688965909101</v>
      </c>
    </row>
    <row r="169" spans="1:7" x14ac:dyDescent="0.3">
      <c r="A169">
        <f t="shared" si="9"/>
        <v>2014</v>
      </c>
      <c r="B169" s="19">
        <f t="shared" si="10"/>
        <v>41943</v>
      </c>
      <c r="C169" s="23">
        <v>4.548</v>
      </c>
      <c r="D169" s="23">
        <v>0</v>
      </c>
      <c r="E169" s="22">
        <f t="shared" si="11"/>
        <v>4.548</v>
      </c>
      <c r="F169" s="22"/>
      <c r="G169" s="23">
        <v>13.444088830434699</v>
      </c>
    </row>
    <row r="170" spans="1:7" x14ac:dyDescent="0.3">
      <c r="A170">
        <f t="shared" si="9"/>
        <v>2014</v>
      </c>
      <c r="B170" s="19">
        <f t="shared" si="10"/>
        <v>41973</v>
      </c>
      <c r="C170" s="23">
        <v>4.6929999999999996</v>
      </c>
      <c r="D170" s="23">
        <v>0</v>
      </c>
      <c r="E170" s="22">
        <f t="shared" si="11"/>
        <v>4.6929999999999996</v>
      </c>
      <c r="F170" s="22"/>
      <c r="G170" s="23">
        <v>13.452252325</v>
      </c>
    </row>
    <row r="171" spans="1:7" x14ac:dyDescent="0.3">
      <c r="A171">
        <f t="shared" si="9"/>
        <v>2014</v>
      </c>
      <c r="B171" s="19">
        <f t="shared" si="10"/>
        <v>42004</v>
      </c>
      <c r="C171" s="23">
        <v>4.8330000000000002</v>
      </c>
      <c r="D171" s="23">
        <v>0</v>
      </c>
      <c r="E171" s="22">
        <f t="shared" si="11"/>
        <v>4.8330000000000002</v>
      </c>
      <c r="F171" s="22"/>
      <c r="G171" s="23">
        <v>13.461399415909099</v>
      </c>
    </row>
    <row r="172" spans="1:7" x14ac:dyDescent="0.3">
      <c r="A172">
        <f t="shared" si="9"/>
        <v>2015</v>
      </c>
      <c r="B172" s="19">
        <f t="shared" si="10"/>
        <v>42035</v>
      </c>
      <c r="C172" s="23">
        <v>5.1310000000000002</v>
      </c>
      <c r="D172" s="23">
        <v>0</v>
      </c>
      <c r="E172" s="22">
        <f t="shared" si="11"/>
        <v>5.1310000000000002</v>
      </c>
      <c r="F172" s="22"/>
      <c r="G172" s="23">
        <v>12.7537718809523</v>
      </c>
    </row>
    <row r="173" spans="1:7" x14ac:dyDescent="0.3">
      <c r="A173">
        <f t="shared" si="9"/>
        <v>2015</v>
      </c>
      <c r="B173" s="19">
        <f t="shared" si="10"/>
        <v>42063</v>
      </c>
      <c r="C173" s="23">
        <v>4.9859999999999998</v>
      </c>
      <c r="D173" s="23">
        <v>0</v>
      </c>
      <c r="E173" s="22">
        <f t="shared" si="11"/>
        <v>4.9859999999999998</v>
      </c>
      <c r="F173" s="22"/>
      <c r="G173" s="23">
        <v>12.761579187500001</v>
      </c>
    </row>
    <row r="174" spans="1:7" x14ac:dyDescent="0.3">
      <c r="A174">
        <f t="shared" si="9"/>
        <v>2015</v>
      </c>
      <c r="B174" s="19">
        <f t="shared" si="10"/>
        <v>42094</v>
      </c>
      <c r="C174" s="23">
        <v>4.851</v>
      </c>
      <c r="D174" s="23">
        <v>0</v>
      </c>
      <c r="E174" s="22">
        <f t="shared" si="11"/>
        <v>4.851</v>
      </c>
      <c r="F174" s="22"/>
      <c r="G174" s="23">
        <v>12.771175465909099</v>
      </c>
    </row>
    <row r="175" spans="1:7" x14ac:dyDescent="0.3">
      <c r="A175">
        <f t="shared" si="9"/>
        <v>2015</v>
      </c>
      <c r="B175" s="19">
        <f t="shared" si="10"/>
        <v>42124</v>
      </c>
      <c r="D175">
        <v>0</v>
      </c>
      <c r="E175" s="22">
        <f t="shared" si="11"/>
        <v>0</v>
      </c>
    </row>
    <row r="176" spans="1:7" x14ac:dyDescent="0.3">
      <c r="A176">
        <f t="shared" si="9"/>
        <v>2015</v>
      </c>
      <c r="B176" s="19">
        <f t="shared" si="10"/>
        <v>42155</v>
      </c>
      <c r="D176">
        <v>0</v>
      </c>
      <c r="E176" s="22">
        <f t="shared" si="11"/>
        <v>0</v>
      </c>
    </row>
    <row r="177" spans="1:5" x14ac:dyDescent="0.3">
      <c r="A177">
        <f t="shared" si="9"/>
        <v>2015</v>
      </c>
      <c r="B177" s="19">
        <f t="shared" si="10"/>
        <v>42185</v>
      </c>
      <c r="D177">
        <v>0</v>
      </c>
      <c r="E177" s="22">
        <f t="shared" si="11"/>
        <v>0</v>
      </c>
    </row>
    <row r="178" spans="1:5" x14ac:dyDescent="0.3">
      <c r="A178">
        <f t="shared" si="9"/>
        <v>2015</v>
      </c>
      <c r="B178" s="19">
        <f t="shared" si="10"/>
        <v>42216</v>
      </c>
      <c r="D178">
        <v>0</v>
      </c>
      <c r="E178" s="22">
        <f t="shared" si="11"/>
        <v>0</v>
      </c>
    </row>
    <row r="179" spans="1:5" x14ac:dyDescent="0.3">
      <c r="A179">
        <f t="shared" si="9"/>
        <v>2015</v>
      </c>
      <c r="B179" s="19">
        <f t="shared" si="10"/>
        <v>42247</v>
      </c>
      <c r="D179">
        <v>0</v>
      </c>
      <c r="E179" s="22">
        <f t="shared" si="11"/>
        <v>0</v>
      </c>
    </row>
    <row r="180" spans="1:5" x14ac:dyDescent="0.3">
      <c r="A180">
        <f t="shared" si="9"/>
        <v>2015</v>
      </c>
      <c r="B180" s="19">
        <f t="shared" si="10"/>
        <v>42277</v>
      </c>
      <c r="D180">
        <v>0</v>
      </c>
      <c r="E180" s="22">
        <f t="shared" si="11"/>
        <v>0</v>
      </c>
    </row>
    <row r="181" spans="1:5" x14ac:dyDescent="0.3">
      <c r="A181">
        <f t="shared" si="9"/>
        <v>2015</v>
      </c>
      <c r="B181" s="19">
        <f t="shared" si="10"/>
        <v>42308</v>
      </c>
      <c r="D181">
        <v>0</v>
      </c>
      <c r="E181" s="22">
        <f t="shared" si="11"/>
        <v>0</v>
      </c>
    </row>
    <row r="182" spans="1:5" x14ac:dyDescent="0.3">
      <c r="A182">
        <f t="shared" si="9"/>
        <v>2015</v>
      </c>
      <c r="B182" s="19">
        <f t="shared" si="10"/>
        <v>42338</v>
      </c>
      <c r="D182">
        <v>0</v>
      </c>
      <c r="E182" s="22">
        <f t="shared" si="11"/>
        <v>0</v>
      </c>
    </row>
    <row r="183" spans="1:5" x14ac:dyDescent="0.3">
      <c r="A183">
        <f t="shared" si="9"/>
        <v>2015</v>
      </c>
      <c r="B183" s="19">
        <f t="shared" si="10"/>
        <v>42369</v>
      </c>
      <c r="D183">
        <v>0</v>
      </c>
      <c r="E183" s="22">
        <f t="shared" si="11"/>
        <v>0</v>
      </c>
    </row>
    <row r="184" spans="1:5" x14ac:dyDescent="0.3">
      <c r="A184">
        <f t="shared" si="9"/>
        <v>2016</v>
      </c>
      <c r="B184" s="19">
        <f t="shared" si="10"/>
        <v>42400</v>
      </c>
      <c r="D184">
        <v>0</v>
      </c>
      <c r="E184" s="22">
        <f t="shared" si="11"/>
        <v>0</v>
      </c>
    </row>
    <row r="185" spans="1:5" x14ac:dyDescent="0.3">
      <c r="A185">
        <f t="shared" si="9"/>
        <v>2016</v>
      </c>
      <c r="B185" s="19">
        <f t="shared" si="10"/>
        <v>42429</v>
      </c>
      <c r="D185">
        <v>0</v>
      </c>
      <c r="E185" s="22">
        <f t="shared" si="11"/>
        <v>0</v>
      </c>
    </row>
    <row r="186" spans="1:5" x14ac:dyDescent="0.3">
      <c r="A186">
        <f t="shared" si="9"/>
        <v>2016</v>
      </c>
      <c r="B186" s="19">
        <f t="shared" si="10"/>
        <v>42460</v>
      </c>
      <c r="D186">
        <v>0</v>
      </c>
      <c r="E186" s="22">
        <f t="shared" si="11"/>
        <v>0</v>
      </c>
    </row>
    <row r="187" spans="1:5" x14ac:dyDescent="0.3">
      <c r="A187">
        <f t="shared" si="9"/>
        <v>2016</v>
      </c>
      <c r="B187" s="19">
        <f t="shared" si="10"/>
        <v>42490</v>
      </c>
      <c r="D187">
        <v>0</v>
      </c>
      <c r="E187" s="22">
        <f t="shared" si="11"/>
        <v>0</v>
      </c>
    </row>
    <row r="188" spans="1:5" x14ac:dyDescent="0.3">
      <c r="A188">
        <f t="shared" si="9"/>
        <v>2016</v>
      </c>
      <c r="B188" s="19">
        <f t="shared" si="10"/>
        <v>42521</v>
      </c>
      <c r="D188">
        <v>0</v>
      </c>
      <c r="E188" s="22">
        <f t="shared" si="11"/>
        <v>0</v>
      </c>
    </row>
    <row r="189" spans="1:5" x14ac:dyDescent="0.3">
      <c r="A189">
        <f t="shared" si="9"/>
        <v>2016</v>
      </c>
      <c r="B189" s="19">
        <f t="shared" si="10"/>
        <v>42551</v>
      </c>
      <c r="D189">
        <v>0</v>
      </c>
      <c r="E189" s="22">
        <f t="shared" si="11"/>
        <v>0</v>
      </c>
    </row>
    <row r="190" spans="1:5" x14ac:dyDescent="0.3">
      <c r="A190">
        <f t="shared" si="9"/>
        <v>2016</v>
      </c>
      <c r="B190" s="19">
        <f t="shared" si="10"/>
        <v>42582</v>
      </c>
      <c r="D190">
        <v>0</v>
      </c>
      <c r="E190" s="22">
        <f t="shared" si="11"/>
        <v>0</v>
      </c>
    </row>
    <row r="191" spans="1:5" x14ac:dyDescent="0.3">
      <c r="A191">
        <f t="shared" si="9"/>
        <v>2016</v>
      </c>
      <c r="B191" s="19">
        <f t="shared" si="10"/>
        <v>42613</v>
      </c>
      <c r="D191">
        <v>0</v>
      </c>
      <c r="E191" s="22">
        <f t="shared" si="11"/>
        <v>0</v>
      </c>
    </row>
    <row r="192" spans="1:5" x14ac:dyDescent="0.3">
      <c r="A192">
        <f t="shared" si="9"/>
        <v>2016</v>
      </c>
      <c r="B192" s="19">
        <f t="shared" si="10"/>
        <v>42643</v>
      </c>
      <c r="D192">
        <v>0</v>
      </c>
      <c r="E192" s="22">
        <f t="shared" si="11"/>
        <v>0</v>
      </c>
    </row>
    <row r="193" spans="1:5" x14ac:dyDescent="0.3">
      <c r="A193">
        <f t="shared" si="9"/>
        <v>2016</v>
      </c>
      <c r="B193" s="19">
        <f t="shared" si="10"/>
        <v>42674</v>
      </c>
      <c r="D193">
        <v>0</v>
      </c>
      <c r="E193" s="22">
        <f t="shared" si="11"/>
        <v>0</v>
      </c>
    </row>
    <row r="194" spans="1:5" x14ac:dyDescent="0.3">
      <c r="A194">
        <f t="shared" si="9"/>
        <v>2016</v>
      </c>
      <c r="B194" s="19">
        <f t="shared" si="10"/>
        <v>42704</v>
      </c>
      <c r="D194">
        <v>0</v>
      </c>
      <c r="E194" s="22">
        <f t="shared" si="11"/>
        <v>0</v>
      </c>
    </row>
    <row r="195" spans="1:5" x14ac:dyDescent="0.3">
      <c r="A195">
        <f t="shared" si="9"/>
        <v>2016</v>
      </c>
      <c r="B195" s="19">
        <f t="shared" si="10"/>
        <v>42735</v>
      </c>
      <c r="D195">
        <v>0</v>
      </c>
      <c r="E195" s="22">
        <f t="shared" si="11"/>
        <v>0</v>
      </c>
    </row>
    <row r="196" spans="1:5" x14ac:dyDescent="0.3">
      <c r="A196">
        <f t="shared" si="9"/>
        <v>2017</v>
      </c>
      <c r="B196" s="19">
        <f t="shared" si="10"/>
        <v>42766</v>
      </c>
      <c r="D196">
        <v>0</v>
      </c>
      <c r="E196" s="22">
        <f t="shared" si="11"/>
        <v>0</v>
      </c>
    </row>
    <row r="197" spans="1:5" x14ac:dyDescent="0.3">
      <c r="A197">
        <f t="shared" ref="A197:A260" si="12">YEAR(B197)</f>
        <v>2017</v>
      </c>
      <c r="B197" s="19">
        <f t="shared" ref="B197:B260" si="13">EOMONTH(B196,1)</f>
        <v>42794</v>
      </c>
      <c r="D197">
        <v>0</v>
      </c>
      <c r="E197" s="22">
        <f t="shared" ref="E197:E260" si="14">C197+D197</f>
        <v>0</v>
      </c>
    </row>
    <row r="198" spans="1:5" x14ac:dyDescent="0.3">
      <c r="A198">
        <f t="shared" si="12"/>
        <v>2017</v>
      </c>
      <c r="B198" s="19">
        <f t="shared" si="13"/>
        <v>42825</v>
      </c>
      <c r="D198">
        <v>0</v>
      </c>
      <c r="E198" s="22">
        <f t="shared" si="14"/>
        <v>0</v>
      </c>
    </row>
    <row r="199" spans="1:5" x14ac:dyDescent="0.3">
      <c r="A199">
        <f t="shared" si="12"/>
        <v>2017</v>
      </c>
      <c r="B199" s="19">
        <f t="shared" si="13"/>
        <v>42855</v>
      </c>
      <c r="D199">
        <v>0</v>
      </c>
      <c r="E199" s="22">
        <f t="shared" si="14"/>
        <v>0</v>
      </c>
    </row>
    <row r="200" spans="1:5" x14ac:dyDescent="0.3">
      <c r="A200">
        <f t="shared" si="12"/>
        <v>2017</v>
      </c>
      <c r="B200" s="19">
        <f t="shared" si="13"/>
        <v>42886</v>
      </c>
      <c r="D200">
        <v>0</v>
      </c>
      <c r="E200" s="22">
        <f t="shared" si="14"/>
        <v>0</v>
      </c>
    </row>
    <row r="201" spans="1:5" x14ac:dyDescent="0.3">
      <c r="A201">
        <f t="shared" si="12"/>
        <v>2017</v>
      </c>
      <c r="B201" s="19">
        <f t="shared" si="13"/>
        <v>42916</v>
      </c>
      <c r="D201">
        <v>0</v>
      </c>
      <c r="E201" s="22">
        <f t="shared" si="14"/>
        <v>0</v>
      </c>
    </row>
    <row r="202" spans="1:5" x14ac:dyDescent="0.3">
      <c r="A202">
        <f t="shared" si="12"/>
        <v>2017</v>
      </c>
      <c r="B202" s="19">
        <f t="shared" si="13"/>
        <v>42947</v>
      </c>
      <c r="D202">
        <v>0</v>
      </c>
      <c r="E202" s="22">
        <f t="shared" si="14"/>
        <v>0</v>
      </c>
    </row>
    <row r="203" spans="1:5" x14ac:dyDescent="0.3">
      <c r="A203">
        <f t="shared" si="12"/>
        <v>2017</v>
      </c>
      <c r="B203" s="19">
        <f t="shared" si="13"/>
        <v>42978</v>
      </c>
      <c r="D203">
        <v>0</v>
      </c>
      <c r="E203" s="22">
        <f t="shared" si="14"/>
        <v>0</v>
      </c>
    </row>
    <row r="204" spans="1:5" x14ac:dyDescent="0.3">
      <c r="A204">
        <f t="shared" si="12"/>
        <v>2017</v>
      </c>
      <c r="B204" s="19">
        <f t="shared" si="13"/>
        <v>43008</v>
      </c>
      <c r="D204">
        <v>0</v>
      </c>
      <c r="E204" s="22">
        <f t="shared" si="14"/>
        <v>0</v>
      </c>
    </row>
    <row r="205" spans="1:5" x14ac:dyDescent="0.3">
      <c r="A205">
        <f t="shared" si="12"/>
        <v>2017</v>
      </c>
      <c r="B205" s="19">
        <f t="shared" si="13"/>
        <v>43039</v>
      </c>
      <c r="D205">
        <v>0</v>
      </c>
      <c r="E205" s="22">
        <f t="shared" si="14"/>
        <v>0</v>
      </c>
    </row>
    <row r="206" spans="1:5" x14ac:dyDescent="0.3">
      <c r="A206">
        <f t="shared" si="12"/>
        <v>2017</v>
      </c>
      <c r="B206" s="19">
        <f t="shared" si="13"/>
        <v>43069</v>
      </c>
      <c r="D206">
        <v>0</v>
      </c>
      <c r="E206" s="22">
        <f t="shared" si="14"/>
        <v>0</v>
      </c>
    </row>
    <row r="207" spans="1:5" x14ac:dyDescent="0.3">
      <c r="A207">
        <f t="shared" si="12"/>
        <v>2017</v>
      </c>
      <c r="B207" s="19">
        <f t="shared" si="13"/>
        <v>43100</v>
      </c>
      <c r="D207">
        <v>0</v>
      </c>
      <c r="E207" s="22">
        <f t="shared" si="14"/>
        <v>0</v>
      </c>
    </row>
    <row r="208" spans="1:5" x14ac:dyDescent="0.3">
      <c r="A208">
        <f t="shared" si="12"/>
        <v>2018</v>
      </c>
      <c r="B208" s="19">
        <f t="shared" si="13"/>
        <v>43131</v>
      </c>
      <c r="D208">
        <v>0</v>
      </c>
      <c r="E208" s="22">
        <f t="shared" si="14"/>
        <v>0</v>
      </c>
    </row>
    <row r="209" spans="1:5" x14ac:dyDescent="0.3">
      <c r="A209">
        <f t="shared" si="12"/>
        <v>2018</v>
      </c>
      <c r="B209" s="19">
        <f t="shared" si="13"/>
        <v>43159</v>
      </c>
      <c r="D209">
        <v>0</v>
      </c>
      <c r="E209" s="22">
        <f t="shared" si="14"/>
        <v>0</v>
      </c>
    </row>
    <row r="210" spans="1:5" x14ac:dyDescent="0.3">
      <c r="A210">
        <f t="shared" si="12"/>
        <v>2018</v>
      </c>
      <c r="B210" s="19">
        <f t="shared" si="13"/>
        <v>43190</v>
      </c>
      <c r="D210">
        <v>0</v>
      </c>
      <c r="E210" s="22">
        <f t="shared" si="14"/>
        <v>0</v>
      </c>
    </row>
    <row r="211" spans="1:5" x14ac:dyDescent="0.3">
      <c r="A211">
        <f t="shared" si="12"/>
        <v>2018</v>
      </c>
      <c r="B211" s="19">
        <f t="shared" si="13"/>
        <v>43220</v>
      </c>
      <c r="D211">
        <v>0</v>
      </c>
      <c r="E211" s="22">
        <f t="shared" si="14"/>
        <v>0</v>
      </c>
    </row>
    <row r="212" spans="1:5" x14ac:dyDescent="0.3">
      <c r="A212">
        <f t="shared" si="12"/>
        <v>2018</v>
      </c>
      <c r="B212" s="19">
        <f t="shared" si="13"/>
        <v>43251</v>
      </c>
      <c r="D212">
        <v>0</v>
      </c>
      <c r="E212" s="22">
        <f t="shared" si="14"/>
        <v>0</v>
      </c>
    </row>
    <row r="213" spans="1:5" x14ac:dyDescent="0.3">
      <c r="A213">
        <f t="shared" si="12"/>
        <v>2018</v>
      </c>
      <c r="B213" s="19">
        <f t="shared" si="13"/>
        <v>43281</v>
      </c>
      <c r="D213">
        <v>0</v>
      </c>
      <c r="E213" s="22">
        <f t="shared" si="14"/>
        <v>0</v>
      </c>
    </row>
    <row r="214" spans="1:5" x14ac:dyDescent="0.3">
      <c r="A214">
        <f t="shared" si="12"/>
        <v>2018</v>
      </c>
      <c r="B214" s="19">
        <f t="shared" si="13"/>
        <v>43312</v>
      </c>
      <c r="D214">
        <v>0</v>
      </c>
      <c r="E214" s="22">
        <f t="shared" si="14"/>
        <v>0</v>
      </c>
    </row>
    <row r="215" spans="1:5" x14ac:dyDescent="0.3">
      <c r="A215">
        <f t="shared" si="12"/>
        <v>2018</v>
      </c>
      <c r="B215" s="19">
        <f t="shared" si="13"/>
        <v>43343</v>
      </c>
      <c r="D215">
        <v>0</v>
      </c>
      <c r="E215" s="22">
        <f t="shared" si="14"/>
        <v>0</v>
      </c>
    </row>
    <row r="216" spans="1:5" x14ac:dyDescent="0.3">
      <c r="A216">
        <f t="shared" si="12"/>
        <v>2018</v>
      </c>
      <c r="B216" s="19">
        <f t="shared" si="13"/>
        <v>43373</v>
      </c>
      <c r="D216">
        <v>0</v>
      </c>
      <c r="E216" s="22">
        <f t="shared" si="14"/>
        <v>0</v>
      </c>
    </row>
    <row r="217" spans="1:5" x14ac:dyDescent="0.3">
      <c r="A217">
        <f t="shared" si="12"/>
        <v>2018</v>
      </c>
      <c r="B217" s="19">
        <f t="shared" si="13"/>
        <v>43404</v>
      </c>
      <c r="D217">
        <v>0</v>
      </c>
      <c r="E217" s="22">
        <f t="shared" si="14"/>
        <v>0</v>
      </c>
    </row>
    <row r="218" spans="1:5" x14ac:dyDescent="0.3">
      <c r="A218">
        <f t="shared" si="12"/>
        <v>2018</v>
      </c>
      <c r="B218" s="19">
        <f t="shared" si="13"/>
        <v>43434</v>
      </c>
      <c r="D218">
        <v>0</v>
      </c>
      <c r="E218" s="22">
        <f t="shared" si="14"/>
        <v>0</v>
      </c>
    </row>
    <row r="219" spans="1:5" x14ac:dyDescent="0.3">
      <c r="A219">
        <f t="shared" si="12"/>
        <v>2018</v>
      </c>
      <c r="B219" s="19">
        <f t="shared" si="13"/>
        <v>43465</v>
      </c>
      <c r="D219">
        <v>0</v>
      </c>
      <c r="E219" s="22">
        <f t="shared" si="14"/>
        <v>0</v>
      </c>
    </row>
    <row r="220" spans="1:5" x14ac:dyDescent="0.3">
      <c r="A220">
        <f t="shared" si="12"/>
        <v>2019</v>
      </c>
      <c r="B220" s="19">
        <f t="shared" si="13"/>
        <v>43496</v>
      </c>
      <c r="D220">
        <v>0</v>
      </c>
      <c r="E220" s="22">
        <f t="shared" si="14"/>
        <v>0</v>
      </c>
    </row>
    <row r="221" spans="1:5" x14ac:dyDescent="0.3">
      <c r="A221">
        <f t="shared" si="12"/>
        <v>2019</v>
      </c>
      <c r="B221" s="19">
        <f t="shared" si="13"/>
        <v>43524</v>
      </c>
      <c r="D221">
        <v>0</v>
      </c>
      <c r="E221" s="22">
        <f t="shared" si="14"/>
        <v>0</v>
      </c>
    </row>
    <row r="222" spans="1:5" x14ac:dyDescent="0.3">
      <c r="A222">
        <f t="shared" si="12"/>
        <v>2019</v>
      </c>
      <c r="B222" s="19">
        <f t="shared" si="13"/>
        <v>43555</v>
      </c>
      <c r="D222">
        <v>0</v>
      </c>
      <c r="E222" s="22">
        <f t="shared" si="14"/>
        <v>0</v>
      </c>
    </row>
    <row r="223" spans="1:5" x14ac:dyDescent="0.3">
      <c r="A223">
        <f t="shared" si="12"/>
        <v>2019</v>
      </c>
      <c r="B223" s="19">
        <f t="shared" si="13"/>
        <v>43585</v>
      </c>
      <c r="D223">
        <v>0</v>
      </c>
      <c r="E223" s="22">
        <f t="shared" si="14"/>
        <v>0</v>
      </c>
    </row>
    <row r="224" spans="1:5" x14ac:dyDescent="0.3">
      <c r="A224">
        <f t="shared" si="12"/>
        <v>2019</v>
      </c>
      <c r="B224" s="19">
        <f t="shared" si="13"/>
        <v>43616</v>
      </c>
      <c r="D224">
        <v>0</v>
      </c>
      <c r="E224" s="22">
        <f t="shared" si="14"/>
        <v>0</v>
      </c>
    </row>
    <row r="225" spans="1:5" x14ac:dyDescent="0.3">
      <c r="A225">
        <f t="shared" si="12"/>
        <v>2019</v>
      </c>
      <c r="B225" s="19">
        <f t="shared" si="13"/>
        <v>43646</v>
      </c>
      <c r="D225">
        <v>0</v>
      </c>
      <c r="E225" s="22">
        <f t="shared" si="14"/>
        <v>0</v>
      </c>
    </row>
    <row r="226" spans="1:5" x14ac:dyDescent="0.3">
      <c r="A226">
        <f t="shared" si="12"/>
        <v>2019</v>
      </c>
      <c r="B226" s="19">
        <f t="shared" si="13"/>
        <v>43677</v>
      </c>
      <c r="D226">
        <v>0</v>
      </c>
      <c r="E226" s="22">
        <f t="shared" si="14"/>
        <v>0</v>
      </c>
    </row>
    <row r="227" spans="1:5" x14ac:dyDescent="0.3">
      <c r="A227">
        <f t="shared" si="12"/>
        <v>2019</v>
      </c>
      <c r="B227" s="19">
        <f t="shared" si="13"/>
        <v>43708</v>
      </c>
      <c r="D227">
        <v>0</v>
      </c>
      <c r="E227" s="22">
        <f t="shared" si="14"/>
        <v>0</v>
      </c>
    </row>
    <row r="228" spans="1:5" x14ac:dyDescent="0.3">
      <c r="A228">
        <f t="shared" si="12"/>
        <v>2019</v>
      </c>
      <c r="B228" s="19">
        <f t="shared" si="13"/>
        <v>43738</v>
      </c>
      <c r="D228">
        <v>0</v>
      </c>
      <c r="E228" s="22">
        <f t="shared" si="14"/>
        <v>0</v>
      </c>
    </row>
    <row r="229" spans="1:5" x14ac:dyDescent="0.3">
      <c r="A229">
        <f t="shared" si="12"/>
        <v>2019</v>
      </c>
      <c r="B229" s="19">
        <f t="shared" si="13"/>
        <v>43769</v>
      </c>
      <c r="D229">
        <v>0</v>
      </c>
      <c r="E229" s="22">
        <f t="shared" si="14"/>
        <v>0</v>
      </c>
    </row>
    <row r="230" spans="1:5" x14ac:dyDescent="0.3">
      <c r="A230">
        <f t="shared" si="12"/>
        <v>2019</v>
      </c>
      <c r="B230" s="19">
        <f t="shared" si="13"/>
        <v>43799</v>
      </c>
      <c r="D230">
        <v>0</v>
      </c>
      <c r="E230" s="22">
        <f t="shared" si="14"/>
        <v>0</v>
      </c>
    </row>
    <row r="231" spans="1:5" x14ac:dyDescent="0.3">
      <c r="A231">
        <f t="shared" si="12"/>
        <v>2019</v>
      </c>
      <c r="B231" s="19">
        <f t="shared" si="13"/>
        <v>43830</v>
      </c>
      <c r="D231">
        <v>0</v>
      </c>
      <c r="E231" s="22">
        <f t="shared" si="14"/>
        <v>0</v>
      </c>
    </row>
    <row r="232" spans="1:5" x14ac:dyDescent="0.3">
      <c r="A232">
        <f t="shared" si="12"/>
        <v>2020</v>
      </c>
      <c r="B232" s="19">
        <f t="shared" si="13"/>
        <v>43861</v>
      </c>
      <c r="D232">
        <v>0</v>
      </c>
      <c r="E232" s="22">
        <f t="shared" si="14"/>
        <v>0</v>
      </c>
    </row>
    <row r="233" spans="1:5" x14ac:dyDescent="0.3">
      <c r="A233">
        <f t="shared" si="12"/>
        <v>2020</v>
      </c>
      <c r="B233" s="19">
        <f t="shared" si="13"/>
        <v>43890</v>
      </c>
      <c r="D233">
        <v>0</v>
      </c>
      <c r="E233" s="22">
        <f t="shared" si="14"/>
        <v>0</v>
      </c>
    </row>
    <row r="234" spans="1:5" x14ac:dyDescent="0.3">
      <c r="A234">
        <f t="shared" si="12"/>
        <v>2020</v>
      </c>
      <c r="B234" s="19">
        <f t="shared" si="13"/>
        <v>43921</v>
      </c>
      <c r="D234">
        <v>0</v>
      </c>
      <c r="E234" s="22">
        <f t="shared" si="14"/>
        <v>0</v>
      </c>
    </row>
    <row r="235" spans="1:5" x14ac:dyDescent="0.3">
      <c r="A235">
        <f t="shared" si="12"/>
        <v>2020</v>
      </c>
      <c r="B235" s="19">
        <f t="shared" si="13"/>
        <v>43951</v>
      </c>
      <c r="D235">
        <v>0</v>
      </c>
      <c r="E235" s="22">
        <f t="shared" si="14"/>
        <v>0</v>
      </c>
    </row>
    <row r="236" spans="1:5" x14ac:dyDescent="0.3">
      <c r="A236">
        <f t="shared" si="12"/>
        <v>2020</v>
      </c>
      <c r="B236" s="19">
        <f t="shared" si="13"/>
        <v>43982</v>
      </c>
      <c r="D236">
        <v>0</v>
      </c>
      <c r="E236" s="22">
        <f t="shared" si="14"/>
        <v>0</v>
      </c>
    </row>
    <row r="237" spans="1:5" x14ac:dyDescent="0.3">
      <c r="A237">
        <f t="shared" si="12"/>
        <v>2020</v>
      </c>
      <c r="B237" s="19">
        <f t="shared" si="13"/>
        <v>44012</v>
      </c>
      <c r="D237">
        <v>0</v>
      </c>
      <c r="E237" s="22">
        <f t="shared" si="14"/>
        <v>0</v>
      </c>
    </row>
    <row r="238" spans="1:5" x14ac:dyDescent="0.3">
      <c r="A238">
        <f t="shared" si="12"/>
        <v>2020</v>
      </c>
      <c r="B238" s="19">
        <f t="shared" si="13"/>
        <v>44043</v>
      </c>
      <c r="D238">
        <v>0</v>
      </c>
      <c r="E238" s="22">
        <f t="shared" si="14"/>
        <v>0</v>
      </c>
    </row>
    <row r="239" spans="1:5" x14ac:dyDescent="0.3">
      <c r="A239">
        <f t="shared" si="12"/>
        <v>2020</v>
      </c>
      <c r="B239" s="19">
        <f t="shared" si="13"/>
        <v>44074</v>
      </c>
      <c r="D239">
        <v>0</v>
      </c>
      <c r="E239" s="22">
        <f t="shared" si="14"/>
        <v>0</v>
      </c>
    </row>
    <row r="240" spans="1:5" x14ac:dyDescent="0.3">
      <c r="A240">
        <f t="shared" si="12"/>
        <v>2020</v>
      </c>
      <c r="B240" s="19">
        <f t="shared" si="13"/>
        <v>44104</v>
      </c>
      <c r="D240">
        <v>0</v>
      </c>
      <c r="E240" s="22">
        <f t="shared" si="14"/>
        <v>0</v>
      </c>
    </row>
    <row r="241" spans="1:5" x14ac:dyDescent="0.3">
      <c r="A241">
        <f t="shared" si="12"/>
        <v>2020</v>
      </c>
      <c r="B241" s="19">
        <f t="shared" si="13"/>
        <v>44135</v>
      </c>
      <c r="D241">
        <v>0</v>
      </c>
      <c r="E241" s="22">
        <f t="shared" si="14"/>
        <v>0</v>
      </c>
    </row>
    <row r="242" spans="1:5" x14ac:dyDescent="0.3">
      <c r="A242">
        <f t="shared" si="12"/>
        <v>2020</v>
      </c>
      <c r="B242" s="19">
        <f t="shared" si="13"/>
        <v>44165</v>
      </c>
      <c r="D242">
        <v>0</v>
      </c>
      <c r="E242" s="22">
        <f t="shared" si="14"/>
        <v>0</v>
      </c>
    </row>
    <row r="243" spans="1:5" x14ac:dyDescent="0.3">
      <c r="A243">
        <f t="shared" si="12"/>
        <v>2020</v>
      </c>
      <c r="B243" s="19">
        <f t="shared" si="13"/>
        <v>44196</v>
      </c>
      <c r="D243">
        <v>0</v>
      </c>
      <c r="E243" s="22">
        <f t="shared" si="14"/>
        <v>0</v>
      </c>
    </row>
    <row r="244" spans="1:5" x14ac:dyDescent="0.3">
      <c r="A244">
        <f t="shared" si="12"/>
        <v>2021</v>
      </c>
      <c r="B244" s="19">
        <f t="shared" si="13"/>
        <v>44227</v>
      </c>
      <c r="D244">
        <v>0</v>
      </c>
      <c r="E244" s="22">
        <f t="shared" si="14"/>
        <v>0</v>
      </c>
    </row>
    <row r="245" spans="1:5" x14ac:dyDescent="0.3">
      <c r="A245">
        <f t="shared" si="12"/>
        <v>2021</v>
      </c>
      <c r="B245" s="19">
        <f t="shared" si="13"/>
        <v>44255</v>
      </c>
      <c r="D245">
        <v>0</v>
      </c>
      <c r="E245" s="22">
        <f t="shared" si="14"/>
        <v>0</v>
      </c>
    </row>
    <row r="246" spans="1:5" x14ac:dyDescent="0.3">
      <c r="A246">
        <f t="shared" si="12"/>
        <v>2021</v>
      </c>
      <c r="B246" s="19">
        <f t="shared" si="13"/>
        <v>44286</v>
      </c>
      <c r="D246">
        <v>0</v>
      </c>
      <c r="E246" s="22">
        <f t="shared" si="14"/>
        <v>0</v>
      </c>
    </row>
    <row r="247" spans="1:5" x14ac:dyDescent="0.3">
      <c r="A247">
        <f t="shared" si="12"/>
        <v>2021</v>
      </c>
      <c r="B247" s="19">
        <f t="shared" si="13"/>
        <v>44316</v>
      </c>
      <c r="D247">
        <v>0</v>
      </c>
      <c r="E247" s="22">
        <f t="shared" si="14"/>
        <v>0</v>
      </c>
    </row>
    <row r="248" spans="1:5" x14ac:dyDescent="0.3">
      <c r="A248">
        <f t="shared" si="12"/>
        <v>2021</v>
      </c>
      <c r="B248" s="19">
        <f t="shared" si="13"/>
        <v>44347</v>
      </c>
      <c r="D248">
        <v>0</v>
      </c>
      <c r="E248" s="22">
        <f t="shared" si="14"/>
        <v>0</v>
      </c>
    </row>
    <row r="249" spans="1:5" x14ac:dyDescent="0.3">
      <c r="A249">
        <f t="shared" si="12"/>
        <v>2021</v>
      </c>
      <c r="B249" s="19">
        <f t="shared" si="13"/>
        <v>44377</v>
      </c>
      <c r="D249">
        <v>0</v>
      </c>
      <c r="E249" s="22">
        <f t="shared" si="14"/>
        <v>0</v>
      </c>
    </row>
    <row r="250" spans="1:5" x14ac:dyDescent="0.3">
      <c r="A250">
        <f t="shared" si="12"/>
        <v>2021</v>
      </c>
      <c r="B250" s="19">
        <f t="shared" si="13"/>
        <v>44408</v>
      </c>
      <c r="D250">
        <v>0</v>
      </c>
      <c r="E250" s="22">
        <f t="shared" si="14"/>
        <v>0</v>
      </c>
    </row>
    <row r="251" spans="1:5" x14ac:dyDescent="0.3">
      <c r="A251">
        <f t="shared" si="12"/>
        <v>2021</v>
      </c>
      <c r="B251" s="19">
        <f t="shared" si="13"/>
        <v>44439</v>
      </c>
      <c r="D251">
        <v>0</v>
      </c>
      <c r="E251" s="22">
        <f t="shared" si="14"/>
        <v>0</v>
      </c>
    </row>
    <row r="252" spans="1:5" x14ac:dyDescent="0.3">
      <c r="A252">
        <f t="shared" si="12"/>
        <v>2021</v>
      </c>
      <c r="B252" s="19">
        <f t="shared" si="13"/>
        <v>44469</v>
      </c>
      <c r="D252">
        <v>0</v>
      </c>
      <c r="E252" s="22">
        <f t="shared" si="14"/>
        <v>0</v>
      </c>
    </row>
    <row r="253" spans="1:5" x14ac:dyDescent="0.3">
      <c r="A253">
        <f t="shared" si="12"/>
        <v>2021</v>
      </c>
      <c r="B253" s="19">
        <f t="shared" si="13"/>
        <v>44500</v>
      </c>
      <c r="D253">
        <v>0</v>
      </c>
      <c r="E253" s="22">
        <f t="shared" si="14"/>
        <v>0</v>
      </c>
    </row>
    <row r="254" spans="1:5" x14ac:dyDescent="0.3">
      <c r="A254">
        <f t="shared" si="12"/>
        <v>2021</v>
      </c>
      <c r="B254" s="19">
        <f t="shared" si="13"/>
        <v>44530</v>
      </c>
      <c r="D254">
        <v>0</v>
      </c>
      <c r="E254" s="22">
        <f t="shared" si="14"/>
        <v>0</v>
      </c>
    </row>
    <row r="255" spans="1:5" x14ac:dyDescent="0.3">
      <c r="A255">
        <f t="shared" si="12"/>
        <v>2021</v>
      </c>
      <c r="B255" s="19">
        <f t="shared" si="13"/>
        <v>44561</v>
      </c>
      <c r="D255">
        <v>0</v>
      </c>
      <c r="E255" s="22">
        <f t="shared" si="14"/>
        <v>0</v>
      </c>
    </row>
    <row r="256" spans="1:5" x14ac:dyDescent="0.3">
      <c r="A256">
        <f t="shared" si="12"/>
        <v>2022</v>
      </c>
      <c r="B256" s="19">
        <f t="shared" si="13"/>
        <v>44592</v>
      </c>
      <c r="D256">
        <v>0</v>
      </c>
      <c r="E256" s="22">
        <f t="shared" si="14"/>
        <v>0</v>
      </c>
    </row>
    <row r="257" spans="1:5" x14ac:dyDescent="0.3">
      <c r="A257">
        <f t="shared" si="12"/>
        <v>2022</v>
      </c>
      <c r="B257" s="19">
        <f t="shared" si="13"/>
        <v>44620</v>
      </c>
      <c r="D257">
        <v>0</v>
      </c>
      <c r="E257" s="22">
        <f t="shared" si="14"/>
        <v>0</v>
      </c>
    </row>
    <row r="258" spans="1:5" x14ac:dyDescent="0.3">
      <c r="A258">
        <f t="shared" si="12"/>
        <v>2022</v>
      </c>
      <c r="B258" s="19">
        <f t="shared" si="13"/>
        <v>44651</v>
      </c>
      <c r="D258">
        <v>0</v>
      </c>
      <c r="E258" s="22">
        <f t="shared" si="14"/>
        <v>0</v>
      </c>
    </row>
    <row r="259" spans="1:5" x14ac:dyDescent="0.3">
      <c r="A259">
        <f t="shared" si="12"/>
        <v>2022</v>
      </c>
      <c r="B259" s="19">
        <f t="shared" si="13"/>
        <v>44681</v>
      </c>
      <c r="D259">
        <v>0</v>
      </c>
      <c r="E259" s="22">
        <f t="shared" si="14"/>
        <v>0</v>
      </c>
    </row>
    <row r="260" spans="1:5" x14ac:dyDescent="0.3">
      <c r="A260">
        <f t="shared" si="12"/>
        <v>2022</v>
      </c>
      <c r="B260" s="19">
        <f t="shared" si="13"/>
        <v>44712</v>
      </c>
      <c r="D260">
        <v>0</v>
      </c>
      <c r="E260" s="22">
        <f t="shared" si="14"/>
        <v>0</v>
      </c>
    </row>
    <row r="261" spans="1:5" x14ac:dyDescent="0.3">
      <c r="A261">
        <f t="shared" ref="A261:A324" si="15">YEAR(B261)</f>
        <v>2022</v>
      </c>
      <c r="B261" s="19">
        <f t="shared" ref="B261:B324" si="16">EOMONTH(B260,1)</f>
        <v>44742</v>
      </c>
      <c r="D261">
        <v>0</v>
      </c>
      <c r="E261" s="22">
        <f t="shared" ref="E261:E324" si="17">C261+D261</f>
        <v>0</v>
      </c>
    </row>
    <row r="262" spans="1:5" x14ac:dyDescent="0.3">
      <c r="A262">
        <f t="shared" si="15"/>
        <v>2022</v>
      </c>
      <c r="B262" s="19">
        <f t="shared" si="16"/>
        <v>44773</v>
      </c>
      <c r="D262">
        <v>0</v>
      </c>
      <c r="E262" s="22">
        <f t="shared" si="17"/>
        <v>0</v>
      </c>
    </row>
    <row r="263" spans="1:5" x14ac:dyDescent="0.3">
      <c r="A263">
        <f t="shared" si="15"/>
        <v>2022</v>
      </c>
      <c r="B263" s="19">
        <f t="shared" si="16"/>
        <v>44804</v>
      </c>
      <c r="D263">
        <v>0</v>
      </c>
      <c r="E263" s="22">
        <f t="shared" si="17"/>
        <v>0</v>
      </c>
    </row>
    <row r="264" spans="1:5" x14ac:dyDescent="0.3">
      <c r="A264">
        <f t="shared" si="15"/>
        <v>2022</v>
      </c>
      <c r="B264" s="19">
        <f t="shared" si="16"/>
        <v>44834</v>
      </c>
      <c r="D264">
        <v>0</v>
      </c>
      <c r="E264" s="22">
        <f t="shared" si="17"/>
        <v>0</v>
      </c>
    </row>
    <row r="265" spans="1:5" x14ac:dyDescent="0.3">
      <c r="A265">
        <f t="shared" si="15"/>
        <v>2022</v>
      </c>
      <c r="B265" s="19">
        <f t="shared" si="16"/>
        <v>44865</v>
      </c>
      <c r="D265">
        <v>0</v>
      </c>
      <c r="E265" s="22">
        <f t="shared" si="17"/>
        <v>0</v>
      </c>
    </row>
    <row r="266" spans="1:5" x14ac:dyDescent="0.3">
      <c r="A266">
        <f t="shared" si="15"/>
        <v>2022</v>
      </c>
      <c r="B266" s="19">
        <f t="shared" si="16"/>
        <v>44895</v>
      </c>
      <c r="D266">
        <v>0</v>
      </c>
      <c r="E266" s="22">
        <f t="shared" si="17"/>
        <v>0</v>
      </c>
    </row>
    <row r="267" spans="1:5" x14ac:dyDescent="0.3">
      <c r="A267">
        <f t="shared" si="15"/>
        <v>2022</v>
      </c>
      <c r="B267" s="19">
        <f t="shared" si="16"/>
        <v>44926</v>
      </c>
      <c r="D267">
        <v>0</v>
      </c>
      <c r="E267" s="22">
        <f t="shared" si="17"/>
        <v>0</v>
      </c>
    </row>
    <row r="268" spans="1:5" x14ac:dyDescent="0.3">
      <c r="A268">
        <f t="shared" si="15"/>
        <v>2023</v>
      </c>
      <c r="B268" s="19">
        <f t="shared" si="16"/>
        <v>44957</v>
      </c>
      <c r="D268">
        <v>0</v>
      </c>
      <c r="E268" s="22">
        <f t="shared" si="17"/>
        <v>0</v>
      </c>
    </row>
    <row r="269" spans="1:5" x14ac:dyDescent="0.3">
      <c r="A269">
        <f t="shared" si="15"/>
        <v>2023</v>
      </c>
      <c r="B269" s="19">
        <f t="shared" si="16"/>
        <v>44985</v>
      </c>
      <c r="D269">
        <v>0</v>
      </c>
      <c r="E269" s="22">
        <f t="shared" si="17"/>
        <v>0</v>
      </c>
    </row>
    <row r="270" spans="1:5" x14ac:dyDescent="0.3">
      <c r="A270">
        <f t="shared" si="15"/>
        <v>2023</v>
      </c>
      <c r="B270" s="19">
        <f t="shared" si="16"/>
        <v>45016</v>
      </c>
      <c r="D270">
        <v>0</v>
      </c>
      <c r="E270" s="22">
        <f t="shared" si="17"/>
        <v>0</v>
      </c>
    </row>
    <row r="271" spans="1:5" x14ac:dyDescent="0.3">
      <c r="A271">
        <f t="shared" si="15"/>
        <v>2023</v>
      </c>
      <c r="B271" s="19">
        <f t="shared" si="16"/>
        <v>45046</v>
      </c>
      <c r="D271">
        <v>0</v>
      </c>
      <c r="E271" s="22">
        <f t="shared" si="17"/>
        <v>0</v>
      </c>
    </row>
    <row r="272" spans="1:5" x14ac:dyDescent="0.3">
      <c r="A272">
        <f t="shared" si="15"/>
        <v>2023</v>
      </c>
      <c r="B272" s="19">
        <f t="shared" si="16"/>
        <v>45077</v>
      </c>
      <c r="D272">
        <v>0</v>
      </c>
      <c r="E272" s="22">
        <f t="shared" si="17"/>
        <v>0</v>
      </c>
    </row>
    <row r="273" spans="1:5" x14ac:dyDescent="0.3">
      <c r="A273">
        <f t="shared" si="15"/>
        <v>2023</v>
      </c>
      <c r="B273" s="19">
        <f t="shared" si="16"/>
        <v>45107</v>
      </c>
      <c r="D273">
        <v>0</v>
      </c>
      <c r="E273" s="22">
        <f t="shared" si="17"/>
        <v>0</v>
      </c>
    </row>
    <row r="274" spans="1:5" x14ac:dyDescent="0.3">
      <c r="A274">
        <f t="shared" si="15"/>
        <v>2023</v>
      </c>
      <c r="B274" s="19">
        <f t="shared" si="16"/>
        <v>45138</v>
      </c>
      <c r="D274">
        <v>0</v>
      </c>
      <c r="E274" s="22">
        <f t="shared" si="17"/>
        <v>0</v>
      </c>
    </row>
    <row r="275" spans="1:5" x14ac:dyDescent="0.3">
      <c r="A275">
        <f t="shared" si="15"/>
        <v>2023</v>
      </c>
      <c r="B275" s="19">
        <f t="shared" si="16"/>
        <v>45169</v>
      </c>
      <c r="D275">
        <v>0</v>
      </c>
      <c r="E275" s="22">
        <f t="shared" si="17"/>
        <v>0</v>
      </c>
    </row>
    <row r="276" spans="1:5" x14ac:dyDescent="0.3">
      <c r="A276">
        <f t="shared" si="15"/>
        <v>2023</v>
      </c>
      <c r="B276" s="19">
        <f t="shared" si="16"/>
        <v>45199</v>
      </c>
      <c r="D276">
        <v>0</v>
      </c>
      <c r="E276" s="22">
        <f t="shared" si="17"/>
        <v>0</v>
      </c>
    </row>
    <row r="277" spans="1:5" x14ac:dyDescent="0.3">
      <c r="A277">
        <f t="shared" si="15"/>
        <v>2023</v>
      </c>
      <c r="B277" s="19">
        <f t="shared" si="16"/>
        <v>45230</v>
      </c>
      <c r="D277">
        <v>0</v>
      </c>
      <c r="E277" s="22">
        <f t="shared" si="17"/>
        <v>0</v>
      </c>
    </row>
    <row r="278" spans="1:5" x14ac:dyDescent="0.3">
      <c r="A278">
        <f t="shared" si="15"/>
        <v>2023</v>
      </c>
      <c r="B278" s="19">
        <f t="shared" si="16"/>
        <v>45260</v>
      </c>
      <c r="D278">
        <v>0</v>
      </c>
      <c r="E278" s="22">
        <f t="shared" si="17"/>
        <v>0</v>
      </c>
    </row>
    <row r="279" spans="1:5" x14ac:dyDescent="0.3">
      <c r="A279">
        <f t="shared" si="15"/>
        <v>2023</v>
      </c>
      <c r="B279" s="19">
        <f t="shared" si="16"/>
        <v>45291</v>
      </c>
      <c r="D279">
        <v>0</v>
      </c>
      <c r="E279" s="22">
        <f t="shared" si="17"/>
        <v>0</v>
      </c>
    </row>
    <row r="280" spans="1:5" x14ac:dyDescent="0.3">
      <c r="A280">
        <f t="shared" si="15"/>
        <v>2024</v>
      </c>
      <c r="B280" s="19">
        <f t="shared" si="16"/>
        <v>45322</v>
      </c>
      <c r="D280">
        <v>0</v>
      </c>
      <c r="E280" s="22">
        <f t="shared" si="17"/>
        <v>0</v>
      </c>
    </row>
    <row r="281" spans="1:5" x14ac:dyDescent="0.3">
      <c r="A281">
        <f t="shared" si="15"/>
        <v>2024</v>
      </c>
      <c r="B281" s="19">
        <f t="shared" si="16"/>
        <v>45351</v>
      </c>
      <c r="D281">
        <v>0</v>
      </c>
      <c r="E281" s="22">
        <f t="shared" si="17"/>
        <v>0</v>
      </c>
    </row>
    <row r="282" spans="1:5" x14ac:dyDescent="0.3">
      <c r="A282">
        <f t="shared" si="15"/>
        <v>2024</v>
      </c>
      <c r="B282" s="19">
        <f t="shared" si="16"/>
        <v>45382</v>
      </c>
      <c r="D282">
        <v>0</v>
      </c>
      <c r="E282" s="22">
        <f t="shared" si="17"/>
        <v>0</v>
      </c>
    </row>
    <row r="283" spans="1:5" x14ac:dyDescent="0.3">
      <c r="A283">
        <f t="shared" si="15"/>
        <v>2024</v>
      </c>
      <c r="B283" s="19">
        <f t="shared" si="16"/>
        <v>45412</v>
      </c>
      <c r="D283">
        <v>0</v>
      </c>
      <c r="E283" s="22">
        <f t="shared" si="17"/>
        <v>0</v>
      </c>
    </row>
    <row r="284" spans="1:5" x14ac:dyDescent="0.3">
      <c r="A284">
        <f t="shared" si="15"/>
        <v>2024</v>
      </c>
      <c r="B284" s="19">
        <f t="shared" si="16"/>
        <v>45443</v>
      </c>
      <c r="D284">
        <v>0</v>
      </c>
      <c r="E284" s="22">
        <f t="shared" si="17"/>
        <v>0</v>
      </c>
    </row>
    <row r="285" spans="1:5" x14ac:dyDescent="0.3">
      <c r="A285">
        <f t="shared" si="15"/>
        <v>2024</v>
      </c>
      <c r="B285" s="19">
        <f t="shared" si="16"/>
        <v>45473</v>
      </c>
      <c r="D285">
        <v>0</v>
      </c>
      <c r="E285" s="22">
        <f t="shared" si="17"/>
        <v>0</v>
      </c>
    </row>
    <row r="286" spans="1:5" x14ac:dyDescent="0.3">
      <c r="A286">
        <f t="shared" si="15"/>
        <v>2024</v>
      </c>
      <c r="B286" s="19">
        <f t="shared" si="16"/>
        <v>45504</v>
      </c>
      <c r="D286">
        <v>0</v>
      </c>
      <c r="E286" s="22">
        <f t="shared" si="17"/>
        <v>0</v>
      </c>
    </row>
    <row r="287" spans="1:5" x14ac:dyDescent="0.3">
      <c r="A287">
        <f t="shared" si="15"/>
        <v>2024</v>
      </c>
      <c r="B287" s="19">
        <f t="shared" si="16"/>
        <v>45535</v>
      </c>
      <c r="D287">
        <v>0</v>
      </c>
      <c r="E287" s="22">
        <f t="shared" si="17"/>
        <v>0</v>
      </c>
    </row>
    <row r="288" spans="1:5" x14ac:dyDescent="0.3">
      <c r="A288">
        <f t="shared" si="15"/>
        <v>2024</v>
      </c>
      <c r="B288" s="19">
        <f t="shared" si="16"/>
        <v>45565</v>
      </c>
      <c r="D288">
        <v>0</v>
      </c>
      <c r="E288" s="22">
        <f t="shared" si="17"/>
        <v>0</v>
      </c>
    </row>
    <row r="289" spans="1:5" x14ac:dyDescent="0.3">
      <c r="A289">
        <f t="shared" si="15"/>
        <v>2024</v>
      </c>
      <c r="B289" s="19">
        <f t="shared" si="16"/>
        <v>45596</v>
      </c>
      <c r="D289">
        <v>0</v>
      </c>
      <c r="E289" s="22">
        <f t="shared" si="17"/>
        <v>0</v>
      </c>
    </row>
    <row r="290" spans="1:5" x14ac:dyDescent="0.3">
      <c r="A290">
        <f t="shared" si="15"/>
        <v>2024</v>
      </c>
      <c r="B290" s="19">
        <f t="shared" si="16"/>
        <v>45626</v>
      </c>
      <c r="D290">
        <v>0</v>
      </c>
      <c r="E290" s="22">
        <f t="shared" si="17"/>
        <v>0</v>
      </c>
    </row>
    <row r="291" spans="1:5" x14ac:dyDescent="0.3">
      <c r="A291">
        <f t="shared" si="15"/>
        <v>2024</v>
      </c>
      <c r="B291" s="19">
        <f t="shared" si="16"/>
        <v>45657</v>
      </c>
      <c r="D291">
        <v>0</v>
      </c>
      <c r="E291" s="22">
        <f t="shared" si="17"/>
        <v>0</v>
      </c>
    </row>
    <row r="292" spans="1:5" x14ac:dyDescent="0.3">
      <c r="A292">
        <f t="shared" si="15"/>
        <v>2025</v>
      </c>
      <c r="B292" s="19">
        <f t="shared" si="16"/>
        <v>45688</v>
      </c>
      <c r="D292">
        <v>0</v>
      </c>
      <c r="E292" s="22">
        <f t="shared" si="17"/>
        <v>0</v>
      </c>
    </row>
    <row r="293" spans="1:5" x14ac:dyDescent="0.3">
      <c r="A293">
        <f t="shared" si="15"/>
        <v>2025</v>
      </c>
      <c r="B293" s="19">
        <f t="shared" si="16"/>
        <v>45716</v>
      </c>
      <c r="D293">
        <v>0</v>
      </c>
      <c r="E293" s="22">
        <f t="shared" si="17"/>
        <v>0</v>
      </c>
    </row>
    <row r="294" spans="1:5" x14ac:dyDescent="0.3">
      <c r="A294">
        <f t="shared" si="15"/>
        <v>2025</v>
      </c>
      <c r="B294" s="19">
        <f t="shared" si="16"/>
        <v>45747</v>
      </c>
      <c r="D294">
        <v>0</v>
      </c>
      <c r="E294" s="22">
        <f t="shared" si="17"/>
        <v>0</v>
      </c>
    </row>
    <row r="295" spans="1:5" x14ac:dyDescent="0.3">
      <c r="A295">
        <f t="shared" si="15"/>
        <v>2025</v>
      </c>
      <c r="B295" s="19">
        <f t="shared" si="16"/>
        <v>45777</v>
      </c>
      <c r="D295">
        <v>0</v>
      </c>
      <c r="E295" s="22">
        <f t="shared" si="17"/>
        <v>0</v>
      </c>
    </row>
    <row r="296" spans="1:5" x14ac:dyDescent="0.3">
      <c r="A296">
        <f t="shared" si="15"/>
        <v>2025</v>
      </c>
      <c r="B296" s="19">
        <f t="shared" si="16"/>
        <v>45808</v>
      </c>
      <c r="D296">
        <v>0</v>
      </c>
      <c r="E296" s="22">
        <f t="shared" si="17"/>
        <v>0</v>
      </c>
    </row>
    <row r="297" spans="1:5" x14ac:dyDescent="0.3">
      <c r="A297">
        <f t="shared" si="15"/>
        <v>2025</v>
      </c>
      <c r="B297" s="19">
        <f t="shared" si="16"/>
        <v>45838</v>
      </c>
      <c r="D297">
        <v>0</v>
      </c>
      <c r="E297" s="22">
        <f t="shared" si="17"/>
        <v>0</v>
      </c>
    </row>
    <row r="298" spans="1:5" x14ac:dyDescent="0.3">
      <c r="A298">
        <f t="shared" si="15"/>
        <v>2025</v>
      </c>
      <c r="B298" s="19">
        <f t="shared" si="16"/>
        <v>45869</v>
      </c>
      <c r="D298">
        <v>0</v>
      </c>
      <c r="E298" s="22">
        <f t="shared" si="17"/>
        <v>0</v>
      </c>
    </row>
    <row r="299" spans="1:5" x14ac:dyDescent="0.3">
      <c r="A299">
        <f t="shared" si="15"/>
        <v>2025</v>
      </c>
      <c r="B299" s="19">
        <f t="shared" si="16"/>
        <v>45900</v>
      </c>
      <c r="D299">
        <v>0</v>
      </c>
      <c r="E299" s="22">
        <f t="shared" si="17"/>
        <v>0</v>
      </c>
    </row>
    <row r="300" spans="1:5" x14ac:dyDescent="0.3">
      <c r="A300">
        <f t="shared" si="15"/>
        <v>2025</v>
      </c>
      <c r="B300" s="19">
        <f t="shared" si="16"/>
        <v>45930</v>
      </c>
      <c r="D300">
        <v>0</v>
      </c>
      <c r="E300" s="22">
        <f t="shared" si="17"/>
        <v>0</v>
      </c>
    </row>
    <row r="301" spans="1:5" x14ac:dyDescent="0.3">
      <c r="A301">
        <f t="shared" si="15"/>
        <v>2025</v>
      </c>
      <c r="B301" s="19">
        <f t="shared" si="16"/>
        <v>45961</v>
      </c>
      <c r="D301">
        <v>0</v>
      </c>
      <c r="E301" s="22">
        <f t="shared" si="17"/>
        <v>0</v>
      </c>
    </row>
    <row r="302" spans="1:5" x14ac:dyDescent="0.3">
      <c r="A302">
        <f t="shared" si="15"/>
        <v>2025</v>
      </c>
      <c r="B302" s="19">
        <f t="shared" si="16"/>
        <v>45991</v>
      </c>
      <c r="D302">
        <v>0</v>
      </c>
      <c r="E302" s="22">
        <f t="shared" si="17"/>
        <v>0</v>
      </c>
    </row>
    <row r="303" spans="1:5" x14ac:dyDescent="0.3">
      <c r="A303">
        <f t="shared" si="15"/>
        <v>2025</v>
      </c>
      <c r="B303" s="19">
        <f t="shared" si="16"/>
        <v>46022</v>
      </c>
      <c r="D303">
        <v>0</v>
      </c>
      <c r="E303" s="22">
        <f t="shared" si="17"/>
        <v>0</v>
      </c>
    </row>
    <row r="304" spans="1:5" x14ac:dyDescent="0.3">
      <c r="A304">
        <f t="shared" si="15"/>
        <v>2026</v>
      </c>
      <c r="B304" s="19">
        <f t="shared" si="16"/>
        <v>46053</v>
      </c>
      <c r="D304">
        <v>0</v>
      </c>
      <c r="E304" s="22">
        <f t="shared" si="17"/>
        <v>0</v>
      </c>
    </row>
    <row r="305" spans="1:5" x14ac:dyDescent="0.3">
      <c r="A305">
        <f t="shared" si="15"/>
        <v>2026</v>
      </c>
      <c r="B305" s="19">
        <f t="shared" si="16"/>
        <v>46081</v>
      </c>
      <c r="D305">
        <v>0</v>
      </c>
      <c r="E305" s="22">
        <f t="shared" si="17"/>
        <v>0</v>
      </c>
    </row>
    <row r="306" spans="1:5" x14ac:dyDescent="0.3">
      <c r="A306">
        <f t="shared" si="15"/>
        <v>2026</v>
      </c>
      <c r="B306" s="19">
        <f t="shared" si="16"/>
        <v>46112</v>
      </c>
      <c r="D306">
        <v>0</v>
      </c>
      <c r="E306" s="22">
        <f t="shared" si="17"/>
        <v>0</v>
      </c>
    </row>
    <row r="307" spans="1:5" x14ac:dyDescent="0.3">
      <c r="A307">
        <f t="shared" si="15"/>
        <v>2026</v>
      </c>
      <c r="B307" s="19">
        <f t="shared" si="16"/>
        <v>46142</v>
      </c>
      <c r="D307">
        <v>0</v>
      </c>
      <c r="E307" s="22">
        <f t="shared" si="17"/>
        <v>0</v>
      </c>
    </row>
    <row r="308" spans="1:5" x14ac:dyDescent="0.3">
      <c r="A308">
        <f t="shared" si="15"/>
        <v>2026</v>
      </c>
      <c r="B308" s="19">
        <f t="shared" si="16"/>
        <v>46173</v>
      </c>
      <c r="D308">
        <v>0</v>
      </c>
      <c r="E308" s="22">
        <f t="shared" si="17"/>
        <v>0</v>
      </c>
    </row>
    <row r="309" spans="1:5" x14ac:dyDescent="0.3">
      <c r="A309">
        <f t="shared" si="15"/>
        <v>2026</v>
      </c>
      <c r="B309" s="19">
        <f t="shared" si="16"/>
        <v>46203</v>
      </c>
      <c r="D309">
        <v>0</v>
      </c>
      <c r="E309" s="22">
        <f t="shared" si="17"/>
        <v>0</v>
      </c>
    </row>
    <row r="310" spans="1:5" x14ac:dyDescent="0.3">
      <c r="A310">
        <f t="shared" si="15"/>
        <v>2026</v>
      </c>
      <c r="B310" s="19">
        <f t="shared" si="16"/>
        <v>46234</v>
      </c>
      <c r="D310">
        <v>0</v>
      </c>
      <c r="E310" s="22">
        <f t="shared" si="17"/>
        <v>0</v>
      </c>
    </row>
    <row r="311" spans="1:5" x14ac:dyDescent="0.3">
      <c r="A311">
        <f t="shared" si="15"/>
        <v>2026</v>
      </c>
      <c r="B311" s="19">
        <f t="shared" si="16"/>
        <v>46265</v>
      </c>
      <c r="D311">
        <v>0</v>
      </c>
      <c r="E311" s="22">
        <f t="shared" si="17"/>
        <v>0</v>
      </c>
    </row>
    <row r="312" spans="1:5" x14ac:dyDescent="0.3">
      <c r="A312">
        <f t="shared" si="15"/>
        <v>2026</v>
      </c>
      <c r="B312" s="19">
        <f t="shared" si="16"/>
        <v>46295</v>
      </c>
      <c r="D312">
        <v>0</v>
      </c>
      <c r="E312" s="22">
        <f t="shared" si="17"/>
        <v>0</v>
      </c>
    </row>
    <row r="313" spans="1:5" x14ac:dyDescent="0.3">
      <c r="A313">
        <f t="shared" si="15"/>
        <v>2026</v>
      </c>
      <c r="B313" s="19">
        <f t="shared" si="16"/>
        <v>46326</v>
      </c>
      <c r="D313">
        <v>0</v>
      </c>
      <c r="E313" s="22">
        <f t="shared" si="17"/>
        <v>0</v>
      </c>
    </row>
    <row r="314" spans="1:5" x14ac:dyDescent="0.3">
      <c r="A314">
        <f t="shared" si="15"/>
        <v>2026</v>
      </c>
      <c r="B314" s="19">
        <f t="shared" si="16"/>
        <v>46356</v>
      </c>
      <c r="D314">
        <v>0</v>
      </c>
      <c r="E314" s="22">
        <f t="shared" si="17"/>
        <v>0</v>
      </c>
    </row>
    <row r="315" spans="1:5" x14ac:dyDescent="0.3">
      <c r="A315">
        <f t="shared" si="15"/>
        <v>2026</v>
      </c>
      <c r="B315" s="19">
        <f t="shared" si="16"/>
        <v>46387</v>
      </c>
      <c r="D315">
        <v>0</v>
      </c>
      <c r="E315" s="22">
        <f t="shared" si="17"/>
        <v>0</v>
      </c>
    </row>
    <row r="316" spans="1:5" x14ac:dyDescent="0.3">
      <c r="A316">
        <f t="shared" si="15"/>
        <v>2027</v>
      </c>
      <c r="B316" s="19">
        <f t="shared" si="16"/>
        <v>46418</v>
      </c>
      <c r="D316">
        <v>0</v>
      </c>
      <c r="E316" s="22">
        <f t="shared" si="17"/>
        <v>0</v>
      </c>
    </row>
    <row r="317" spans="1:5" x14ac:dyDescent="0.3">
      <c r="A317">
        <f t="shared" si="15"/>
        <v>2027</v>
      </c>
      <c r="B317" s="19">
        <f t="shared" si="16"/>
        <v>46446</v>
      </c>
      <c r="D317">
        <v>0</v>
      </c>
      <c r="E317" s="22">
        <f t="shared" si="17"/>
        <v>0</v>
      </c>
    </row>
    <row r="318" spans="1:5" x14ac:dyDescent="0.3">
      <c r="A318">
        <f t="shared" si="15"/>
        <v>2027</v>
      </c>
      <c r="B318" s="19">
        <f t="shared" si="16"/>
        <v>46477</v>
      </c>
      <c r="D318">
        <v>0</v>
      </c>
      <c r="E318" s="22">
        <f t="shared" si="17"/>
        <v>0</v>
      </c>
    </row>
    <row r="319" spans="1:5" x14ac:dyDescent="0.3">
      <c r="A319">
        <f t="shared" si="15"/>
        <v>2027</v>
      </c>
      <c r="B319" s="19">
        <f t="shared" si="16"/>
        <v>46507</v>
      </c>
      <c r="D319">
        <v>0</v>
      </c>
      <c r="E319" s="22">
        <f t="shared" si="17"/>
        <v>0</v>
      </c>
    </row>
    <row r="320" spans="1:5" x14ac:dyDescent="0.3">
      <c r="A320">
        <f t="shared" si="15"/>
        <v>2027</v>
      </c>
      <c r="B320" s="19">
        <f t="shared" si="16"/>
        <v>46538</v>
      </c>
      <c r="D320">
        <v>0</v>
      </c>
      <c r="E320" s="22">
        <f t="shared" si="17"/>
        <v>0</v>
      </c>
    </row>
    <row r="321" spans="1:5" x14ac:dyDescent="0.3">
      <c r="A321">
        <f t="shared" si="15"/>
        <v>2027</v>
      </c>
      <c r="B321" s="19">
        <f t="shared" si="16"/>
        <v>46568</v>
      </c>
      <c r="D321">
        <v>0</v>
      </c>
      <c r="E321" s="22">
        <f t="shared" si="17"/>
        <v>0</v>
      </c>
    </row>
    <row r="322" spans="1:5" x14ac:dyDescent="0.3">
      <c r="A322">
        <f t="shared" si="15"/>
        <v>2027</v>
      </c>
      <c r="B322" s="19">
        <f t="shared" si="16"/>
        <v>46599</v>
      </c>
      <c r="D322">
        <v>0</v>
      </c>
      <c r="E322" s="22">
        <f t="shared" si="17"/>
        <v>0</v>
      </c>
    </row>
    <row r="323" spans="1:5" x14ac:dyDescent="0.3">
      <c r="A323">
        <f t="shared" si="15"/>
        <v>2027</v>
      </c>
      <c r="B323" s="19">
        <f t="shared" si="16"/>
        <v>46630</v>
      </c>
      <c r="D323">
        <v>0</v>
      </c>
      <c r="E323" s="22">
        <f t="shared" si="17"/>
        <v>0</v>
      </c>
    </row>
    <row r="324" spans="1:5" x14ac:dyDescent="0.3">
      <c r="A324">
        <f t="shared" si="15"/>
        <v>2027</v>
      </c>
      <c r="B324" s="19">
        <f t="shared" si="16"/>
        <v>46660</v>
      </c>
      <c r="D324">
        <v>0</v>
      </c>
      <c r="E324" s="22">
        <f t="shared" si="17"/>
        <v>0</v>
      </c>
    </row>
    <row r="325" spans="1:5" x14ac:dyDescent="0.3">
      <c r="A325">
        <f t="shared" ref="A325:A347" si="18">YEAR(B325)</f>
        <v>2027</v>
      </c>
      <c r="B325" s="19">
        <f t="shared" ref="B325:B347" si="19">EOMONTH(B324,1)</f>
        <v>46691</v>
      </c>
      <c r="D325">
        <v>0</v>
      </c>
      <c r="E325" s="22">
        <f t="shared" ref="E325:E351" si="20">C325+D325</f>
        <v>0</v>
      </c>
    </row>
    <row r="326" spans="1:5" x14ac:dyDescent="0.3">
      <c r="A326">
        <f t="shared" si="18"/>
        <v>2027</v>
      </c>
      <c r="B326" s="19">
        <f t="shared" si="19"/>
        <v>46721</v>
      </c>
      <c r="D326">
        <v>0</v>
      </c>
      <c r="E326" s="22">
        <f t="shared" si="20"/>
        <v>0</v>
      </c>
    </row>
    <row r="327" spans="1:5" x14ac:dyDescent="0.3">
      <c r="A327">
        <f t="shared" si="18"/>
        <v>2027</v>
      </c>
      <c r="B327" s="19">
        <f t="shared" si="19"/>
        <v>46752</v>
      </c>
      <c r="D327">
        <v>0</v>
      </c>
      <c r="E327" s="22">
        <f t="shared" si="20"/>
        <v>0</v>
      </c>
    </row>
    <row r="328" spans="1:5" x14ac:dyDescent="0.3">
      <c r="A328">
        <f t="shared" si="18"/>
        <v>2028</v>
      </c>
      <c r="B328" s="19">
        <f t="shared" si="19"/>
        <v>46783</v>
      </c>
      <c r="D328">
        <v>0</v>
      </c>
      <c r="E328" s="22">
        <f t="shared" si="20"/>
        <v>0</v>
      </c>
    </row>
    <row r="329" spans="1:5" x14ac:dyDescent="0.3">
      <c r="A329">
        <f t="shared" si="18"/>
        <v>2028</v>
      </c>
      <c r="B329" s="19">
        <f t="shared" si="19"/>
        <v>46812</v>
      </c>
      <c r="D329">
        <v>0</v>
      </c>
      <c r="E329" s="22">
        <f t="shared" si="20"/>
        <v>0</v>
      </c>
    </row>
    <row r="330" spans="1:5" x14ac:dyDescent="0.3">
      <c r="A330">
        <f t="shared" si="18"/>
        <v>2028</v>
      </c>
      <c r="B330" s="19">
        <f t="shared" si="19"/>
        <v>46843</v>
      </c>
      <c r="D330">
        <v>0</v>
      </c>
      <c r="E330" s="22">
        <f t="shared" si="20"/>
        <v>0</v>
      </c>
    </row>
    <row r="331" spans="1:5" x14ac:dyDescent="0.3">
      <c r="A331">
        <f t="shared" si="18"/>
        <v>2028</v>
      </c>
      <c r="B331" s="19">
        <f t="shared" si="19"/>
        <v>46873</v>
      </c>
      <c r="D331">
        <v>0</v>
      </c>
      <c r="E331" s="22">
        <f t="shared" si="20"/>
        <v>0</v>
      </c>
    </row>
    <row r="332" spans="1:5" x14ac:dyDescent="0.3">
      <c r="A332">
        <f t="shared" si="18"/>
        <v>2028</v>
      </c>
      <c r="B332" s="19">
        <f t="shared" si="19"/>
        <v>46904</v>
      </c>
      <c r="D332">
        <v>0</v>
      </c>
      <c r="E332" s="22">
        <f t="shared" si="20"/>
        <v>0</v>
      </c>
    </row>
    <row r="333" spans="1:5" x14ac:dyDescent="0.3">
      <c r="A333">
        <f t="shared" si="18"/>
        <v>2028</v>
      </c>
      <c r="B333" s="19">
        <f t="shared" si="19"/>
        <v>46934</v>
      </c>
      <c r="D333">
        <v>0</v>
      </c>
      <c r="E333" s="22">
        <f t="shared" si="20"/>
        <v>0</v>
      </c>
    </row>
    <row r="334" spans="1:5" x14ac:dyDescent="0.3">
      <c r="A334">
        <f t="shared" si="18"/>
        <v>2028</v>
      </c>
      <c r="B334" s="19">
        <f t="shared" si="19"/>
        <v>46965</v>
      </c>
      <c r="D334">
        <v>0</v>
      </c>
      <c r="E334" s="22">
        <f t="shared" si="20"/>
        <v>0</v>
      </c>
    </row>
    <row r="335" spans="1:5" x14ac:dyDescent="0.3">
      <c r="A335">
        <f t="shared" si="18"/>
        <v>2028</v>
      </c>
      <c r="B335" s="19">
        <f t="shared" si="19"/>
        <v>46996</v>
      </c>
      <c r="D335">
        <v>0</v>
      </c>
      <c r="E335" s="22">
        <f t="shared" si="20"/>
        <v>0</v>
      </c>
    </row>
    <row r="336" spans="1:5" x14ac:dyDescent="0.3">
      <c r="A336">
        <f t="shared" si="18"/>
        <v>2028</v>
      </c>
      <c r="B336" s="19">
        <f t="shared" si="19"/>
        <v>47026</v>
      </c>
      <c r="D336">
        <v>0</v>
      </c>
      <c r="E336" s="22">
        <f t="shared" si="20"/>
        <v>0</v>
      </c>
    </row>
    <row r="337" spans="1:5" x14ac:dyDescent="0.3">
      <c r="A337">
        <f t="shared" si="18"/>
        <v>2028</v>
      </c>
      <c r="B337" s="19">
        <f t="shared" si="19"/>
        <v>47057</v>
      </c>
      <c r="D337">
        <v>0</v>
      </c>
      <c r="E337" s="22">
        <f t="shared" si="20"/>
        <v>0</v>
      </c>
    </row>
    <row r="338" spans="1:5" x14ac:dyDescent="0.3">
      <c r="A338">
        <f t="shared" si="18"/>
        <v>2028</v>
      </c>
      <c r="B338" s="19">
        <f t="shared" si="19"/>
        <v>47087</v>
      </c>
      <c r="D338">
        <v>0</v>
      </c>
      <c r="E338" s="22">
        <f t="shared" si="20"/>
        <v>0</v>
      </c>
    </row>
    <row r="339" spans="1:5" x14ac:dyDescent="0.3">
      <c r="A339">
        <f t="shared" si="18"/>
        <v>2028</v>
      </c>
      <c r="B339" s="19">
        <f t="shared" si="19"/>
        <v>47118</v>
      </c>
      <c r="D339">
        <v>0</v>
      </c>
      <c r="E339" s="22">
        <f t="shared" si="20"/>
        <v>0</v>
      </c>
    </row>
    <row r="340" spans="1:5" x14ac:dyDescent="0.3">
      <c r="A340">
        <f t="shared" si="18"/>
        <v>2029</v>
      </c>
      <c r="B340" s="19">
        <f t="shared" si="19"/>
        <v>47149</v>
      </c>
      <c r="D340">
        <v>0</v>
      </c>
      <c r="E340" s="22">
        <f t="shared" si="20"/>
        <v>0</v>
      </c>
    </row>
    <row r="341" spans="1:5" x14ac:dyDescent="0.3">
      <c r="A341">
        <f t="shared" si="18"/>
        <v>2029</v>
      </c>
      <c r="B341" s="19">
        <f t="shared" si="19"/>
        <v>47177</v>
      </c>
      <c r="D341">
        <v>0</v>
      </c>
      <c r="E341" s="22">
        <f t="shared" si="20"/>
        <v>0</v>
      </c>
    </row>
    <row r="342" spans="1:5" x14ac:dyDescent="0.3">
      <c r="A342">
        <f t="shared" si="18"/>
        <v>2029</v>
      </c>
      <c r="B342" s="19">
        <f t="shared" si="19"/>
        <v>47208</v>
      </c>
      <c r="D342">
        <v>0</v>
      </c>
      <c r="E342" s="22">
        <f t="shared" si="20"/>
        <v>0</v>
      </c>
    </row>
    <row r="343" spans="1:5" x14ac:dyDescent="0.3">
      <c r="A343">
        <f t="shared" si="18"/>
        <v>2029</v>
      </c>
      <c r="B343" s="19">
        <f t="shared" si="19"/>
        <v>47238</v>
      </c>
      <c r="D343">
        <v>0</v>
      </c>
      <c r="E343" s="22">
        <f t="shared" si="20"/>
        <v>0</v>
      </c>
    </row>
    <row r="344" spans="1:5" x14ac:dyDescent="0.3">
      <c r="A344">
        <f t="shared" si="18"/>
        <v>2029</v>
      </c>
      <c r="B344" s="19">
        <f t="shared" si="19"/>
        <v>47269</v>
      </c>
      <c r="D344">
        <v>0</v>
      </c>
      <c r="E344" s="22">
        <f t="shared" si="20"/>
        <v>0</v>
      </c>
    </row>
    <row r="345" spans="1:5" x14ac:dyDescent="0.3">
      <c r="A345">
        <f t="shared" si="18"/>
        <v>2029</v>
      </c>
      <c r="B345" s="19">
        <f t="shared" si="19"/>
        <v>47299</v>
      </c>
      <c r="D345">
        <v>0</v>
      </c>
      <c r="E345" s="22">
        <f t="shared" si="20"/>
        <v>0</v>
      </c>
    </row>
    <row r="346" spans="1:5" x14ac:dyDescent="0.3">
      <c r="A346">
        <f t="shared" si="18"/>
        <v>2029</v>
      </c>
      <c r="B346" s="19">
        <f t="shared" si="19"/>
        <v>47330</v>
      </c>
      <c r="D346">
        <v>0</v>
      </c>
      <c r="E346" s="22">
        <f t="shared" si="20"/>
        <v>0</v>
      </c>
    </row>
    <row r="347" spans="1:5" x14ac:dyDescent="0.3">
      <c r="A347">
        <f t="shared" si="18"/>
        <v>2029</v>
      </c>
      <c r="B347" s="19">
        <f t="shared" si="19"/>
        <v>47361</v>
      </c>
      <c r="D347">
        <v>0</v>
      </c>
      <c r="E347" s="22">
        <f t="shared" si="20"/>
        <v>0</v>
      </c>
    </row>
    <row r="348" spans="1:5" x14ac:dyDescent="0.3">
      <c r="D348">
        <v>0</v>
      </c>
      <c r="E348" s="22">
        <f t="shared" si="20"/>
        <v>0</v>
      </c>
    </row>
    <row r="349" spans="1:5" x14ac:dyDescent="0.3">
      <c r="D349">
        <v>0</v>
      </c>
      <c r="E349" s="22">
        <f t="shared" si="20"/>
        <v>0</v>
      </c>
    </row>
    <row r="350" spans="1:5" x14ac:dyDescent="0.3">
      <c r="D350">
        <v>0</v>
      </c>
      <c r="E350" s="22">
        <f t="shared" si="20"/>
        <v>0</v>
      </c>
    </row>
    <row r="351" spans="1:5" x14ac:dyDescent="0.3">
      <c r="D351">
        <v>0</v>
      </c>
      <c r="E351" s="22">
        <f t="shared" si="20"/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>E4*$D$5</f>
        <v>4.1620312499999992</v>
      </c>
      <c r="F5" s="54">
        <f t="shared" ref="F5:N5" si="0">F4*$D$5</f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1</v>
      </c>
      <c r="D10" s="55"/>
      <c r="E10" s="117">
        <f>$C10*Inputs!E44</f>
        <v>3.8728767123287664</v>
      </c>
      <c r="F10" s="117">
        <f>$C10*Inputs!F44</f>
        <v>4.1462633212141169</v>
      </c>
      <c r="G10" s="117">
        <f>$C10*Inputs!G44</f>
        <v>3.703081595945362</v>
      </c>
      <c r="H10" s="117">
        <f>$C10*Inputs!H44</f>
        <v>3.2442428642993444</v>
      </c>
      <c r="I10" s="117">
        <f>$C10*Inputs!I44</f>
        <v>2.8667174782000555</v>
      </c>
      <c r="J10" s="117">
        <f>$C10*Inputs!J44</f>
        <v>2.5826856529389182</v>
      </c>
      <c r="K10" s="117">
        <f>$C10*Inputs!K44</f>
        <v>2.3531566637937189</v>
      </c>
      <c r="L10" s="117">
        <f>$C10*Inputs!L44</f>
        <v>2.1399597621823885</v>
      </c>
      <c r="M10" s="117">
        <f>$C10*Inputs!M44</f>
        <v>1.9559293532042781</v>
      </c>
      <c r="N10" s="117">
        <f>$C10*Inputs!N44</f>
        <v>1.740273940122167</v>
      </c>
    </row>
    <row r="11" spans="1:15" ht="13.8" x14ac:dyDescent="0.3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ht="13.8" x14ac:dyDescent="0.3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ht="13.8" x14ac:dyDescent="0.3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>SUM(E9:E18)</f>
        <v>3.8728767123287664</v>
      </c>
      <c r="F19" s="54">
        <f t="shared" ref="F19:N19" si="2">SUM(F9:F18)</f>
        <v>4.1462633212141169</v>
      </c>
      <c r="G19" s="54">
        <f t="shared" si="2"/>
        <v>3.703081595945362</v>
      </c>
      <c r="H19" s="54">
        <f t="shared" si="2"/>
        <v>3.2442428642993444</v>
      </c>
      <c r="I19" s="54">
        <f t="shared" si="2"/>
        <v>2.8667174782000555</v>
      </c>
      <c r="J19" s="54">
        <f t="shared" si="2"/>
        <v>2.5826856529389182</v>
      </c>
      <c r="K19" s="54">
        <f t="shared" si="2"/>
        <v>2.3531566637937189</v>
      </c>
      <c r="L19" s="54">
        <f t="shared" si="2"/>
        <v>2.1399597621823885</v>
      </c>
      <c r="M19" s="54">
        <f t="shared" si="2"/>
        <v>1.9559293532042781</v>
      </c>
      <c r="N19" s="54">
        <f t="shared" si="2"/>
        <v>1.740273940122167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>E19</f>
        <v>3.8728767123287664</v>
      </c>
      <c r="F22" s="56">
        <f t="shared" ref="F22:N22" si="3">F19</f>
        <v>4.1462633212141169</v>
      </c>
      <c r="G22" s="56">
        <f t="shared" si="3"/>
        <v>3.703081595945362</v>
      </c>
      <c r="H22" s="56">
        <f t="shared" si="3"/>
        <v>3.2442428642993444</v>
      </c>
      <c r="I22" s="56">
        <f t="shared" si="3"/>
        <v>2.8667174782000555</v>
      </c>
      <c r="J22" s="56">
        <f t="shared" si="3"/>
        <v>2.5826856529389182</v>
      </c>
      <c r="K22" s="56">
        <f t="shared" si="3"/>
        <v>2.3531566637937189</v>
      </c>
      <c r="L22" s="56">
        <f t="shared" si="3"/>
        <v>2.1399597621823885</v>
      </c>
      <c r="M22" s="56">
        <f t="shared" si="3"/>
        <v>1.9559293532042781</v>
      </c>
      <c r="N22" s="56">
        <f t="shared" si="3"/>
        <v>1.740273940122167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4.1827068493150676</v>
      </c>
      <c r="F23" s="56">
        <f>SUMPRODUCT(F9:F18,Inputs!$C$43:$C$52)</f>
        <v>4.4779643869112462</v>
      </c>
      <c r="G23" s="56">
        <f>SUMPRODUCT(G9:G18,Inputs!$C$43:$C$52)</f>
        <v>3.9993281236209914</v>
      </c>
      <c r="H23" s="56">
        <f>SUMPRODUCT(H9:H18,Inputs!$C$43:$C$52)</f>
        <v>3.5037822934432921</v>
      </c>
      <c r="I23" s="56">
        <f>SUMPRODUCT(I9:I18,Inputs!$C$43:$C$52)</f>
        <v>3.0960548764560603</v>
      </c>
      <c r="J23" s="56">
        <f>SUMPRODUCT(J9:J18,Inputs!$C$43:$C$52)</f>
        <v>2.7893005051740318</v>
      </c>
      <c r="K23" s="56">
        <f>SUMPRODUCT(K9:K18,Inputs!$C$43:$C$52)</f>
        <v>2.5414091968972166</v>
      </c>
      <c r="L23" s="56">
        <f>SUMPRODUCT(L9:L18,Inputs!$C$43:$C$52)</f>
        <v>2.3111565431569798</v>
      </c>
      <c r="M23" s="56">
        <f>SUMPRODUCT(M9:M18,Inputs!$C$43:$C$52)</f>
        <v>2.1124037014606203</v>
      </c>
      <c r="N23" s="56">
        <f>SUMPRODUCT(N9:N18,Inputs!$C$43:$C$52)</f>
        <v>1.8794958553319405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3.77373106849315</v>
      </c>
      <c r="F24" s="56">
        <f t="shared" si="5"/>
        <v>4.0401189801910355</v>
      </c>
      <c r="G24" s="56">
        <f t="shared" si="5"/>
        <v>3.608282707089161</v>
      </c>
      <c r="H24" s="56">
        <f t="shared" si="5"/>
        <v>3.1611902469732813</v>
      </c>
      <c r="I24" s="56">
        <f t="shared" si="5"/>
        <v>2.7933295107581344</v>
      </c>
      <c r="J24" s="56">
        <f t="shared" si="5"/>
        <v>2.5165689002236822</v>
      </c>
      <c r="K24" s="56">
        <f t="shared" si="5"/>
        <v>2.2929158532005998</v>
      </c>
      <c r="L24" s="56">
        <f t="shared" si="5"/>
        <v>2.0851767922705196</v>
      </c>
      <c r="M24" s="56">
        <f t="shared" si="5"/>
        <v>1.9058575617622486</v>
      </c>
      <c r="N24" s="56">
        <f t="shared" si="5"/>
        <v>1.6957229272550396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1.3737093698630134</v>
      </c>
      <c r="F25" s="56">
        <f t="shared" si="5"/>
        <v>1.4706796000346474</v>
      </c>
      <c r="G25" s="56">
        <f t="shared" si="5"/>
        <v>1.31348304208182</v>
      </c>
      <c r="H25" s="56">
        <f t="shared" si="5"/>
        <v>1.1507329439669776</v>
      </c>
      <c r="I25" s="56">
        <f t="shared" si="5"/>
        <v>1.0168246895175597</v>
      </c>
      <c r="J25" s="56">
        <f t="shared" si="5"/>
        <v>0.91607860109743433</v>
      </c>
      <c r="K25" s="56">
        <f t="shared" si="5"/>
        <v>0.83466466864763211</v>
      </c>
      <c r="L25" s="56">
        <f t="shared" si="5"/>
        <v>0.75904372764609318</v>
      </c>
      <c r="M25" s="56">
        <f t="shared" si="5"/>
        <v>0.69376814158155742</v>
      </c>
      <c r="N25" s="56">
        <f t="shared" si="5"/>
        <v>0.61727516656133263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0.3418975561643835</v>
      </c>
      <c r="F26" s="56">
        <f t="shared" si="5"/>
        <v>0.36603212599678225</v>
      </c>
      <c r="G26" s="56">
        <f t="shared" si="5"/>
        <v>0.32690804329005657</v>
      </c>
      <c r="H26" s="56">
        <f t="shared" si="5"/>
        <v>0.28640176006034612</v>
      </c>
      <c r="I26" s="56">
        <f t="shared" si="5"/>
        <v>0.25307381897550091</v>
      </c>
      <c r="J26" s="56">
        <f t="shared" si="5"/>
        <v>0.22799948944144768</v>
      </c>
      <c r="K26" s="56">
        <f t="shared" si="5"/>
        <v>0.20773667027970949</v>
      </c>
      <c r="L26" s="56">
        <f t="shared" si="5"/>
        <v>0.18891564780546125</v>
      </c>
      <c r="M26" s="56">
        <f t="shared" si="5"/>
        <v>0.17266944330087367</v>
      </c>
      <c r="N26" s="56">
        <f t="shared" si="5"/>
        <v>0.15363138343398489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0.48635585753424648</v>
      </c>
      <c r="F27" s="56">
        <f t="shared" si="5"/>
        <v>0.52068774787806882</v>
      </c>
      <c r="G27" s="56">
        <f t="shared" si="5"/>
        <v>0.46503298681881855</v>
      </c>
      <c r="H27" s="56">
        <f t="shared" si="5"/>
        <v>0.40741201889871165</v>
      </c>
      <c r="I27" s="56">
        <f t="shared" si="5"/>
        <v>0.36000238091236297</v>
      </c>
      <c r="J27" s="56">
        <f t="shared" si="5"/>
        <v>0.32433366429606936</v>
      </c>
      <c r="K27" s="56">
        <f t="shared" si="5"/>
        <v>0.2955094138392152</v>
      </c>
      <c r="L27" s="56">
        <f t="shared" si="5"/>
        <v>0.26873614693486436</v>
      </c>
      <c r="M27" s="56">
        <f t="shared" si="5"/>
        <v>0.24562560817539322</v>
      </c>
      <c r="N27" s="56">
        <f t="shared" si="5"/>
        <v>0.21854360140054171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0.22613727123287666</v>
      </c>
      <c r="F28" s="56">
        <f t="shared" si="5"/>
        <v>0.24210031532569226</v>
      </c>
      <c r="G28" s="56">
        <f t="shared" si="5"/>
        <v>0.21622293438724968</v>
      </c>
      <c r="H28" s="56">
        <f t="shared" si="5"/>
        <v>0.1894313408464387</v>
      </c>
      <c r="I28" s="56">
        <f t="shared" si="5"/>
        <v>0.16738763355210123</v>
      </c>
      <c r="J28" s="56">
        <f t="shared" si="5"/>
        <v>0.15080301527510342</v>
      </c>
      <c r="K28" s="56">
        <f t="shared" si="5"/>
        <v>0.13740081759891523</v>
      </c>
      <c r="L28" s="56">
        <f t="shared" si="5"/>
        <v>0.12495225051382966</v>
      </c>
      <c r="M28" s="56">
        <f t="shared" si="5"/>
        <v>0.1142067149335978</v>
      </c>
      <c r="N28" s="56">
        <f t="shared" si="5"/>
        <v>0.10161459536373332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0.19569646027397256</v>
      </c>
      <c r="F29" s="56">
        <f t="shared" si="5"/>
        <v>0.20951068562094932</v>
      </c>
      <c r="G29" s="56">
        <f t="shared" si="5"/>
        <v>0.18711671304311914</v>
      </c>
      <c r="H29" s="56">
        <f t="shared" si="5"/>
        <v>0.16393159193304588</v>
      </c>
      <c r="I29" s="56">
        <f t="shared" si="5"/>
        <v>0.14485523417344881</v>
      </c>
      <c r="J29" s="56">
        <f t="shared" si="5"/>
        <v>0.13050310604300353</v>
      </c>
      <c r="K29" s="56">
        <f t="shared" si="5"/>
        <v>0.11890500622149661</v>
      </c>
      <c r="L29" s="56">
        <f t="shared" si="5"/>
        <v>0.10813216678307609</v>
      </c>
      <c r="M29" s="56">
        <f t="shared" si="5"/>
        <v>9.8833110217412173E-2</v>
      </c>
      <c r="N29" s="56">
        <f t="shared" si="5"/>
        <v>8.7936042194373093E-2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0.61919552876712314</v>
      </c>
      <c r="F30" s="56">
        <f t="shared" si="5"/>
        <v>0.66290457979571293</v>
      </c>
      <c r="G30" s="56">
        <f t="shared" si="5"/>
        <v>0.59204868555974444</v>
      </c>
      <c r="H30" s="56">
        <f t="shared" si="5"/>
        <v>0.5186895491441792</v>
      </c>
      <c r="I30" s="56">
        <f t="shared" si="5"/>
        <v>0.45833079041462488</v>
      </c>
      <c r="J30" s="56">
        <f t="shared" si="5"/>
        <v>0.4129197821918742</v>
      </c>
      <c r="K30" s="56">
        <f t="shared" si="5"/>
        <v>0.37622268740733977</v>
      </c>
      <c r="L30" s="56">
        <f t="shared" si="5"/>
        <v>0.34213676677772026</v>
      </c>
      <c r="M30" s="56">
        <f t="shared" si="5"/>
        <v>0.31271398499029995</v>
      </c>
      <c r="N30" s="56">
        <f t="shared" si="5"/>
        <v>0.27823499754673203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0.9434327671232875</v>
      </c>
      <c r="F33" s="56">
        <f t="shared" si="6"/>
        <v>1.0100297450477589</v>
      </c>
      <c r="G33" s="56">
        <f t="shared" si="6"/>
        <v>0.90207067677229025</v>
      </c>
      <c r="H33" s="56">
        <f t="shared" si="6"/>
        <v>0.79029756174332033</v>
      </c>
      <c r="I33" s="56">
        <f t="shared" si="6"/>
        <v>0.6983323776895336</v>
      </c>
      <c r="J33" s="56">
        <f t="shared" si="6"/>
        <v>0.62914222505592055</v>
      </c>
      <c r="K33" s="56">
        <f t="shared" si="6"/>
        <v>0.57322896330014994</v>
      </c>
      <c r="L33" s="56">
        <f t="shared" si="6"/>
        <v>0.52129419806762989</v>
      </c>
      <c r="M33" s="56">
        <f t="shared" si="6"/>
        <v>0.47646439044056216</v>
      </c>
      <c r="N33" s="56">
        <f t="shared" si="6"/>
        <v>0.4239307318137599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0.89291109041095873</v>
      </c>
      <c r="F34" s="56">
        <f t="shared" si="7"/>
        <v>0.95594174002252086</v>
      </c>
      <c r="G34" s="56">
        <f t="shared" si="7"/>
        <v>0.85376397735318299</v>
      </c>
      <c r="H34" s="56">
        <f t="shared" si="7"/>
        <v>0.74797641357853539</v>
      </c>
      <c r="I34" s="56">
        <f t="shared" si="7"/>
        <v>0.66093604818641383</v>
      </c>
      <c r="J34" s="56">
        <f t="shared" si="7"/>
        <v>0.59545109071333235</v>
      </c>
      <c r="K34" s="56">
        <f t="shared" si="7"/>
        <v>0.54253203462096089</v>
      </c>
      <c r="L34" s="56">
        <f t="shared" si="7"/>
        <v>0.49337842296996059</v>
      </c>
      <c r="M34" s="56">
        <f t="shared" si="7"/>
        <v>0.45094929202801232</v>
      </c>
      <c r="N34" s="56">
        <f t="shared" si="7"/>
        <v>0.40122885826486621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0.29061292273972594</v>
      </c>
      <c r="F35" s="56">
        <f t="shared" si="8"/>
        <v>0.31112730709726488</v>
      </c>
      <c r="G35" s="56">
        <f t="shared" si="8"/>
        <v>0.27787183679654809</v>
      </c>
      <c r="H35" s="56">
        <f t="shared" si="8"/>
        <v>0.2434414960512942</v>
      </c>
      <c r="I35" s="56">
        <f t="shared" si="8"/>
        <v>0.21511274612917577</v>
      </c>
      <c r="J35" s="56">
        <f t="shared" si="8"/>
        <v>0.19379956602523052</v>
      </c>
      <c r="K35" s="56">
        <f t="shared" si="8"/>
        <v>0.17657616973775306</v>
      </c>
      <c r="L35" s="56">
        <f t="shared" si="8"/>
        <v>0.16057830063464204</v>
      </c>
      <c r="M35" s="56">
        <f t="shared" si="8"/>
        <v>0.14676902680574261</v>
      </c>
      <c r="N35" s="56">
        <f t="shared" si="8"/>
        <v>0.13058667591888715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0.43772027178082185</v>
      </c>
      <c r="F36" s="56">
        <f t="shared" si="9"/>
        <v>0.46861897309026196</v>
      </c>
      <c r="G36" s="56">
        <f t="shared" si="9"/>
        <v>0.4185296881369367</v>
      </c>
      <c r="H36" s="56">
        <f t="shared" si="9"/>
        <v>0.36667081700884047</v>
      </c>
      <c r="I36" s="56">
        <f t="shared" si="9"/>
        <v>0.32400214282112666</v>
      </c>
      <c r="J36" s="56">
        <f t="shared" si="9"/>
        <v>0.29190029786646243</v>
      </c>
      <c r="K36" s="56">
        <f t="shared" si="9"/>
        <v>0.26595847245529369</v>
      </c>
      <c r="L36" s="56">
        <f t="shared" si="9"/>
        <v>0.24186253224137794</v>
      </c>
      <c r="M36" s="56">
        <f t="shared" si="9"/>
        <v>0.2210630473578539</v>
      </c>
      <c r="N36" s="56">
        <f t="shared" si="9"/>
        <v>0.19668924126048754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0.21483040767123282</v>
      </c>
      <c r="F37" s="56">
        <f t="shared" si="10"/>
        <v>0.22999529955940765</v>
      </c>
      <c r="G37" s="56">
        <f t="shared" si="10"/>
        <v>0.2054117876678872</v>
      </c>
      <c r="H37" s="56">
        <f t="shared" si="10"/>
        <v>0.17995977380411676</v>
      </c>
      <c r="I37" s="56">
        <f t="shared" si="10"/>
        <v>0.15901825187449617</v>
      </c>
      <c r="J37" s="56">
        <f t="shared" si="10"/>
        <v>0.14326286451134826</v>
      </c>
      <c r="K37" s="56">
        <f t="shared" si="10"/>
        <v>0.13053077671896945</v>
      </c>
      <c r="L37" s="56">
        <f t="shared" si="10"/>
        <v>0.11870463798813817</v>
      </c>
      <c r="M37" s="56">
        <f t="shared" si="10"/>
        <v>0.1084963791869179</v>
      </c>
      <c r="N37" s="56">
        <f t="shared" si="10"/>
        <v>9.653386559554665E-2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0.18591163726027393</v>
      </c>
      <c r="F38" s="56">
        <f t="shared" si="11"/>
        <v>0.19903515133990185</v>
      </c>
      <c r="G38" s="56">
        <f t="shared" si="11"/>
        <v>0.17776087739096316</v>
      </c>
      <c r="H38" s="56">
        <f t="shared" si="11"/>
        <v>0.15573501233639359</v>
      </c>
      <c r="I38" s="56">
        <f t="shared" si="11"/>
        <v>0.13761247246477637</v>
      </c>
      <c r="J38" s="56">
        <f t="shared" si="11"/>
        <v>0.12397795074085334</v>
      </c>
      <c r="K38" s="56">
        <f t="shared" si="11"/>
        <v>0.11295975591042177</v>
      </c>
      <c r="L38" s="56">
        <f t="shared" si="11"/>
        <v>0.10272555844392228</v>
      </c>
      <c r="M38" s="56">
        <f t="shared" si="11"/>
        <v>9.3891454706541561E-2</v>
      </c>
      <c r="N38" s="56">
        <f t="shared" si="11"/>
        <v>8.3539240084654437E-2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0.61676085194801078</v>
      </c>
      <c r="F39" s="56">
        <f t="shared" si="12"/>
        <v>0.66029803898795614</v>
      </c>
      <c r="G39" s="56">
        <f t="shared" si="12"/>
        <v>0.58972075012812353</v>
      </c>
      <c r="H39" s="56">
        <f t="shared" si="12"/>
        <v>0.51665006183694429</v>
      </c>
      <c r="I39" s="56">
        <f t="shared" si="12"/>
        <v>0.45652863374671454</v>
      </c>
      <c r="J39" s="56">
        <f t="shared" si="12"/>
        <v>0.41129618160829573</v>
      </c>
      <c r="K39" s="56">
        <f t="shared" si="12"/>
        <v>0.37474337980045408</v>
      </c>
      <c r="L39" s="56">
        <f t="shared" si="12"/>
        <v>0.34079148501075024</v>
      </c>
      <c r="M39" s="56">
        <f t="shared" si="12"/>
        <v>0.31148439360131808</v>
      </c>
      <c r="N39" s="56">
        <f t="shared" si="12"/>
        <v>0.27714097753637829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3.5821799489343116</v>
      </c>
      <c r="F40" s="56">
        <f t="shared" si="13"/>
        <v>3.8350462551450719</v>
      </c>
      <c r="G40" s="56">
        <f t="shared" si="13"/>
        <v>3.4251295942459317</v>
      </c>
      <c r="H40" s="56">
        <f t="shared" si="13"/>
        <v>3.0007311363594455</v>
      </c>
      <c r="I40" s="56">
        <f t="shared" si="13"/>
        <v>2.6515426729122371</v>
      </c>
      <c r="J40" s="56">
        <f t="shared" si="13"/>
        <v>2.3888301765214432</v>
      </c>
      <c r="K40" s="56">
        <f t="shared" si="13"/>
        <v>2.1765295525440029</v>
      </c>
      <c r="L40" s="56">
        <f t="shared" si="13"/>
        <v>1.9793351353564212</v>
      </c>
      <c r="M40" s="56">
        <f t="shared" si="13"/>
        <v>1.8091179841269482</v>
      </c>
      <c r="N40" s="56">
        <f t="shared" si="13"/>
        <v>1.60964959047458</v>
      </c>
    </row>
    <row r="41" spans="1:14" x14ac:dyDescent="0.25">
      <c r="C41" s="57" t="s">
        <v>59</v>
      </c>
      <c r="D41" s="59"/>
      <c r="E41" s="56">
        <f t="shared" ref="E41:N41" si="14">E40/42</f>
        <v>8.5289998784150278E-2</v>
      </c>
      <c r="F41" s="56">
        <f t="shared" si="14"/>
        <v>9.131062512250171E-2</v>
      </c>
      <c r="G41" s="56">
        <f t="shared" si="14"/>
        <v>8.1550704624903131E-2</v>
      </c>
      <c r="H41" s="56">
        <f t="shared" si="14"/>
        <v>7.1445979437129659E-2</v>
      </c>
      <c r="I41" s="56">
        <f t="shared" si="14"/>
        <v>6.3131968402672309E-2</v>
      </c>
      <c r="J41" s="56">
        <f t="shared" si="14"/>
        <v>5.6876908964796268E-2</v>
      </c>
      <c r="K41" s="56">
        <f t="shared" si="14"/>
        <v>5.1822132203428642E-2</v>
      </c>
      <c r="L41" s="56">
        <f t="shared" si="14"/>
        <v>4.7127027032295744E-2</v>
      </c>
      <c r="M41" s="56">
        <f t="shared" si="14"/>
        <v>4.307423771730829E-2</v>
      </c>
      <c r="N41" s="56">
        <f t="shared" si="14"/>
        <v>3.8324990249394765E-2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6.2568461115616425E-2</v>
      </c>
      <c r="F43" s="56">
        <f t="shared" si="15"/>
        <v>6.6985172691567368E-2</v>
      </c>
      <c r="G43" s="56">
        <f t="shared" si="15"/>
        <v>5.9825327283538295E-2</v>
      </c>
      <c r="H43" s="56">
        <f t="shared" si="15"/>
        <v>5.2412534294817008E-2</v>
      </c>
      <c r="I43" s="56">
        <f t="shared" si="15"/>
        <v>4.6313403288369873E-2</v>
      </c>
      <c r="J43" s="56">
        <f t="shared" si="15"/>
        <v>4.1724712365708655E-2</v>
      </c>
      <c r="K43" s="56">
        <f t="shared" si="15"/>
        <v>3.8016544846065946E-2</v>
      </c>
      <c r="L43" s="56">
        <f t="shared" si="15"/>
        <v>3.4572231215845219E-2</v>
      </c>
      <c r="M43" s="56">
        <f t="shared" si="15"/>
        <v>3.1599118374018083E-2</v>
      </c>
      <c r="N43" s="56">
        <f t="shared" si="15"/>
        <v>2.8115086133888557E-2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8.1721901727682164E-2</v>
      </c>
      <c r="F44" s="56">
        <f t="shared" ref="F44:N49" si="16">+$D43*F34</f>
        <v>6.3398056198293584E-2</v>
      </c>
      <c r="G44" s="56">
        <f t="shared" si="16"/>
        <v>5.6621626978063097E-2</v>
      </c>
      <c r="H44" s="56">
        <f t="shared" si="16"/>
        <v>4.960579574852847E-2</v>
      </c>
      <c r="I44" s="56">
        <f t="shared" si="16"/>
        <v>4.383327871572297E-2</v>
      </c>
      <c r="J44" s="56">
        <f t="shared" si="16"/>
        <v>3.9490316336108201E-2</v>
      </c>
      <c r="K44" s="56">
        <f t="shared" si="16"/>
        <v>3.5980724536062131E-2</v>
      </c>
      <c r="L44" s="56">
        <f t="shared" si="16"/>
        <v>3.2720857011367788E-2</v>
      </c>
      <c r="M44" s="56">
        <f t="shared" si="16"/>
        <v>2.9906957047297778E-2</v>
      </c>
      <c r="N44" s="56">
        <f t="shared" si="16"/>
        <v>2.660949788012593E-2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2.8955218557172594E-2</v>
      </c>
      <c r="F45" s="56">
        <f t="shared" si="16"/>
        <v>2.8475304527462972E-2</v>
      </c>
      <c r="G45" s="56">
        <f t="shared" si="16"/>
        <v>2.5431664119130469E-2</v>
      </c>
      <c r="H45" s="56">
        <f t="shared" si="16"/>
        <v>2.2280496043102598E-2</v>
      </c>
      <c r="I45" s="56">
        <f t="shared" si="16"/>
        <v>1.9687763863980554E-2</v>
      </c>
      <c r="J45" s="56">
        <f t="shared" si="16"/>
        <v>1.7737117681327172E-2</v>
      </c>
      <c r="K45" s="56">
        <f t="shared" si="16"/>
        <v>1.6160780782908373E-2</v>
      </c>
      <c r="L45" s="56">
        <f t="shared" si="16"/>
        <v>1.4696607808984342E-2</v>
      </c>
      <c r="M45" s="56">
        <f t="shared" si="16"/>
        <v>1.3432741640341981E-2</v>
      </c>
      <c r="N45" s="56">
        <f t="shared" si="16"/>
        <v>1.1951684340124308E-2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4.5395969386389033E-2</v>
      </c>
      <c r="F46" s="56">
        <f t="shared" si="16"/>
        <v>4.669085138384825E-2</v>
      </c>
      <c r="G46" s="56">
        <f t="shared" si="16"/>
        <v>4.1700205477523691E-2</v>
      </c>
      <c r="H46" s="56">
        <f t="shared" si="16"/>
        <v>3.6533246852675817E-2</v>
      </c>
      <c r="I46" s="56">
        <f t="shared" si="16"/>
        <v>3.2281953499982953E-2</v>
      </c>
      <c r="J46" s="56">
        <f t="shared" si="16"/>
        <v>2.9083486177924986E-2</v>
      </c>
      <c r="K46" s="56">
        <f t="shared" si="16"/>
        <v>2.6498772403083189E-2</v>
      </c>
      <c r="L46" s="56">
        <f t="shared" si="16"/>
        <v>2.4097973399869691E-2</v>
      </c>
      <c r="M46" s="56">
        <f t="shared" si="16"/>
        <v>2.2025616723499772E-2</v>
      </c>
      <c r="N46" s="56">
        <f t="shared" si="16"/>
        <v>1.9597132552988675E-2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2.3545412680767118E-2</v>
      </c>
      <c r="F47" s="56">
        <f t="shared" si="16"/>
        <v>2.3852812517306168E-2</v>
      </c>
      <c r="G47" s="56">
        <f t="shared" si="16"/>
        <v>2.1303256499036582E-2</v>
      </c>
      <c r="H47" s="56">
        <f t="shared" si="16"/>
        <v>1.866362814122495E-2</v>
      </c>
      <c r="I47" s="56">
        <f t="shared" si="16"/>
        <v>1.6491782901903996E-2</v>
      </c>
      <c r="J47" s="56">
        <f t="shared" si="16"/>
        <v>1.4857791678471927E-2</v>
      </c>
      <c r="K47" s="56">
        <f t="shared" si="16"/>
        <v>1.3537346853524321E-2</v>
      </c>
      <c r="L47" s="56">
        <f t="shared" si="16"/>
        <v>1.231085800574981E-2</v>
      </c>
      <c r="M47" s="56">
        <f t="shared" si="16"/>
        <v>1.1252159485475255E-2</v>
      </c>
      <c r="N47" s="56">
        <f t="shared" si="16"/>
        <v>1.0011527200914142E-2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2.0625037037654788E-2</v>
      </c>
      <c r="F48" s="56">
        <f t="shared" si="16"/>
        <v>2.1814252586853242E-2</v>
      </c>
      <c r="G48" s="56">
        <f t="shared" si="16"/>
        <v>1.9482592162049565E-2</v>
      </c>
      <c r="H48" s="56">
        <f t="shared" si="16"/>
        <v>1.7068557352068737E-2</v>
      </c>
      <c r="I48" s="56">
        <f t="shared" si="16"/>
        <v>1.5082326982139491E-2</v>
      </c>
      <c r="J48" s="56">
        <f t="shared" si="16"/>
        <v>1.3587983401197526E-2</v>
      </c>
      <c r="K48" s="56">
        <f t="shared" si="16"/>
        <v>1.2380389247782227E-2</v>
      </c>
      <c r="L48" s="56">
        <f t="shared" si="16"/>
        <v>1.1258721205453882E-2</v>
      </c>
      <c r="M48" s="56">
        <f t="shared" si="16"/>
        <v>1.0290503435836955E-2</v>
      </c>
      <c r="N48" s="56">
        <f t="shared" si="16"/>
        <v>9.1559007132781273E-3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7.5444654453688476E-2</v>
      </c>
      <c r="F49" s="56">
        <f t="shared" si="16"/>
        <v>7.3253464445323851E-2</v>
      </c>
      <c r="G49" s="56">
        <f t="shared" si="16"/>
        <v>6.5423620019214021E-2</v>
      </c>
      <c r="H49" s="56">
        <f t="shared" si="16"/>
        <v>5.73171578601906E-2</v>
      </c>
      <c r="I49" s="56">
        <f t="shared" si="16"/>
        <v>5.0647286627860506E-2</v>
      </c>
      <c r="J49" s="56">
        <f t="shared" si="16"/>
        <v>4.5629198387624324E-2</v>
      </c>
      <c r="K49" s="56">
        <f t="shared" si="16"/>
        <v>4.1574030555062376E-2</v>
      </c>
      <c r="L49" s="56">
        <f t="shared" si="16"/>
        <v>3.7807407347092634E-2</v>
      </c>
      <c r="M49" s="56">
        <f t="shared" si="16"/>
        <v>3.4556078626130228E-2</v>
      </c>
      <c r="N49" s="56">
        <f t="shared" si="16"/>
        <v>3.0746020047885805E-2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0.33825665495897062</v>
      </c>
      <c r="F50" s="56">
        <f t="shared" si="17"/>
        <v>0.32446991435065542</v>
      </c>
      <c r="G50" s="56">
        <f t="shared" si="17"/>
        <v>0.28978829253855576</v>
      </c>
      <c r="H50" s="56">
        <f t="shared" si="17"/>
        <v>0.25388141629260819</v>
      </c>
      <c r="I50" s="56">
        <f t="shared" si="17"/>
        <v>0.22433779587996033</v>
      </c>
      <c r="J50" s="56">
        <f t="shared" si="17"/>
        <v>0.20211060602836278</v>
      </c>
      <c r="K50" s="56">
        <f t="shared" si="17"/>
        <v>0.18414858922448857</v>
      </c>
      <c r="L50" s="56">
        <f t="shared" si="17"/>
        <v>0.16746465599436333</v>
      </c>
      <c r="M50" s="56">
        <f t="shared" si="17"/>
        <v>0.15306317533260005</v>
      </c>
      <c r="N50" s="56">
        <f t="shared" si="17"/>
        <v>0.13618684886920554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1.4078347684597028</v>
      </c>
      <c r="F51" s="56">
        <f t="shared" si="18"/>
        <v>0.98820354320939152</v>
      </c>
      <c r="G51" s="56">
        <f t="shared" si="18"/>
        <v>0.80054921402190204</v>
      </c>
      <c r="H51" s="56">
        <f t="shared" si="18"/>
        <v>0.67707793586960863</v>
      </c>
      <c r="I51" s="56">
        <f t="shared" si="18"/>
        <v>0.59611459754590335</v>
      </c>
      <c r="J51" s="56">
        <f t="shared" si="18"/>
        <v>0.53856792145764143</v>
      </c>
      <c r="K51" s="56">
        <f t="shared" si="18"/>
        <v>0.49470367566476203</v>
      </c>
      <c r="L51" s="56">
        <f t="shared" si="18"/>
        <v>0.45480260605769185</v>
      </c>
      <c r="M51" s="56">
        <f t="shared" si="18"/>
        <v>0.4237267015629283</v>
      </c>
      <c r="N51" s="56">
        <f t="shared" si="18"/>
        <v>0.38620036835890398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8.365413698630135E-2</v>
      </c>
      <c r="F54" s="61">
        <f t="shared" si="19"/>
        <v>8.9559287738224927E-2</v>
      </c>
      <c r="G54" s="61">
        <f t="shared" si="19"/>
        <v>7.9986562472419837E-2</v>
      </c>
      <c r="H54" s="61">
        <f t="shared" si="19"/>
        <v>7.0075645868865846E-2</v>
      </c>
      <c r="I54" s="61">
        <f t="shared" si="19"/>
        <v>6.1921097529121207E-2</v>
      </c>
      <c r="J54" s="61">
        <f t="shared" si="19"/>
        <v>5.5786010103480638E-2</v>
      </c>
      <c r="K54" s="61">
        <f t="shared" si="19"/>
        <v>5.0828183937944332E-2</v>
      </c>
      <c r="L54" s="61">
        <f t="shared" si="19"/>
        <v>4.6223130863139596E-2</v>
      </c>
      <c r="M54" s="61">
        <f t="shared" si="19"/>
        <v>4.2248074029212407E-2</v>
      </c>
      <c r="N54" s="61">
        <f t="shared" si="19"/>
        <v>3.7589917106638809E-2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0.34817113232876695</v>
      </c>
      <c r="F55" s="61">
        <f t="shared" si="20"/>
        <v>0.27276120698998946</v>
      </c>
      <c r="G55" s="61">
        <f t="shared" si="20"/>
        <v>0.22096537841013705</v>
      </c>
      <c r="H55" s="61">
        <f t="shared" si="20"/>
        <v>0.18688517794046502</v>
      </c>
      <c r="I55" s="61">
        <f t="shared" si="20"/>
        <v>0.16453790137495955</v>
      </c>
      <c r="J55" s="61">
        <f t="shared" si="20"/>
        <v>0.14865402711043432</v>
      </c>
      <c r="K55" s="61">
        <f t="shared" si="20"/>
        <v>0.13654673938779133</v>
      </c>
      <c r="L55" s="61">
        <f t="shared" si="20"/>
        <v>0.12553335658725029</v>
      </c>
      <c r="M55" s="61">
        <f t="shared" si="20"/>
        <v>0.11695587143599405</v>
      </c>
      <c r="N55" s="61">
        <f t="shared" si="20"/>
        <v>0.10659795680497018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3.7607960573697956</v>
      </c>
      <c r="F58" s="62">
        <f t="shared" si="21"/>
        <v>4.0639351848223662</v>
      </c>
      <c r="G58" s="62">
        <f t="shared" si="21"/>
        <v>3.629553268610016</v>
      </c>
      <c r="H58" s="62">
        <f t="shared" si="21"/>
        <v>3.1798252312818178</v>
      </c>
      <c r="I58" s="62">
        <f t="shared" si="21"/>
        <v>2.8097959830469788</v>
      </c>
      <c r="J58" s="62">
        <f t="shared" si="21"/>
        <v>2.5314038890421884</v>
      </c>
      <c r="K58" s="62">
        <f t="shared" si="21"/>
        <v>2.3064324237347833</v>
      </c>
      <c r="L58" s="62">
        <f t="shared" si="21"/>
        <v>2.0974687562994769</v>
      </c>
      <c r="M58" s="62">
        <f t="shared" si="21"/>
        <v>1.917092452098808</v>
      </c>
      <c r="N58" s="62">
        <f t="shared" si="21"/>
        <v>1.7057190893560963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15.652550715649879</v>
      </c>
      <c r="F59" s="64">
        <f t="shared" si="22"/>
        <v>12.377095599300093</v>
      </c>
      <c r="G59" s="64">
        <f t="shared" si="22"/>
        <v>10.026754328074812</v>
      </c>
      <c r="H59" s="64">
        <f t="shared" si="22"/>
        <v>8.480295783213176</v>
      </c>
      <c r="I59" s="64">
        <f t="shared" si="22"/>
        <v>7.4662425698271147</v>
      </c>
      <c r="J59" s="64">
        <f t="shared" si="22"/>
        <v>6.7454794069536401</v>
      </c>
      <c r="K59" s="64">
        <f t="shared" si="22"/>
        <v>6.1960865543370129</v>
      </c>
      <c r="L59" s="64">
        <f t="shared" si="22"/>
        <v>5.6963318667175731</v>
      </c>
      <c r="M59" s="64">
        <f t="shared" si="22"/>
        <v>5.3071109988007805</v>
      </c>
      <c r="N59" s="64">
        <f t="shared" si="22"/>
        <v>4.8370995150846356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1034.2189157766938</v>
      </c>
      <c r="F60" s="64">
        <f>F58*Inputs!F40</f>
        <v>1483.3363424601637</v>
      </c>
      <c r="G60" s="64">
        <f>G58*Inputs!G40</f>
        <v>1324.7869430426558</v>
      </c>
      <c r="H60" s="64">
        <f>H58*Inputs!H40</f>
        <v>1163.8160346491454</v>
      </c>
      <c r="I60" s="64">
        <f>I58*Inputs!I40</f>
        <v>1025.5755338121473</v>
      </c>
      <c r="J60" s="64">
        <f>J58*Inputs!J40</f>
        <v>923.96241950039871</v>
      </c>
      <c r="K60" s="64">
        <f>K58*Inputs!K40</f>
        <v>841.84783466319595</v>
      </c>
      <c r="L60" s="64">
        <f>L58*Inputs!L40</f>
        <v>767.67356480560852</v>
      </c>
      <c r="M60" s="64">
        <f>M58*Inputs!M40</f>
        <v>699.73874501606485</v>
      </c>
      <c r="N60" s="64">
        <f>N58*Inputs!N40</f>
        <v>622.58746761497514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>(E62+E71)*E33</f>
        <v>0.27802181192855391</v>
      </c>
      <c r="F81" s="67">
        <f t="shared" ref="F81:N81" si="23">(F62+F71)*F33</f>
        <v>0.19084687361404293</v>
      </c>
      <c r="G81" s="67">
        <f t="shared" si="23"/>
        <v>0.12121400318729465</v>
      </c>
      <c r="H81" s="67">
        <f t="shared" si="23"/>
        <v>0.10434713276361454</v>
      </c>
      <c r="I81" s="67">
        <f t="shared" si="23"/>
        <v>9.3333693818164393E-2</v>
      </c>
      <c r="J81" s="67">
        <f t="shared" si="23"/>
        <v>8.5123587434869849E-2</v>
      </c>
      <c r="K81" s="67">
        <f t="shared" si="23"/>
        <v>7.9441322348388146E-2</v>
      </c>
      <c r="L81" s="67">
        <f t="shared" si="23"/>
        <v>7.4998189342596153E-2</v>
      </c>
      <c r="M81" s="67">
        <f t="shared" si="23"/>
        <v>7.1357070633018868E-2</v>
      </c>
      <c r="N81" s="67">
        <f t="shared" si="23"/>
        <v>6.5993220356394419E-2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0.37674253287610548</v>
      </c>
      <c r="F82" s="67">
        <f t="shared" si="24"/>
        <v>0.30338140488004495</v>
      </c>
      <c r="G82" s="67">
        <f t="shared" si="24"/>
        <v>0.25849137843326248</v>
      </c>
      <c r="H82" s="67">
        <f t="shared" si="24"/>
        <v>0.22568857019930741</v>
      </c>
      <c r="I82" s="67">
        <f t="shared" si="24"/>
        <v>0.20003492169963438</v>
      </c>
      <c r="J82" s="67">
        <f t="shared" si="24"/>
        <v>0.18079190968142586</v>
      </c>
      <c r="K82" s="67">
        <f t="shared" si="24"/>
        <v>0.14839419402852871</v>
      </c>
      <c r="L82" s="67">
        <f t="shared" si="24"/>
        <v>0.13617446817651674</v>
      </c>
      <c r="M82" s="67">
        <f t="shared" si="24"/>
        <v>0.12649912866391635</v>
      </c>
      <c r="N82" s="67">
        <f t="shared" si="24"/>
        <v>0.11533059190342441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0.13632057967025757</v>
      </c>
      <c r="F83" s="67">
        <f t="shared" si="25"/>
        <v>0.11570035133507231</v>
      </c>
      <c r="G83" s="67">
        <f t="shared" si="25"/>
        <v>9.4131631380590539E-2</v>
      </c>
      <c r="H83" s="67">
        <f t="shared" si="25"/>
        <v>8.1059965935192074E-2</v>
      </c>
      <c r="I83" s="67">
        <f t="shared" si="25"/>
        <v>7.0990222504197981E-2</v>
      </c>
      <c r="J83" s="67">
        <f t="shared" si="25"/>
        <v>6.3395578988489437E-2</v>
      </c>
      <c r="K83" s="67">
        <f t="shared" si="25"/>
        <v>5.7854052686709977E-2</v>
      </c>
      <c r="L83" s="67">
        <f t="shared" si="25"/>
        <v>5.3367498693462856E-2</v>
      </c>
      <c r="M83" s="67">
        <f t="shared" si="25"/>
        <v>4.9655565728929971E-2</v>
      </c>
      <c r="N83" s="67">
        <f t="shared" si="25"/>
        <v>4.496462105784909E-2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0.20605516287412154</v>
      </c>
      <c r="F84" s="67">
        <f t="shared" si="26"/>
        <v>0.17426750591157206</v>
      </c>
      <c r="G84" s="67">
        <f t="shared" si="26"/>
        <v>0.14178076763635894</v>
      </c>
      <c r="H84" s="67">
        <f t="shared" si="26"/>
        <v>0.12209226618416373</v>
      </c>
      <c r="I84" s="67">
        <f t="shared" si="26"/>
        <v>0.10692525024480214</v>
      </c>
      <c r="J84" s="67">
        <f t="shared" si="26"/>
        <v>9.5486222026667206E-2</v>
      </c>
      <c r="K84" s="67">
        <f t="shared" si="26"/>
        <v>8.7139592509892796E-2</v>
      </c>
      <c r="L84" s="67">
        <f t="shared" si="26"/>
        <v>8.0381958971888393E-2</v>
      </c>
      <c r="M84" s="67">
        <f t="shared" si="26"/>
        <v>7.4791057195222735E-2</v>
      </c>
      <c r="N84" s="67">
        <f t="shared" si="26"/>
        <v>6.7725571059999198E-2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0.10933140487117914</v>
      </c>
      <c r="F85" s="67">
        <f t="shared" si="27"/>
        <v>9.226763981860521E-2</v>
      </c>
      <c r="G85" s="67">
        <f t="shared" si="27"/>
        <v>7.6829019919055289E-2</v>
      </c>
      <c r="H85" s="67">
        <f t="shared" si="27"/>
        <v>6.5326079175535443E-2</v>
      </c>
      <c r="I85" s="67">
        <f t="shared" si="27"/>
        <v>5.6530486486681214E-2</v>
      </c>
      <c r="J85" s="67">
        <f t="shared" si="27"/>
        <v>4.986586992517824E-2</v>
      </c>
      <c r="K85" s="67">
        <f t="shared" si="27"/>
        <v>4.5020573102204288E-2</v>
      </c>
      <c r="L85" s="67">
        <f t="shared" si="27"/>
        <v>4.118282461249248E-2</v>
      </c>
      <c r="M85" s="67">
        <f t="shared" si="27"/>
        <v>3.8034051159350463E-2</v>
      </c>
      <c r="N85" s="67">
        <f t="shared" si="27"/>
        <v>3.4192961939453433E-2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9.46140758373126E-2</v>
      </c>
      <c r="F86" s="67">
        <f t="shared" si="28"/>
        <v>7.9847299880700828E-2</v>
      </c>
      <c r="G86" s="67">
        <f t="shared" si="28"/>
        <v>6.6486904889704809E-2</v>
      </c>
      <c r="H86" s="67">
        <f t="shared" si="28"/>
        <v>5.6532399053601759E-2</v>
      </c>
      <c r="I86" s="67">
        <f t="shared" si="28"/>
        <v>4.8920799489159138E-2</v>
      </c>
      <c r="J86" s="67">
        <f t="shared" si="28"/>
        <v>4.3153320899456345E-2</v>
      </c>
      <c r="K86" s="67">
        <f t="shared" si="28"/>
        <v>3.8960259613878792E-2</v>
      </c>
      <c r="L86" s="67">
        <f t="shared" si="28"/>
        <v>3.5639118473527062E-2</v>
      </c>
      <c r="M86" s="67">
        <f t="shared" si="28"/>
        <v>3.2914207999348841E-2</v>
      </c>
      <c r="N86" s="67">
        <f t="shared" si="28"/>
        <v>2.9590175831487962E-2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0.31388168529762017</v>
      </c>
      <c r="F87" s="67">
        <f t="shared" si="29"/>
        <v>0.26489298586093674</v>
      </c>
      <c r="G87" s="67">
        <f t="shared" si="29"/>
        <v>0.22056994767762761</v>
      </c>
      <c r="H87" s="67">
        <f t="shared" si="29"/>
        <v>0.18754592836031572</v>
      </c>
      <c r="I87" s="67">
        <f t="shared" si="29"/>
        <v>0.16229448793821646</v>
      </c>
      <c r="J87" s="67">
        <f t="shared" si="29"/>
        <v>0.14316090888422195</v>
      </c>
      <c r="K87" s="67">
        <f t="shared" si="29"/>
        <v>0.12925045072854177</v>
      </c>
      <c r="L87" s="67">
        <f t="shared" si="29"/>
        <v>0.11823258294280836</v>
      </c>
      <c r="M87" s="67">
        <f t="shared" si="29"/>
        <v>0.10919270717008643</v>
      </c>
      <c r="N87" s="67">
        <f t="shared" si="29"/>
        <v>9.8165248416214532E-2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1.5149672533551506</v>
      </c>
      <c r="F88" s="67">
        <f t="shared" si="30"/>
        <v>1.2212040613009749</v>
      </c>
      <c r="G88" s="67">
        <f t="shared" si="30"/>
        <v>0.97950365312389431</v>
      </c>
      <c r="H88" s="67">
        <f t="shared" si="30"/>
        <v>0.84259234167173058</v>
      </c>
      <c r="I88" s="67">
        <f t="shared" si="30"/>
        <v>0.73902986218085576</v>
      </c>
      <c r="J88" s="67">
        <f t="shared" si="30"/>
        <v>0.66097739784030896</v>
      </c>
      <c r="K88" s="67">
        <f t="shared" si="30"/>
        <v>0.58606044501814447</v>
      </c>
      <c r="L88" s="67">
        <f t="shared" si="30"/>
        <v>0.53997664121329203</v>
      </c>
      <c r="M88" s="67">
        <f t="shared" si="30"/>
        <v>0.5024437885498737</v>
      </c>
      <c r="N88" s="67">
        <f t="shared" si="30"/>
        <v>0.45596239056482307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1.5149672533551506</v>
      </c>
      <c r="F94" s="75">
        <f t="shared" si="31"/>
        <v>1.2212040613009749</v>
      </c>
      <c r="G94" s="75">
        <f t="shared" si="31"/>
        <v>0.97950365312389431</v>
      </c>
      <c r="H94" s="75">
        <f t="shared" si="31"/>
        <v>0.84259234167173058</v>
      </c>
      <c r="I94" s="75">
        <f t="shared" si="31"/>
        <v>0.73902986218085576</v>
      </c>
      <c r="J94" s="75">
        <f t="shared" si="31"/>
        <v>0.66097739784030896</v>
      </c>
      <c r="K94" s="75">
        <f t="shared" si="31"/>
        <v>0.58606044501814447</v>
      </c>
      <c r="L94" s="75">
        <f t="shared" si="31"/>
        <v>0.53997664121329203</v>
      </c>
      <c r="M94" s="75">
        <f t="shared" si="31"/>
        <v>0.5024437885498737</v>
      </c>
      <c r="N94" s="75">
        <f t="shared" si="31"/>
        <v>0.45596239056482307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-1.4078347684597028</v>
      </c>
      <c r="F95" s="56">
        <f t="shared" si="32"/>
        <v>-0.98820354320939152</v>
      </c>
      <c r="G95" s="56">
        <f t="shared" si="32"/>
        <v>-0.80054921402190204</v>
      </c>
      <c r="H95" s="56">
        <f t="shared" si="32"/>
        <v>-0.67707793586960863</v>
      </c>
      <c r="I95" s="56">
        <f t="shared" si="32"/>
        <v>-0.59611459754590335</v>
      </c>
      <c r="J95" s="56">
        <f t="shared" si="32"/>
        <v>-0.53856792145764143</v>
      </c>
      <c r="K95" s="56">
        <f t="shared" si="32"/>
        <v>-0.49470367566476203</v>
      </c>
      <c r="L95" s="56">
        <f t="shared" si="32"/>
        <v>-0.45480260605769185</v>
      </c>
      <c r="M95" s="56">
        <f t="shared" si="32"/>
        <v>-0.4237267015629283</v>
      </c>
      <c r="N95" s="56">
        <f t="shared" si="32"/>
        <v>-0.38620036835890398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0.1071324848954478</v>
      </c>
      <c r="F96" s="56">
        <f t="shared" si="33"/>
        <v>0.2330005180915834</v>
      </c>
      <c r="G96" s="56">
        <f t="shared" si="33"/>
        <v>0.17895443910199227</v>
      </c>
      <c r="H96" s="56">
        <f t="shared" si="33"/>
        <v>0.16551440580212196</v>
      </c>
      <c r="I96" s="56">
        <f t="shared" si="33"/>
        <v>0.14291526463495241</v>
      </c>
      <c r="J96" s="56">
        <f t="shared" si="33"/>
        <v>0.12240947638266753</v>
      </c>
      <c r="K96" s="56">
        <f t="shared" si="33"/>
        <v>9.1356769353382439E-2</v>
      </c>
      <c r="L96" s="56">
        <f t="shared" si="33"/>
        <v>8.5174035155600181E-2</v>
      </c>
      <c r="M96" s="56">
        <f t="shared" si="33"/>
        <v>7.8717086986945406E-2</v>
      </c>
      <c r="N96" s="56">
        <f t="shared" si="33"/>
        <v>6.9762022205919094E-2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ht="13.8" x14ac:dyDescent="0.3">
      <c r="A11" s="3" t="str">
        <f>Inputs!A16</f>
        <v>D&amp;G Roustabout</v>
      </c>
      <c r="B11"/>
      <c r="C11" s="126">
        <v>1</v>
      </c>
      <c r="D11" s="55"/>
      <c r="E11" s="117">
        <f>$C11*Inputs!E45</f>
        <v>0.3</v>
      </c>
      <c r="F11" s="117">
        <f>$C11*Inputs!F45</f>
        <v>0.27710082416887521</v>
      </c>
      <c r="G11" s="117">
        <f>$C11*Inputs!G45</f>
        <v>0.25594955585023299</v>
      </c>
      <c r="H11" s="117">
        <f>$C11*Inputs!H45</f>
        <v>0.23641277623919038</v>
      </c>
      <c r="I11" s="117">
        <f>$C11*Inputs!I45</f>
        <v>0.21836725046643843</v>
      </c>
      <c r="J11" s="117">
        <f>$C11*Inputs!J45</f>
        <v>0.20169915025247095</v>
      </c>
      <c r="K11" s="117">
        <f>$C11*Inputs!K45</f>
        <v>0.18630333589707165</v>
      </c>
      <c r="L11" s="117">
        <f>$C11*Inputs!L45</f>
        <v>0.17208269307496449</v>
      </c>
      <c r="M11" s="117">
        <f>$C11*Inputs!M45</f>
        <v>0.15894752025424083</v>
      </c>
      <c r="N11" s="117">
        <f>$C11*Inputs!N45</f>
        <v>0.14681496287349707</v>
      </c>
    </row>
    <row r="12" spans="1:15" ht="13.8" x14ac:dyDescent="0.3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ht="13.8" x14ac:dyDescent="0.3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 t="shared" ref="E19:N19" si="2">SUM(E9:E18)</f>
        <v>0.3</v>
      </c>
      <c r="F19" s="54">
        <f t="shared" si="2"/>
        <v>0.27710082416887521</v>
      </c>
      <c r="G19" s="54">
        <f t="shared" si="2"/>
        <v>0.25594955585023299</v>
      </c>
      <c r="H19" s="54">
        <f t="shared" si="2"/>
        <v>0.23641277623919038</v>
      </c>
      <c r="I19" s="54">
        <f t="shared" si="2"/>
        <v>0.21836725046643843</v>
      </c>
      <c r="J19" s="54">
        <f t="shared" si="2"/>
        <v>0.20169915025247095</v>
      </c>
      <c r="K19" s="54">
        <f t="shared" si="2"/>
        <v>0.18630333589707165</v>
      </c>
      <c r="L19" s="54">
        <f t="shared" si="2"/>
        <v>0.17208269307496449</v>
      </c>
      <c r="M19" s="54">
        <f t="shared" si="2"/>
        <v>0.15894752025424083</v>
      </c>
      <c r="N19" s="54">
        <f t="shared" si="2"/>
        <v>0.14681496287349707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 t="shared" ref="E22:N22" si="3">E19</f>
        <v>0.3</v>
      </c>
      <c r="F22" s="56">
        <f t="shared" si="3"/>
        <v>0.27710082416887521</v>
      </c>
      <c r="G22" s="56">
        <f t="shared" si="3"/>
        <v>0.25594955585023299</v>
      </c>
      <c r="H22" s="56">
        <f t="shared" si="3"/>
        <v>0.23641277623919038</v>
      </c>
      <c r="I22" s="56">
        <f t="shared" si="3"/>
        <v>0.21836725046643843</v>
      </c>
      <c r="J22" s="56">
        <f t="shared" si="3"/>
        <v>0.20169915025247095</v>
      </c>
      <c r="K22" s="56">
        <f t="shared" si="3"/>
        <v>0.18630333589707165</v>
      </c>
      <c r="L22" s="56">
        <f t="shared" si="3"/>
        <v>0.17208269307496449</v>
      </c>
      <c r="M22" s="56">
        <f t="shared" si="3"/>
        <v>0.15894752025424083</v>
      </c>
      <c r="N22" s="56">
        <f t="shared" si="3"/>
        <v>0.14681496287349707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0.3</v>
      </c>
      <c r="F23" s="56">
        <f>SUMPRODUCT(F9:F18,Inputs!$C$43:$C$52)</f>
        <v>0.27710082416887521</v>
      </c>
      <c r="G23" s="56">
        <f>SUMPRODUCT(G9:G18,Inputs!$C$43:$C$52)</f>
        <v>0.25594955585023299</v>
      </c>
      <c r="H23" s="56">
        <f>SUMPRODUCT(H9:H18,Inputs!$C$43:$C$52)</f>
        <v>0.23641277623919038</v>
      </c>
      <c r="I23" s="56">
        <f>SUMPRODUCT(I9:I18,Inputs!$C$43:$C$52)</f>
        <v>0.21836725046643843</v>
      </c>
      <c r="J23" s="56">
        <f>SUMPRODUCT(J9:J18,Inputs!$C$43:$C$52)</f>
        <v>0.20169915025247095</v>
      </c>
      <c r="K23" s="56">
        <f>SUMPRODUCT(K9:K18,Inputs!$C$43:$C$52)</f>
        <v>0.18630333589707165</v>
      </c>
      <c r="L23" s="56">
        <f>SUMPRODUCT(L9:L18,Inputs!$C$43:$C$52)</f>
        <v>0.17208269307496449</v>
      </c>
      <c r="M23" s="56">
        <f>SUMPRODUCT(M9:M18,Inputs!$C$43:$C$52)</f>
        <v>0.15894752025424083</v>
      </c>
      <c r="N23" s="56">
        <f>SUMPRODUCT(N9:N18,Inputs!$C$43:$C$52)</f>
        <v>0.14681496287349707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0.29232000000000002</v>
      </c>
      <c r="F24" s="56">
        <f t="shared" si="5"/>
        <v>0.270007043070152</v>
      </c>
      <c r="G24" s="56">
        <f t="shared" si="5"/>
        <v>0.24939724722046705</v>
      </c>
      <c r="H24" s="56">
        <f t="shared" si="5"/>
        <v>0.23036060916746712</v>
      </c>
      <c r="I24" s="56">
        <f t="shared" si="5"/>
        <v>0.21277704885449761</v>
      </c>
      <c r="J24" s="56">
        <f t="shared" si="5"/>
        <v>0.1965356520060077</v>
      </c>
      <c r="K24" s="56">
        <f t="shared" si="5"/>
        <v>0.18153397049810663</v>
      </c>
      <c r="L24" s="56">
        <f t="shared" si="5"/>
        <v>0.1676773761322454</v>
      </c>
      <c r="M24" s="56">
        <f t="shared" si="5"/>
        <v>0.15487846373573227</v>
      </c>
      <c r="N24" s="56">
        <f t="shared" si="5"/>
        <v>0.14305649982393556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0.10641</v>
      </c>
      <c r="F25" s="56">
        <f t="shared" si="5"/>
        <v>9.8287662332700046E-2</v>
      </c>
      <c r="G25" s="56">
        <f t="shared" si="5"/>
        <v>9.0785307460077652E-2</v>
      </c>
      <c r="H25" s="56">
        <f t="shared" si="5"/>
        <v>8.3855611732040827E-2</v>
      </c>
      <c r="I25" s="56">
        <f t="shared" si="5"/>
        <v>7.7454863740445717E-2</v>
      </c>
      <c r="J25" s="56">
        <f t="shared" si="5"/>
        <v>7.1542688594551457E-2</v>
      </c>
      <c r="K25" s="56">
        <f t="shared" si="5"/>
        <v>6.6081793242691325E-2</v>
      </c>
      <c r="L25" s="56">
        <f t="shared" si="5"/>
        <v>6.1037731233689906E-2</v>
      </c>
      <c r="M25" s="56">
        <f t="shared" si="5"/>
        <v>5.6378685434179225E-2</v>
      </c>
      <c r="N25" s="56">
        <f t="shared" si="5"/>
        <v>5.2075267331229413E-2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2.6483999999999997E-2</v>
      </c>
      <c r="F26" s="56">
        <f t="shared" si="5"/>
        <v>2.4462460757628302E-2</v>
      </c>
      <c r="G26" s="56">
        <f t="shared" si="5"/>
        <v>2.2595226790458566E-2</v>
      </c>
      <c r="H26" s="56">
        <f t="shared" si="5"/>
        <v>2.0870519886395725E-2</v>
      </c>
      <c r="I26" s="56">
        <f t="shared" si="5"/>
        <v>1.9277460871177182E-2</v>
      </c>
      <c r="J26" s="56">
        <f t="shared" si="5"/>
        <v>1.7806000984288136E-2</v>
      </c>
      <c r="K26" s="56">
        <f t="shared" si="5"/>
        <v>1.6446858492993485E-2</v>
      </c>
      <c r="L26" s="56">
        <f t="shared" si="5"/>
        <v>1.5191460144657864E-2</v>
      </c>
      <c r="M26" s="56">
        <f t="shared" si="5"/>
        <v>1.4031887088044381E-2</v>
      </c>
      <c r="N26" s="56">
        <f t="shared" si="5"/>
        <v>1.2960824922472322E-2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3.7673999999999999E-2</v>
      </c>
      <c r="F27" s="56">
        <f t="shared" si="5"/>
        <v>3.4798321499127351E-2</v>
      </c>
      <c r="G27" s="56">
        <f t="shared" si="5"/>
        <v>3.2142145223672258E-2</v>
      </c>
      <c r="H27" s="56">
        <f t="shared" si="5"/>
        <v>2.9688716440117526E-2</v>
      </c>
      <c r="I27" s="56">
        <f t="shared" si="5"/>
        <v>2.7422559313575338E-2</v>
      </c>
      <c r="J27" s="56">
        <f t="shared" si="5"/>
        <v>2.5329379288705302E-2</v>
      </c>
      <c r="K27" s="56">
        <f t="shared" si="5"/>
        <v>2.3395972921954257E-2</v>
      </c>
      <c r="L27" s="56">
        <f t="shared" si="5"/>
        <v>2.161014459635404E-2</v>
      </c>
      <c r="M27" s="56">
        <f t="shared" si="5"/>
        <v>1.9960629593527564E-2</v>
      </c>
      <c r="N27" s="56">
        <f t="shared" si="5"/>
        <v>1.8437023037653762E-2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1.7516999999999998E-2</v>
      </c>
      <c r="F28" s="56">
        <f t="shared" si="5"/>
        <v>1.6179917123220623E-2</v>
      </c>
      <c r="G28" s="56">
        <f t="shared" si="5"/>
        <v>1.4944894566095103E-2</v>
      </c>
      <c r="H28" s="56">
        <f t="shared" si="5"/>
        <v>1.3804142004606326E-2</v>
      </c>
      <c r="I28" s="56">
        <f t="shared" si="5"/>
        <v>1.2750463754735339E-2</v>
      </c>
      <c r="J28" s="56">
        <f t="shared" si="5"/>
        <v>1.1777213383241779E-2</v>
      </c>
      <c r="K28" s="56">
        <f t="shared" si="5"/>
        <v>1.0878251783030013E-2</v>
      </c>
      <c r="L28" s="56">
        <f t="shared" si="5"/>
        <v>1.0047908448647176E-2</v>
      </c>
      <c r="M28" s="56">
        <f t="shared" si="5"/>
        <v>9.2809457076451218E-3</v>
      </c>
      <c r="N28" s="56">
        <f t="shared" si="5"/>
        <v>8.572525682183493E-3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1.5158999999999999E-2</v>
      </c>
      <c r="F29" s="56">
        <f t="shared" si="5"/>
        <v>1.4001904645253265E-2</v>
      </c>
      <c r="G29" s="56">
        <f t="shared" si="5"/>
        <v>1.2933131057112272E-2</v>
      </c>
      <c r="H29" s="56">
        <f t="shared" si="5"/>
        <v>1.194593758336629E-2</v>
      </c>
      <c r="I29" s="56">
        <f t="shared" si="5"/>
        <v>1.1034097166069134E-2</v>
      </c>
      <c r="J29" s="56">
        <f t="shared" si="5"/>
        <v>1.0191858062257357E-2</v>
      </c>
      <c r="K29" s="56">
        <f t="shared" si="5"/>
        <v>9.4139075628790307E-3</v>
      </c>
      <c r="L29" s="56">
        <f t="shared" si="5"/>
        <v>8.6953384810779556E-3</v>
      </c>
      <c r="M29" s="56">
        <f t="shared" si="5"/>
        <v>8.0316181984467893E-3</v>
      </c>
      <c r="N29" s="56">
        <f t="shared" si="5"/>
        <v>7.4185600739978073E-3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4.7964E-2</v>
      </c>
      <c r="F30" s="56">
        <f t="shared" si="5"/>
        <v>4.4302879768119766E-2</v>
      </c>
      <c r="G30" s="56">
        <f t="shared" si="5"/>
        <v>4.092121498933525E-2</v>
      </c>
      <c r="H30" s="56">
        <f t="shared" si="5"/>
        <v>3.779767466512176E-2</v>
      </c>
      <c r="I30" s="56">
        <f t="shared" si="5"/>
        <v>3.4912556004574172E-2</v>
      </c>
      <c r="J30" s="56">
        <f t="shared" si="5"/>
        <v>3.2247660142365055E-2</v>
      </c>
      <c r="K30" s="56">
        <f t="shared" si="5"/>
        <v>2.9786177343223814E-2</v>
      </c>
      <c r="L30" s="56">
        <f t="shared" si="5"/>
        <v>2.751258096882532E-2</v>
      </c>
      <c r="M30" s="56">
        <f t="shared" si="5"/>
        <v>2.5412529538248022E-2</v>
      </c>
      <c r="N30" s="56">
        <f t="shared" si="5"/>
        <v>2.347277626421471E-2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7.3080000000000006E-2</v>
      </c>
      <c r="F33" s="56">
        <f t="shared" si="6"/>
        <v>6.7501760767537999E-2</v>
      </c>
      <c r="G33" s="56">
        <f t="shared" si="6"/>
        <v>6.2349311805116762E-2</v>
      </c>
      <c r="H33" s="56">
        <f t="shared" si="6"/>
        <v>5.7590152291866779E-2</v>
      </c>
      <c r="I33" s="56">
        <f t="shared" si="6"/>
        <v>5.3194262213624402E-2</v>
      </c>
      <c r="J33" s="56">
        <f t="shared" si="6"/>
        <v>4.9133913001501925E-2</v>
      </c>
      <c r="K33" s="56">
        <f t="shared" si="6"/>
        <v>4.5383492624526657E-2</v>
      </c>
      <c r="L33" s="56">
        <f t="shared" si="6"/>
        <v>4.191934403306135E-2</v>
      </c>
      <c r="M33" s="56">
        <f t="shared" si="6"/>
        <v>3.8719615933933069E-2</v>
      </c>
      <c r="N33" s="56">
        <f t="shared" si="6"/>
        <v>3.5764124955983891E-2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6.9166500000000006E-2</v>
      </c>
      <c r="F34" s="56">
        <f t="shared" si="7"/>
        <v>6.3886980516255035E-2</v>
      </c>
      <c r="G34" s="56">
        <f t="shared" si="7"/>
        <v>5.9010449849050475E-2</v>
      </c>
      <c r="H34" s="56">
        <f t="shared" si="7"/>
        <v>5.4506147625826541E-2</v>
      </c>
      <c r="I34" s="56">
        <f t="shared" si="7"/>
        <v>5.0345661431289719E-2</v>
      </c>
      <c r="J34" s="56">
        <f t="shared" si="7"/>
        <v>4.6502747586458448E-2</v>
      </c>
      <c r="K34" s="56">
        <f t="shared" si="7"/>
        <v>4.2953165607749366E-2</v>
      </c>
      <c r="L34" s="56">
        <f t="shared" si="7"/>
        <v>3.9674525301898439E-2</v>
      </c>
      <c r="M34" s="56">
        <f t="shared" si="7"/>
        <v>3.6646145532216498E-2</v>
      </c>
      <c r="N34" s="56">
        <f t="shared" si="7"/>
        <v>3.3848923765299119E-2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2.2511399999999997E-2</v>
      </c>
      <c r="F35" s="56">
        <f t="shared" si="8"/>
        <v>2.0793091643984057E-2</v>
      </c>
      <c r="G35" s="56">
        <f t="shared" si="8"/>
        <v>1.9205942771889781E-2</v>
      </c>
      <c r="H35" s="56">
        <f t="shared" si="8"/>
        <v>1.7739941903436366E-2</v>
      </c>
      <c r="I35" s="56">
        <f t="shared" si="8"/>
        <v>1.6385841740500603E-2</v>
      </c>
      <c r="J35" s="56">
        <f t="shared" si="8"/>
        <v>1.5135100836644915E-2</v>
      </c>
      <c r="K35" s="56">
        <f t="shared" si="8"/>
        <v>1.3979829719044462E-2</v>
      </c>
      <c r="L35" s="56">
        <f t="shared" si="8"/>
        <v>1.2912741122959185E-2</v>
      </c>
      <c r="M35" s="56">
        <f t="shared" si="8"/>
        <v>1.1927104024837723E-2</v>
      </c>
      <c r="N35" s="56">
        <f t="shared" si="8"/>
        <v>1.1016701184101474E-2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3.3906600000000002E-2</v>
      </c>
      <c r="F36" s="56">
        <f t="shared" si="9"/>
        <v>3.1318489349214614E-2</v>
      </c>
      <c r="G36" s="56">
        <f t="shared" si="9"/>
        <v>2.8927930701305032E-2</v>
      </c>
      <c r="H36" s="56">
        <f t="shared" si="9"/>
        <v>2.6719844796105775E-2</v>
      </c>
      <c r="I36" s="56">
        <f t="shared" si="9"/>
        <v>2.4680303382217807E-2</v>
      </c>
      <c r="J36" s="56">
        <f t="shared" si="9"/>
        <v>2.2796441359834774E-2</v>
      </c>
      <c r="K36" s="56">
        <f t="shared" si="9"/>
        <v>2.1056375629758831E-2</v>
      </c>
      <c r="L36" s="56">
        <f t="shared" si="9"/>
        <v>1.9449130136718638E-2</v>
      </c>
      <c r="M36" s="56">
        <f t="shared" si="9"/>
        <v>1.7964566634174808E-2</v>
      </c>
      <c r="N36" s="56">
        <f t="shared" si="9"/>
        <v>1.6593320733888386E-2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1.6641149999999997E-2</v>
      </c>
      <c r="F37" s="56">
        <f t="shared" si="10"/>
        <v>1.5370921267059591E-2</v>
      </c>
      <c r="G37" s="56">
        <f t="shared" si="10"/>
        <v>1.4197649837790347E-2</v>
      </c>
      <c r="H37" s="56">
        <f t="shared" si="10"/>
        <v>1.3113934904376009E-2</v>
      </c>
      <c r="I37" s="56">
        <f t="shared" si="10"/>
        <v>1.211294056699857E-2</v>
      </c>
      <c r="J37" s="56">
        <f t="shared" si="10"/>
        <v>1.118835271407969E-2</v>
      </c>
      <c r="K37" s="56">
        <f t="shared" si="10"/>
        <v>1.0334339193878512E-2</v>
      </c>
      <c r="L37" s="56">
        <f t="shared" si="10"/>
        <v>9.545513026214817E-3</v>
      </c>
      <c r="M37" s="56">
        <f t="shared" si="10"/>
        <v>8.8168984222628654E-3</v>
      </c>
      <c r="N37" s="56">
        <f t="shared" si="10"/>
        <v>8.1438993980743179E-3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1.4401049999999999E-2</v>
      </c>
      <c r="F38" s="56">
        <f t="shared" si="11"/>
        <v>1.3301809412990601E-2</v>
      </c>
      <c r="G38" s="56">
        <f t="shared" si="11"/>
        <v>1.2286474504256658E-2</v>
      </c>
      <c r="H38" s="56">
        <f t="shared" si="11"/>
        <v>1.1348640704197974E-2</v>
      </c>
      <c r="I38" s="56">
        <f t="shared" si="11"/>
        <v>1.0482392307765676E-2</v>
      </c>
      <c r="J38" s="56">
        <f t="shared" si="11"/>
        <v>9.6822651591444882E-3</v>
      </c>
      <c r="K38" s="56">
        <f t="shared" si="11"/>
        <v>8.9432121847350787E-3</v>
      </c>
      <c r="L38" s="56">
        <f t="shared" si="11"/>
        <v>8.2605715570240566E-3</v>
      </c>
      <c r="M38" s="56">
        <f t="shared" si="11"/>
        <v>7.6300372885244492E-3</v>
      </c>
      <c r="N38" s="56">
        <f t="shared" si="11"/>
        <v>7.0476320702979166E-3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4.7775405551999994E-2</v>
      </c>
      <c r="F39" s="56">
        <f t="shared" si="12"/>
        <v>4.4128680844871516E-2</v>
      </c>
      <c r="G39" s="56">
        <f t="shared" si="12"/>
        <v>4.0760312771997181E-2</v>
      </c>
      <c r="H39" s="56">
        <f t="shared" si="12"/>
        <v>3.76490542083385E-2</v>
      </c>
      <c r="I39" s="56">
        <f t="shared" si="12"/>
        <v>3.4775279834364181E-2</v>
      </c>
      <c r="J39" s="56">
        <f t="shared" si="12"/>
        <v>3.2120862342685276E-2</v>
      </c>
      <c r="K39" s="56">
        <f t="shared" si="12"/>
        <v>2.9669058093910256E-2</v>
      </c>
      <c r="L39" s="56">
        <f t="shared" si="12"/>
        <v>2.7404401500455897E-2</v>
      </c>
      <c r="M39" s="56">
        <f t="shared" si="12"/>
        <v>2.5312607472103631E-2</v>
      </c>
      <c r="N39" s="56">
        <f t="shared" si="12"/>
        <v>2.3380481307943818E-2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0.27748210555199998</v>
      </c>
      <c r="F40" s="56">
        <f t="shared" si="13"/>
        <v>0.2563017338019134</v>
      </c>
      <c r="G40" s="56">
        <f t="shared" si="13"/>
        <v>0.23673807224140622</v>
      </c>
      <c r="H40" s="56">
        <f t="shared" si="13"/>
        <v>0.21866771643414795</v>
      </c>
      <c r="I40" s="56">
        <f t="shared" si="13"/>
        <v>0.20197668147676098</v>
      </c>
      <c r="J40" s="56">
        <f t="shared" si="13"/>
        <v>0.18655968300034953</v>
      </c>
      <c r="K40" s="56">
        <f t="shared" si="13"/>
        <v>0.17231947305360315</v>
      </c>
      <c r="L40" s="56">
        <f t="shared" si="13"/>
        <v>0.15916622667833238</v>
      </c>
      <c r="M40" s="56">
        <f t="shared" si="13"/>
        <v>0.14701697530805305</v>
      </c>
      <c r="N40" s="56">
        <f t="shared" si="13"/>
        <v>0.13579508341558894</v>
      </c>
    </row>
    <row r="41" spans="1:14" x14ac:dyDescent="0.25">
      <c r="C41" s="57" t="s">
        <v>59</v>
      </c>
      <c r="D41" s="59"/>
      <c r="E41" s="56">
        <f t="shared" ref="E41:N41" si="14">E40/42</f>
        <v>6.6067167988571422E-3</v>
      </c>
      <c r="F41" s="56">
        <f t="shared" si="14"/>
        <v>6.1024222333788906E-3</v>
      </c>
      <c r="G41" s="56">
        <f t="shared" si="14"/>
        <v>5.6366207676525294E-3</v>
      </c>
      <c r="H41" s="56">
        <f t="shared" si="14"/>
        <v>5.2063742008130465E-3</v>
      </c>
      <c r="I41" s="56">
        <f t="shared" si="14"/>
        <v>4.8089686065895471E-3</v>
      </c>
      <c r="J41" s="56">
        <f t="shared" si="14"/>
        <v>4.4418972142940367E-3</v>
      </c>
      <c r="K41" s="56">
        <f t="shared" si="14"/>
        <v>4.1028445965143609E-3</v>
      </c>
      <c r="L41" s="56">
        <f t="shared" si="14"/>
        <v>3.7896720637698189E-3</v>
      </c>
      <c r="M41" s="56">
        <f t="shared" si="14"/>
        <v>3.500404174001263E-3</v>
      </c>
      <c r="N41" s="56">
        <f t="shared" si="14"/>
        <v>3.2332162717997365E-3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4.8466656000000011E-3</v>
      </c>
      <c r="F43" s="56">
        <f t="shared" si="15"/>
        <v>4.4767167741031205E-3</v>
      </c>
      <c r="G43" s="56">
        <f t="shared" si="15"/>
        <v>4.1350063589153437E-3</v>
      </c>
      <c r="H43" s="56">
        <f t="shared" si="15"/>
        <v>3.819378899996605E-3</v>
      </c>
      <c r="I43" s="56">
        <f t="shared" si="15"/>
        <v>3.5278434700075707E-3</v>
      </c>
      <c r="J43" s="56">
        <f t="shared" si="15"/>
        <v>3.258561110259608E-3</v>
      </c>
      <c r="K43" s="56">
        <f t="shared" si="15"/>
        <v>3.0098332308586082E-3</v>
      </c>
      <c r="L43" s="56">
        <f t="shared" si="15"/>
        <v>2.7800908962726288E-3</v>
      </c>
      <c r="M43" s="56">
        <f t="shared" si="15"/>
        <v>2.5678849287384411E-3</v>
      </c>
      <c r="N43" s="56">
        <f t="shared" si="15"/>
        <v>2.3718767670808517E-3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6.3303255795000004E-3</v>
      </c>
      <c r="F44" s="56">
        <f t="shared" ref="F44:N49" si="16">+$D43*F34</f>
        <v>4.2369845478380345E-3</v>
      </c>
      <c r="G44" s="56">
        <f t="shared" si="16"/>
        <v>3.9135730339890278E-3</v>
      </c>
      <c r="H44" s="56">
        <f t="shared" si="16"/>
        <v>3.6148477105448166E-3</v>
      </c>
      <c r="I44" s="56">
        <f t="shared" si="16"/>
        <v>3.3389242661231344E-3</v>
      </c>
      <c r="J44" s="56">
        <f t="shared" si="16"/>
        <v>3.0840622199339246E-3</v>
      </c>
      <c r="K44" s="56">
        <f t="shared" si="16"/>
        <v>2.848653943105938E-3</v>
      </c>
      <c r="L44" s="56">
        <f t="shared" si="16"/>
        <v>2.6312145180219047E-3</v>
      </c>
      <c r="M44" s="56">
        <f t="shared" si="16"/>
        <v>2.4303723716965985E-3</v>
      </c>
      <c r="N44" s="56">
        <f t="shared" si="16"/>
        <v>2.2448606241146376E-3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2.2429233389999999E-3</v>
      </c>
      <c r="F45" s="56">
        <f t="shared" si="16"/>
        <v>1.9030461265323528E-3</v>
      </c>
      <c r="G45" s="56">
        <f t="shared" si="16"/>
        <v>1.7577855003116684E-3</v>
      </c>
      <c r="H45" s="56">
        <f t="shared" si="16"/>
        <v>1.6236127028282064E-3</v>
      </c>
      <c r="I45" s="56">
        <f t="shared" si="16"/>
        <v>1.4996813936158366E-3</v>
      </c>
      <c r="J45" s="56">
        <f t="shared" si="16"/>
        <v>1.3852098338722524E-3</v>
      </c>
      <c r="K45" s="56">
        <f t="shared" si="16"/>
        <v>1.2794759553761061E-3</v>
      </c>
      <c r="L45" s="56">
        <f t="shared" si="16"/>
        <v>1.1818128057965933E-3</v>
      </c>
      <c r="M45" s="56">
        <f t="shared" si="16"/>
        <v>1.0916043416652229E-3</v>
      </c>
      <c r="N45" s="56">
        <f t="shared" si="16"/>
        <v>1.0082815424725191E-3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3.5164534859999999E-3</v>
      </c>
      <c r="F46" s="56">
        <f t="shared" si="16"/>
        <v>3.1204176863089982E-3</v>
      </c>
      <c r="G46" s="56">
        <f t="shared" si="16"/>
        <v>2.882234375424527E-3</v>
      </c>
      <c r="H46" s="56">
        <f t="shared" si="16"/>
        <v>2.6622317362599989E-3</v>
      </c>
      <c r="I46" s="56">
        <f t="shared" si="16"/>
        <v>2.4590220274872711E-3</v>
      </c>
      <c r="J46" s="56">
        <f t="shared" si="16"/>
        <v>2.2713234348871376E-3</v>
      </c>
      <c r="K46" s="56">
        <f t="shared" si="16"/>
        <v>2.0979519858710209E-3</v>
      </c>
      <c r="L46" s="56">
        <f t="shared" si="16"/>
        <v>1.9378140811719615E-3</v>
      </c>
      <c r="M46" s="56">
        <f t="shared" si="16"/>
        <v>1.7898995965960069E-3</v>
      </c>
      <c r="N46" s="56">
        <f t="shared" si="16"/>
        <v>1.6532755113209693E-3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1.8238700399999996E-3</v>
      </c>
      <c r="F47" s="56">
        <f t="shared" si="16"/>
        <v>1.5941182446067501E-3</v>
      </c>
      <c r="G47" s="56">
        <f t="shared" si="16"/>
        <v>1.4724382646772369E-3</v>
      </c>
      <c r="H47" s="56">
        <f t="shared" si="16"/>
        <v>1.3600461889328359E-3</v>
      </c>
      <c r="I47" s="56">
        <f t="shared" si="16"/>
        <v>1.2562330662034217E-3</v>
      </c>
      <c r="J47" s="56">
        <f t="shared" si="16"/>
        <v>1.1603440599772046E-3</v>
      </c>
      <c r="K47" s="56">
        <f t="shared" si="16"/>
        <v>1.0717743177971403E-3</v>
      </c>
      <c r="L47" s="56">
        <f t="shared" si="16"/>
        <v>9.8996515594873872E-4</v>
      </c>
      <c r="M47" s="56">
        <f t="shared" si="16"/>
        <v>9.1440053537288177E-4</v>
      </c>
      <c r="N47" s="56">
        <f t="shared" si="16"/>
        <v>8.4460380657428748E-4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1.5976524869999998E-3</v>
      </c>
      <c r="F48" s="56">
        <f t="shared" si="16"/>
        <v>1.45787831166377E-3</v>
      </c>
      <c r="G48" s="56">
        <f t="shared" si="16"/>
        <v>1.3465976056665297E-3</v>
      </c>
      <c r="H48" s="56">
        <f t="shared" si="16"/>
        <v>1.2438110211800981E-3</v>
      </c>
      <c r="I48" s="56">
        <f t="shared" si="16"/>
        <v>1.1488701969311181E-3</v>
      </c>
      <c r="J48" s="56">
        <f t="shared" si="16"/>
        <v>1.061176261442236E-3</v>
      </c>
      <c r="K48" s="56">
        <f t="shared" si="16"/>
        <v>9.8017605544696465E-4</v>
      </c>
      <c r="L48" s="56">
        <f t="shared" si="16"/>
        <v>9.0535864264983665E-4</v>
      </c>
      <c r="M48" s="56">
        <f t="shared" si="16"/>
        <v>8.3625208682227962E-4</v>
      </c>
      <c r="N48" s="56">
        <f t="shared" si="16"/>
        <v>7.7242047490465164E-4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5.8440787087428473E-3</v>
      </c>
      <c r="F49" s="56">
        <f t="shared" si="16"/>
        <v>4.8956358529300458E-3</v>
      </c>
      <c r="G49" s="56">
        <f t="shared" si="16"/>
        <v>4.521949098925367E-3</v>
      </c>
      <c r="H49" s="56">
        <f t="shared" si="16"/>
        <v>4.1767860738730735E-3</v>
      </c>
      <c r="I49" s="56">
        <f t="shared" si="16"/>
        <v>3.857969544824362E-3</v>
      </c>
      <c r="J49" s="56">
        <f t="shared" si="16"/>
        <v>3.5634884682975046E-3</v>
      </c>
      <c r="K49" s="56">
        <f t="shared" si="16"/>
        <v>3.2914853049384038E-3</v>
      </c>
      <c r="L49" s="56">
        <f t="shared" si="16"/>
        <v>3.0402443024605771E-3</v>
      </c>
      <c r="M49" s="56">
        <f t="shared" si="16"/>
        <v>2.8081806729551768E-3</v>
      </c>
      <c r="N49" s="56">
        <f t="shared" si="16"/>
        <v>2.5938305963032872E-3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2.6201969240242848E-2</v>
      </c>
      <c r="F50" s="56">
        <f t="shared" si="17"/>
        <v>2.1684797543983069E-2</v>
      </c>
      <c r="G50" s="56">
        <f t="shared" si="17"/>
        <v>2.0029584237909702E-2</v>
      </c>
      <c r="H50" s="56">
        <f t="shared" si="17"/>
        <v>1.8500714333615637E-2</v>
      </c>
      <c r="I50" s="56">
        <f t="shared" si="17"/>
        <v>1.7088543965192715E-2</v>
      </c>
      <c r="J50" s="56">
        <f t="shared" si="17"/>
        <v>1.5784165388669866E-2</v>
      </c>
      <c r="K50" s="56">
        <f t="shared" si="17"/>
        <v>1.4579350793394182E-2</v>
      </c>
      <c r="L50" s="56">
        <f t="shared" si="17"/>
        <v>1.3466500402322241E-2</v>
      </c>
      <c r="M50" s="56">
        <f t="shared" si="17"/>
        <v>1.2438594533846607E-2</v>
      </c>
      <c r="N50" s="56">
        <f t="shared" si="17"/>
        <v>1.1489149322771203E-2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0.10905341478942947</v>
      </c>
      <c r="F51" s="56">
        <f t="shared" si="18"/>
        <v>6.6043083869970182E-2</v>
      </c>
      <c r="G51" s="56">
        <f t="shared" si="18"/>
        <v>5.5332352381732987E-2</v>
      </c>
      <c r="H51" s="56">
        <f t="shared" si="18"/>
        <v>4.9339670685784133E-2</v>
      </c>
      <c r="I51" s="56">
        <f t="shared" si="18"/>
        <v>4.5407999434509433E-2</v>
      </c>
      <c r="J51" s="56">
        <f t="shared" si="18"/>
        <v>4.2060361464289639E-2</v>
      </c>
      <c r="K51" s="56">
        <f t="shared" si="18"/>
        <v>3.9166514697028885E-2</v>
      </c>
      <c r="L51" s="56">
        <f t="shared" si="18"/>
        <v>3.6572490123881765E-2</v>
      </c>
      <c r="M51" s="56">
        <f t="shared" si="18"/>
        <v>3.4433916730479228E-2</v>
      </c>
      <c r="N51" s="56">
        <f t="shared" si="18"/>
        <v>3.2581073263881113E-2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6.0000000000000001E-3</v>
      </c>
      <c r="F54" s="61">
        <f t="shared" si="19"/>
        <v>5.5420164833775041E-3</v>
      </c>
      <c r="G54" s="61">
        <f t="shared" si="19"/>
        <v>5.1189911170046601E-3</v>
      </c>
      <c r="H54" s="61">
        <f t="shared" si="19"/>
        <v>4.7282555247838073E-3</v>
      </c>
      <c r="I54" s="61">
        <f t="shared" si="19"/>
        <v>4.3673450093287686E-3</v>
      </c>
      <c r="J54" s="61">
        <f t="shared" si="19"/>
        <v>4.0339830050494189E-3</v>
      </c>
      <c r="K54" s="61">
        <f t="shared" si="19"/>
        <v>3.726066717941433E-3</v>
      </c>
      <c r="L54" s="61">
        <f t="shared" si="19"/>
        <v>3.4416538614992897E-3</v>
      </c>
      <c r="M54" s="61">
        <f t="shared" si="19"/>
        <v>3.1789504050848167E-3</v>
      </c>
      <c r="N54" s="61">
        <f t="shared" si="19"/>
        <v>2.9362992574699415E-3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2.4972187499999996E-2</v>
      </c>
      <c r="F55" s="61">
        <f t="shared" si="20"/>
        <v>1.6878730764171505E-2</v>
      </c>
      <c r="G55" s="61">
        <f t="shared" si="20"/>
        <v>1.4141372929197779E-2</v>
      </c>
      <c r="H55" s="61">
        <f t="shared" si="20"/>
        <v>1.2609814210642967E-2</v>
      </c>
      <c r="I55" s="61">
        <f t="shared" si="20"/>
        <v>1.160499104650733E-2</v>
      </c>
      <c r="J55" s="61">
        <f t="shared" si="20"/>
        <v>1.0749430150736533E-2</v>
      </c>
      <c r="K55" s="61">
        <f t="shared" si="20"/>
        <v>1.0009845358579789E-2</v>
      </c>
      <c r="L55" s="61">
        <f t="shared" si="20"/>
        <v>9.3468865777330389E-3</v>
      </c>
      <c r="M55" s="61">
        <f t="shared" si="20"/>
        <v>8.8003281432763591E-3</v>
      </c>
      <c r="N55" s="61">
        <f t="shared" si="20"/>
        <v>8.3267941380739795E-3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0.26779803075975711</v>
      </c>
      <c r="F58" s="62">
        <f t="shared" si="21"/>
        <v>0.24987401014151464</v>
      </c>
      <c r="G58" s="62">
        <f t="shared" si="21"/>
        <v>0.23080098049531861</v>
      </c>
      <c r="H58" s="62">
        <f t="shared" si="21"/>
        <v>0.21318380638079093</v>
      </c>
      <c r="I58" s="62">
        <f t="shared" si="21"/>
        <v>0.19691136149191696</v>
      </c>
      <c r="J58" s="62">
        <f t="shared" si="21"/>
        <v>0.18188100185875167</v>
      </c>
      <c r="K58" s="62">
        <f t="shared" si="21"/>
        <v>0.16799791838573605</v>
      </c>
      <c r="L58" s="62">
        <f t="shared" si="21"/>
        <v>0.15517453881114296</v>
      </c>
      <c r="M58" s="62">
        <f t="shared" si="21"/>
        <v>0.14332997531530942</v>
      </c>
      <c r="N58" s="62">
        <f t="shared" si="21"/>
        <v>0.13238951429325593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1.1145837727105701</v>
      </c>
      <c r="F59" s="64">
        <f t="shared" si="22"/>
        <v>0.76101472357443367</v>
      </c>
      <c r="G59" s="64">
        <f t="shared" si="22"/>
        <v>0.6375949211489581</v>
      </c>
      <c r="H59" s="64">
        <f t="shared" si="22"/>
        <v>0.56854122563572129</v>
      </c>
      <c r="I59" s="64">
        <f t="shared" si="22"/>
        <v>0.52323656184434975</v>
      </c>
      <c r="J59" s="64">
        <f t="shared" si="22"/>
        <v>0.48466171592180052</v>
      </c>
      <c r="K59" s="64">
        <f t="shared" si="22"/>
        <v>0.45131590787338083</v>
      </c>
      <c r="L59" s="64">
        <f t="shared" si="22"/>
        <v>0.42142495218503717</v>
      </c>
      <c r="M59" s="64">
        <f t="shared" si="22"/>
        <v>0.39678216229006241</v>
      </c>
      <c r="N59" s="64">
        <f t="shared" si="22"/>
        <v>0.37543183950174386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73.644458458933201</v>
      </c>
      <c r="F60" s="64">
        <f>F58*Inputs!F40</f>
        <v>91.20401370165284</v>
      </c>
      <c r="G60" s="64">
        <f>G58*Inputs!G40</f>
        <v>84.242357880791289</v>
      </c>
      <c r="H60" s="64">
        <f>H58*Inputs!H40</f>
        <v>78.025273135369474</v>
      </c>
      <c r="I60" s="64">
        <f>I58*Inputs!I40</f>
        <v>71.872646944549686</v>
      </c>
      <c r="J60" s="64">
        <f>J58*Inputs!J40</f>
        <v>66.386565678444356</v>
      </c>
      <c r="K60" s="64">
        <f>K58*Inputs!K40</f>
        <v>61.319240210793659</v>
      </c>
      <c r="L60" s="64">
        <f>L58*Inputs!L40</f>
        <v>56.793881204878325</v>
      </c>
      <c r="M60" s="64">
        <f>M58*Inputs!M40</f>
        <v>52.315440990087936</v>
      </c>
      <c r="N60" s="64">
        <f>N58*Inputs!N40</f>
        <v>48.322172717038413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 t="shared" ref="E81:N81" si="23">(E62+E71)*E33</f>
        <v>2.153606989684257E-2</v>
      </c>
      <c r="F81" s="67">
        <f t="shared" si="23"/>
        <v>1.2754574871771267E-2</v>
      </c>
      <c r="G81" s="67">
        <f t="shared" si="23"/>
        <v>8.3780682317631961E-3</v>
      </c>
      <c r="H81" s="67">
        <f t="shared" si="23"/>
        <v>7.603929909413003E-3</v>
      </c>
      <c r="I81" s="67">
        <f t="shared" si="23"/>
        <v>7.1095328541917364E-3</v>
      </c>
      <c r="J81" s="67">
        <f t="shared" si="23"/>
        <v>6.647868753410861E-3</v>
      </c>
      <c r="K81" s="67">
        <f t="shared" si="23"/>
        <v>6.289501922799607E-3</v>
      </c>
      <c r="L81" s="67">
        <f t="shared" si="23"/>
        <v>6.0309033029005516E-3</v>
      </c>
      <c r="M81" s="67">
        <f t="shared" si="23"/>
        <v>5.7987929937981216E-3</v>
      </c>
      <c r="N81" s="67">
        <f t="shared" si="23"/>
        <v>5.567394864193856E-3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2.9183154605216161E-2</v>
      </c>
      <c r="F82" s="67">
        <f t="shared" si="24"/>
        <v>2.0275421703114346E-2</v>
      </c>
      <c r="G82" s="67">
        <f t="shared" si="24"/>
        <v>1.7866404449080959E-2</v>
      </c>
      <c r="H82" s="67">
        <f t="shared" si="24"/>
        <v>1.6446259937384446E-2</v>
      </c>
      <c r="I82" s="67">
        <f t="shared" si="24"/>
        <v>1.5237314517733637E-2</v>
      </c>
      <c r="J82" s="67">
        <f t="shared" si="24"/>
        <v>1.4119246186143391E-2</v>
      </c>
      <c r="K82" s="67">
        <f t="shared" si="24"/>
        <v>1.1748615721445962E-2</v>
      </c>
      <c r="L82" s="67">
        <f t="shared" si="24"/>
        <v>1.0950331695941878E-2</v>
      </c>
      <c r="M82" s="67">
        <f t="shared" si="24"/>
        <v>1.0279881930557495E-2</v>
      </c>
      <c r="N82" s="67">
        <f t="shared" si="24"/>
        <v>9.7296501304220285E-3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1.0559637432012737E-2</v>
      </c>
      <c r="F83" s="67">
        <f t="shared" si="25"/>
        <v>7.7324232032105695E-3</v>
      </c>
      <c r="G83" s="67">
        <f t="shared" si="25"/>
        <v>6.5061891343955909E-3</v>
      </c>
      <c r="H83" s="67">
        <f t="shared" si="25"/>
        <v>5.9069596174427287E-3</v>
      </c>
      <c r="I83" s="67">
        <f t="shared" si="25"/>
        <v>5.4075575344019224E-3</v>
      </c>
      <c r="J83" s="67">
        <f t="shared" si="25"/>
        <v>4.9509836387526237E-3</v>
      </c>
      <c r="K83" s="67">
        <f t="shared" si="25"/>
        <v>4.5804017966752176E-3</v>
      </c>
      <c r="L83" s="67">
        <f t="shared" si="25"/>
        <v>4.2914932608265647E-3</v>
      </c>
      <c r="M83" s="67">
        <f t="shared" si="25"/>
        <v>4.0352321654690019E-3</v>
      </c>
      <c r="N83" s="67">
        <f t="shared" si="25"/>
        <v>3.7933563326044847E-3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1.5961403745554832E-2</v>
      </c>
      <c r="F84" s="67">
        <f t="shared" si="26"/>
        <v>1.1646551550857765E-2</v>
      </c>
      <c r="G84" s="67">
        <f t="shared" si="26"/>
        <v>9.7996016464679033E-3</v>
      </c>
      <c r="H84" s="67">
        <f t="shared" si="26"/>
        <v>8.8970440294599031E-3</v>
      </c>
      <c r="I84" s="67">
        <f t="shared" si="26"/>
        <v>8.1448461799778007E-3</v>
      </c>
      <c r="J84" s="67">
        <f t="shared" si="26"/>
        <v>7.4571560118753049E-3</v>
      </c>
      <c r="K84" s="67">
        <f t="shared" si="26"/>
        <v>6.8989868048698845E-3</v>
      </c>
      <c r="L84" s="67">
        <f t="shared" si="26"/>
        <v>6.4638336752730627E-3</v>
      </c>
      <c r="M84" s="67">
        <f t="shared" si="26"/>
        <v>6.0778540180393614E-3</v>
      </c>
      <c r="N84" s="67">
        <f t="shared" si="26"/>
        <v>5.713541398006664E-3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8.4690073807258889E-3</v>
      </c>
      <c r="F85" s="67">
        <f t="shared" si="27"/>
        <v>6.166380921114707E-3</v>
      </c>
      <c r="G85" s="67">
        <f t="shared" si="27"/>
        <v>5.3102674124767104E-3</v>
      </c>
      <c r="H85" s="67">
        <f t="shared" si="27"/>
        <v>4.7604080165080066E-3</v>
      </c>
      <c r="I85" s="67">
        <f t="shared" si="27"/>
        <v>4.3061121284185605E-3</v>
      </c>
      <c r="J85" s="67">
        <f t="shared" si="27"/>
        <v>3.8943584090706113E-3</v>
      </c>
      <c r="K85" s="67">
        <f t="shared" si="27"/>
        <v>3.5643538239466294E-3</v>
      </c>
      <c r="L85" s="67">
        <f t="shared" si="27"/>
        <v>3.311675057162886E-3</v>
      </c>
      <c r="M85" s="67">
        <f t="shared" si="27"/>
        <v>3.0908161928741725E-3</v>
      </c>
      <c r="N85" s="67">
        <f t="shared" si="27"/>
        <v>2.8846254155385147E-3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7.3289765875677211E-3</v>
      </c>
      <c r="F86" s="67">
        <f t="shared" si="28"/>
        <v>5.3363114907334502E-3</v>
      </c>
      <c r="G86" s="67">
        <f t="shared" si="28"/>
        <v>4.5954412117220102E-3</v>
      </c>
      <c r="H86" s="67">
        <f t="shared" si="28"/>
        <v>4.1195995388619558E-3</v>
      </c>
      <c r="I86" s="67">
        <f t="shared" si="28"/>
        <v>3.7264573702515819E-3</v>
      </c>
      <c r="J86" s="67">
        <f t="shared" si="28"/>
        <v>3.370130680087994E-3</v>
      </c>
      <c r="K86" s="67">
        <f t="shared" si="28"/>
        <v>3.0845487022439322E-3</v>
      </c>
      <c r="L86" s="67">
        <f t="shared" si="28"/>
        <v>2.8658835526364206E-3</v>
      </c>
      <c r="M86" s="67">
        <f t="shared" si="28"/>
        <v>2.6747549619101202E-3</v>
      </c>
      <c r="N86" s="67">
        <f t="shared" si="28"/>
        <v>2.4963199562795199E-3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2.4313840223605981E-2</v>
      </c>
      <c r="F87" s="67">
        <f t="shared" si="29"/>
        <v>1.770318453318253E-2</v>
      </c>
      <c r="G87" s="67">
        <f t="shared" si="29"/>
        <v>1.524535138621096E-2</v>
      </c>
      <c r="H87" s="67">
        <f t="shared" si="29"/>
        <v>1.3666749207937069E-2</v>
      </c>
      <c r="I87" s="67">
        <f t="shared" si="29"/>
        <v>1.2362502188104946E-2</v>
      </c>
      <c r="J87" s="67">
        <f t="shared" si="29"/>
        <v>1.1180390319069894E-2</v>
      </c>
      <c r="K87" s="67">
        <f t="shared" si="29"/>
        <v>1.0232973650851789E-2</v>
      </c>
      <c r="L87" s="67">
        <f t="shared" si="29"/>
        <v>9.5075531986911748E-3</v>
      </c>
      <c r="M87" s="67">
        <f t="shared" si="29"/>
        <v>8.8734851318119385E-3</v>
      </c>
      <c r="N87" s="67">
        <f t="shared" si="29"/>
        <v>8.2815279648917935E-3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0.1173520898715259</v>
      </c>
      <c r="F88" s="67">
        <f t="shared" si="30"/>
        <v>8.161484827398463E-2</v>
      </c>
      <c r="G88" s="67">
        <f t="shared" si="30"/>
        <v>6.7701323472117339E-2</v>
      </c>
      <c r="H88" s="67">
        <f t="shared" si="30"/>
        <v>6.1400950257007106E-2</v>
      </c>
      <c r="I88" s="67">
        <f t="shared" si="30"/>
        <v>5.6294322773080184E-2</v>
      </c>
      <c r="J88" s="67">
        <f t="shared" si="30"/>
        <v>5.1620133998410672E-2</v>
      </c>
      <c r="K88" s="67">
        <f t="shared" si="30"/>
        <v>4.6399382422833021E-2</v>
      </c>
      <c r="L88" s="67">
        <f t="shared" si="30"/>
        <v>4.3421673743432539E-2</v>
      </c>
      <c r="M88" s="67">
        <f t="shared" si="30"/>
        <v>4.0830817394460213E-2</v>
      </c>
      <c r="N88" s="67">
        <f t="shared" si="30"/>
        <v>3.8466416061936862E-2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0.1173520898715259</v>
      </c>
      <c r="F94" s="75">
        <f t="shared" si="31"/>
        <v>8.161484827398463E-2</v>
      </c>
      <c r="G94" s="75">
        <f t="shared" si="31"/>
        <v>6.7701323472117339E-2</v>
      </c>
      <c r="H94" s="75">
        <f t="shared" si="31"/>
        <v>6.1400950257007106E-2</v>
      </c>
      <c r="I94" s="75">
        <f t="shared" si="31"/>
        <v>5.6294322773080184E-2</v>
      </c>
      <c r="J94" s="75">
        <f t="shared" si="31"/>
        <v>5.1620133998410672E-2</v>
      </c>
      <c r="K94" s="75">
        <f t="shared" si="31"/>
        <v>4.6399382422833021E-2</v>
      </c>
      <c r="L94" s="75">
        <f t="shared" si="31"/>
        <v>4.3421673743432539E-2</v>
      </c>
      <c r="M94" s="75">
        <f t="shared" si="31"/>
        <v>4.0830817394460213E-2</v>
      </c>
      <c r="N94" s="75">
        <f t="shared" si="31"/>
        <v>3.8466416061936862E-2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-0.10905341478942947</v>
      </c>
      <c r="F95" s="56">
        <f t="shared" si="32"/>
        <v>-6.6043083869970182E-2</v>
      </c>
      <c r="G95" s="56">
        <f t="shared" si="32"/>
        <v>-5.5332352381732987E-2</v>
      </c>
      <c r="H95" s="56">
        <f t="shared" si="32"/>
        <v>-4.9339670685784133E-2</v>
      </c>
      <c r="I95" s="56">
        <f t="shared" si="32"/>
        <v>-4.5407999434509433E-2</v>
      </c>
      <c r="J95" s="56">
        <f t="shared" si="32"/>
        <v>-4.2060361464289639E-2</v>
      </c>
      <c r="K95" s="56">
        <f t="shared" si="32"/>
        <v>-3.9166514697028885E-2</v>
      </c>
      <c r="L95" s="56">
        <f t="shared" si="32"/>
        <v>-3.6572490123881765E-2</v>
      </c>
      <c r="M95" s="56">
        <f t="shared" si="32"/>
        <v>-3.4433916730479228E-2</v>
      </c>
      <c r="N95" s="56">
        <f t="shared" si="32"/>
        <v>-3.2581073263881113E-2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8.2986750820964322E-3</v>
      </c>
      <c r="F96" s="56">
        <f t="shared" si="33"/>
        <v>1.5571764404014449E-2</v>
      </c>
      <c r="G96" s="56">
        <f t="shared" si="33"/>
        <v>1.2368971090384352E-2</v>
      </c>
      <c r="H96" s="56">
        <f t="shared" si="33"/>
        <v>1.2061279571222973E-2</v>
      </c>
      <c r="I96" s="56">
        <f t="shared" si="33"/>
        <v>1.0886323338570751E-2</v>
      </c>
      <c r="J96" s="56">
        <f t="shared" si="33"/>
        <v>9.5597725341210332E-3</v>
      </c>
      <c r="K96" s="56">
        <f t="shared" si="33"/>
        <v>7.232867725804136E-3</v>
      </c>
      <c r="L96" s="56">
        <f t="shared" si="33"/>
        <v>6.8491836195507735E-3</v>
      </c>
      <c r="M96" s="56">
        <f t="shared" si="33"/>
        <v>6.3969006639809853E-3</v>
      </c>
      <c r="N96" s="56">
        <f t="shared" si="33"/>
        <v>5.8853427980557482E-3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ht="13.8" x14ac:dyDescent="0.3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ht="13.8" x14ac:dyDescent="0.3">
      <c r="A12" s="3" t="str">
        <f>Inputs!A17</f>
        <v>Hallwood</v>
      </c>
      <c r="B12"/>
      <c r="C12" s="126">
        <v>1</v>
      </c>
      <c r="D12" s="55"/>
      <c r="E12" s="117">
        <f>$C12*Inputs!E46</f>
        <v>0.15</v>
      </c>
      <c r="F12" s="117">
        <f>$C12*Inputs!F46</f>
        <v>0.1401845965286912</v>
      </c>
      <c r="G12" s="117">
        <f>$C12*Inputs!G46</f>
        <v>0.1310114740260796</v>
      </c>
      <c r="H12" s="117">
        <f>$C12*Inputs!H46</f>
        <v>0.12243860417983383</v>
      </c>
      <c r="I12" s="117">
        <f>$C12*Inputs!I46</f>
        <v>0.11442670884324087</v>
      </c>
      <c r="J12" s="117">
        <f>$C12*Inputs!J46</f>
        <v>0.10693908007530495</v>
      </c>
      <c r="K12" s="117">
        <f>$C12*Inputs!K46</f>
        <v>9.9941411956706833E-2</v>
      </c>
      <c r="L12" s="117">
        <f>$C12*Inputs!L46</f>
        <v>9.340164341105775E-2</v>
      </c>
      <c r="M12" s="117">
        <f>$C12*Inputs!M46</f>
        <v>8.7289811311305462E-2</v>
      </c>
      <c r="N12" s="117">
        <f>$C12*Inputs!N46</f>
        <v>8.1577913198272942E-2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ht="13.8" x14ac:dyDescent="0.3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 t="shared" ref="E19:N19" si="2">SUM(E9:E18)</f>
        <v>0.15</v>
      </c>
      <c r="F19" s="54">
        <f t="shared" si="2"/>
        <v>0.1401845965286912</v>
      </c>
      <c r="G19" s="54">
        <f t="shared" si="2"/>
        <v>0.1310114740260796</v>
      </c>
      <c r="H19" s="54">
        <f t="shared" si="2"/>
        <v>0.12243860417983383</v>
      </c>
      <c r="I19" s="54">
        <f t="shared" si="2"/>
        <v>0.11442670884324087</v>
      </c>
      <c r="J19" s="54">
        <f t="shared" si="2"/>
        <v>0.10693908007530495</v>
      </c>
      <c r="K19" s="54">
        <f t="shared" si="2"/>
        <v>9.9941411956706833E-2</v>
      </c>
      <c r="L19" s="54">
        <f t="shared" si="2"/>
        <v>9.340164341105775E-2</v>
      </c>
      <c r="M19" s="54">
        <f t="shared" si="2"/>
        <v>8.7289811311305462E-2</v>
      </c>
      <c r="N19" s="54">
        <f t="shared" si="2"/>
        <v>8.1577913198272942E-2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 t="shared" ref="E22:N22" si="3">E19</f>
        <v>0.15</v>
      </c>
      <c r="F22" s="56">
        <f t="shared" si="3"/>
        <v>0.1401845965286912</v>
      </c>
      <c r="G22" s="56">
        <f t="shared" si="3"/>
        <v>0.1310114740260796</v>
      </c>
      <c r="H22" s="56">
        <f t="shared" si="3"/>
        <v>0.12243860417983383</v>
      </c>
      <c r="I22" s="56">
        <f t="shared" si="3"/>
        <v>0.11442670884324087</v>
      </c>
      <c r="J22" s="56">
        <f t="shared" si="3"/>
        <v>0.10693908007530495</v>
      </c>
      <c r="K22" s="56">
        <f t="shared" si="3"/>
        <v>9.9941411956706833E-2</v>
      </c>
      <c r="L22" s="56">
        <f t="shared" si="3"/>
        <v>9.340164341105775E-2</v>
      </c>
      <c r="M22" s="56">
        <f t="shared" si="3"/>
        <v>8.7289811311305462E-2</v>
      </c>
      <c r="N22" s="56">
        <f t="shared" si="3"/>
        <v>8.1577913198272942E-2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0.14115</v>
      </c>
      <c r="F23" s="56">
        <f>SUMPRODUCT(F9:F18,Inputs!$C$43:$C$52)</f>
        <v>0.13191370533349842</v>
      </c>
      <c r="G23" s="56">
        <f>SUMPRODUCT(G9:G18,Inputs!$C$43:$C$52)</f>
        <v>0.12328179705854089</v>
      </c>
      <c r="H23" s="56">
        <f>SUMPRODUCT(H9:H18,Inputs!$C$43:$C$52)</f>
        <v>0.11521472653322364</v>
      </c>
      <c r="I23" s="56">
        <f>SUMPRODUCT(I9:I18,Inputs!$C$43:$C$52)</f>
        <v>0.10767553302148965</v>
      </c>
      <c r="J23" s="56">
        <f>SUMPRODUCT(J9:J18,Inputs!$C$43:$C$52)</f>
        <v>0.10062967435086195</v>
      </c>
      <c r="K23" s="56">
        <f>SUMPRODUCT(K9:K18,Inputs!$C$43:$C$52)</f>
        <v>9.4044868651261118E-2</v>
      </c>
      <c r="L23" s="56">
        <f>SUMPRODUCT(L9:L18,Inputs!$C$43:$C$52)</f>
        <v>8.7890946449805343E-2</v>
      </c>
      <c r="M23" s="56">
        <f>SUMPRODUCT(M9:M18,Inputs!$C$43:$C$52)</f>
        <v>8.2139712443938431E-2</v>
      </c>
      <c r="N23" s="56">
        <f>SUMPRODUCT(N9:N18,Inputs!$C$43:$C$52)</f>
        <v>7.6764816319574838E-2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0.14616000000000001</v>
      </c>
      <c r="F24" s="56">
        <f t="shared" si="5"/>
        <v>0.1365958708575567</v>
      </c>
      <c r="G24" s="56">
        <f t="shared" si="5"/>
        <v>0.12765758029101196</v>
      </c>
      <c r="H24" s="56">
        <f t="shared" si="5"/>
        <v>0.11930417591283009</v>
      </c>
      <c r="I24" s="56">
        <f t="shared" si="5"/>
        <v>0.1114973850968539</v>
      </c>
      <c r="J24" s="56">
        <f t="shared" si="5"/>
        <v>0.10420143962537715</v>
      </c>
      <c r="K24" s="56">
        <f t="shared" si="5"/>
        <v>9.7382911810615147E-2</v>
      </c>
      <c r="L24" s="56">
        <f t="shared" si="5"/>
        <v>9.1010561339734675E-2</v>
      </c>
      <c r="M24" s="56">
        <f t="shared" si="5"/>
        <v>8.5055192141736041E-2</v>
      </c>
      <c r="N24" s="56">
        <f t="shared" si="5"/>
        <v>7.9489518620397159E-2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5.3205000000000002E-2</v>
      </c>
      <c r="F25" s="56">
        <f t="shared" si="5"/>
        <v>4.9723476388726769E-2</v>
      </c>
      <c r="G25" s="56">
        <f t="shared" si="5"/>
        <v>4.6469769837050437E-2</v>
      </c>
      <c r="H25" s="56">
        <f t="shared" si="5"/>
        <v>4.3428972902587064E-2</v>
      </c>
      <c r="I25" s="56">
        <f t="shared" si="5"/>
        <v>4.0587153626697535E-2</v>
      </c>
      <c r="J25" s="56">
        <f t="shared" si="5"/>
        <v>3.7931291702710666E-2</v>
      </c>
      <c r="K25" s="56">
        <f t="shared" si="5"/>
        <v>3.5449218821043918E-2</v>
      </c>
      <c r="L25" s="56">
        <f t="shared" si="5"/>
        <v>3.3129562917902186E-2</v>
      </c>
      <c r="M25" s="56">
        <f t="shared" si="5"/>
        <v>3.096169607212005E-2</v>
      </c>
      <c r="N25" s="56">
        <f t="shared" si="5"/>
        <v>2.8935685811427414E-2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1.3241999999999999E-2</v>
      </c>
      <c r="F26" s="56">
        <f t="shared" si="5"/>
        <v>1.2375496181552859E-2</v>
      </c>
      <c r="G26" s="56">
        <f t="shared" si="5"/>
        <v>1.1565692927022307E-2</v>
      </c>
      <c r="H26" s="56">
        <f t="shared" si="5"/>
        <v>1.0808879976995731E-2</v>
      </c>
      <c r="I26" s="56">
        <f t="shared" si="5"/>
        <v>1.0101589856681303E-2</v>
      </c>
      <c r="J26" s="56">
        <f t="shared" si="5"/>
        <v>9.4405819890479199E-3</v>
      </c>
      <c r="K26" s="56">
        <f t="shared" si="5"/>
        <v>8.8228278475380797E-3</v>
      </c>
      <c r="L26" s="56">
        <f t="shared" si="5"/>
        <v>8.2454970803281773E-3</v>
      </c>
      <c r="M26" s="56">
        <f t="shared" si="5"/>
        <v>7.7059445425620458E-3</v>
      </c>
      <c r="N26" s="56">
        <f t="shared" si="5"/>
        <v>7.2016981771435354E-3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1.8837E-2</v>
      </c>
      <c r="F27" s="56">
        <f t="shared" si="5"/>
        <v>1.7604381632073039E-2</v>
      </c>
      <c r="G27" s="56">
        <f t="shared" si="5"/>
        <v>1.6452420908195077E-2</v>
      </c>
      <c r="H27" s="56">
        <f t="shared" si="5"/>
        <v>1.5375839912903533E-2</v>
      </c>
      <c r="I27" s="56">
        <f t="shared" si="5"/>
        <v>1.4369706096534188E-2</v>
      </c>
      <c r="J27" s="56">
        <f t="shared" si="5"/>
        <v>1.3429409675856796E-2</v>
      </c>
      <c r="K27" s="56">
        <f t="shared" si="5"/>
        <v>1.2550642513523244E-2</v>
      </c>
      <c r="L27" s="56">
        <f t="shared" si="5"/>
        <v>1.1729378379560632E-2</v>
      </c>
      <c r="M27" s="56">
        <f t="shared" si="5"/>
        <v>1.0961854504473739E-2</v>
      </c>
      <c r="N27" s="56">
        <f t="shared" si="5"/>
        <v>1.0244554339439115E-2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8.7584999999999989E-3</v>
      </c>
      <c r="F28" s="56">
        <f t="shared" si="5"/>
        <v>8.1853785913102786E-3</v>
      </c>
      <c r="G28" s="56">
        <f t="shared" si="5"/>
        <v>7.6497599683827879E-3</v>
      </c>
      <c r="H28" s="56">
        <f t="shared" si="5"/>
        <v>7.1491900980604969E-3</v>
      </c>
      <c r="I28" s="56">
        <f t="shared" si="5"/>
        <v>6.6813755293568342E-3</v>
      </c>
      <c r="J28" s="56">
        <f t="shared" si="5"/>
        <v>6.2441728855970558E-3</v>
      </c>
      <c r="K28" s="56">
        <f t="shared" si="5"/>
        <v>5.8355790441521121E-3</v>
      </c>
      <c r="L28" s="56">
        <f t="shared" si="5"/>
        <v>5.4537219587716618E-3</v>
      </c>
      <c r="M28" s="56">
        <f t="shared" si="5"/>
        <v>5.0968520824671258E-3</v>
      </c>
      <c r="N28" s="56">
        <f t="shared" si="5"/>
        <v>4.7633343516471569E-3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7.5794999999999994E-3</v>
      </c>
      <c r="F29" s="56">
        <f t="shared" si="5"/>
        <v>7.0835276625947656E-3</v>
      </c>
      <c r="G29" s="56">
        <f t="shared" si="5"/>
        <v>6.6200097825378024E-3</v>
      </c>
      <c r="H29" s="56">
        <f t="shared" si="5"/>
        <v>6.1868226692070039E-3</v>
      </c>
      <c r="I29" s="56">
        <f t="shared" si="5"/>
        <v>5.7819815978489607E-3</v>
      </c>
      <c r="J29" s="56">
        <f t="shared" si="5"/>
        <v>5.4036317162051593E-3</v>
      </c>
      <c r="K29" s="56">
        <f t="shared" si="5"/>
        <v>5.0500395461723965E-3</v>
      </c>
      <c r="L29" s="56">
        <f t="shared" si="5"/>
        <v>4.719585041560748E-3</v>
      </c>
      <c r="M29" s="56">
        <f t="shared" si="5"/>
        <v>4.4107541655602645E-3</v>
      </c>
      <c r="N29" s="56">
        <f t="shared" si="5"/>
        <v>4.1221319539087318E-3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2.3982E-2</v>
      </c>
      <c r="F30" s="56">
        <f t="shared" si="5"/>
        <v>2.2412713293007147E-2</v>
      </c>
      <c r="G30" s="56">
        <f t="shared" si="5"/>
        <v>2.0946114467289605E-2</v>
      </c>
      <c r="H30" s="56">
        <f t="shared" si="5"/>
        <v>1.9575484036271833E-2</v>
      </c>
      <c r="I30" s="56">
        <f t="shared" si="5"/>
        <v>1.8294542209857351E-2</v>
      </c>
      <c r="J30" s="56">
        <f t="shared" si="5"/>
        <v>1.7097420122439755E-2</v>
      </c>
      <c r="K30" s="56">
        <f t="shared" si="5"/>
        <v>1.5978632943638289E-2</v>
      </c>
      <c r="L30" s="56">
        <f t="shared" si="5"/>
        <v>1.4933054748559913E-2</v>
      </c>
      <c r="M30" s="56">
        <f t="shared" si="5"/>
        <v>1.3955895032451517E-2</v>
      </c>
      <c r="N30" s="56">
        <f t="shared" si="5"/>
        <v>1.3042676762139877E-2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3.6540000000000003E-2</v>
      </c>
      <c r="F33" s="56">
        <f t="shared" si="6"/>
        <v>3.4148967714389175E-2</v>
      </c>
      <c r="G33" s="56">
        <f t="shared" si="6"/>
        <v>3.1914395072752989E-2</v>
      </c>
      <c r="H33" s="56">
        <f t="shared" si="6"/>
        <v>2.9826043978207522E-2</v>
      </c>
      <c r="I33" s="56">
        <f t="shared" si="6"/>
        <v>2.7874346274213476E-2</v>
      </c>
      <c r="J33" s="56">
        <f t="shared" si="6"/>
        <v>2.6050359906344286E-2</v>
      </c>
      <c r="K33" s="56">
        <f t="shared" si="6"/>
        <v>2.4345727952653787E-2</v>
      </c>
      <c r="L33" s="56">
        <f t="shared" si="6"/>
        <v>2.2752640334933669E-2</v>
      </c>
      <c r="M33" s="56">
        <f t="shared" si="6"/>
        <v>2.126379803543401E-2</v>
      </c>
      <c r="N33" s="56">
        <f t="shared" si="6"/>
        <v>1.987237965509929E-2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3.4583250000000003E-2</v>
      </c>
      <c r="F34" s="56">
        <f t="shared" si="7"/>
        <v>3.2320259652672399E-2</v>
      </c>
      <c r="G34" s="56">
        <f t="shared" si="7"/>
        <v>3.0205350394082786E-2</v>
      </c>
      <c r="H34" s="56">
        <f t="shared" si="7"/>
        <v>2.8228832386681592E-2</v>
      </c>
      <c r="I34" s="56">
        <f t="shared" si="7"/>
        <v>2.63816498573534E-2</v>
      </c>
      <c r="J34" s="56">
        <f t="shared" si="7"/>
        <v>2.4655339606761934E-2</v>
      </c>
      <c r="K34" s="56">
        <f t="shared" si="7"/>
        <v>2.3041992233678546E-2</v>
      </c>
      <c r="L34" s="56">
        <f t="shared" si="7"/>
        <v>2.153421589663642E-2</v>
      </c>
      <c r="M34" s="56">
        <f t="shared" si="7"/>
        <v>2.0125102446878033E-2</v>
      </c>
      <c r="N34" s="56">
        <f t="shared" si="7"/>
        <v>1.880819577742782E-2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1.1255699999999999E-2</v>
      </c>
      <c r="F35" s="56">
        <f t="shared" si="8"/>
        <v>1.051917175431993E-2</v>
      </c>
      <c r="G35" s="56">
        <f t="shared" si="8"/>
        <v>9.8308389879689598E-3</v>
      </c>
      <c r="H35" s="56">
        <f t="shared" si="8"/>
        <v>9.1875479804463707E-3</v>
      </c>
      <c r="I35" s="56">
        <f t="shared" si="8"/>
        <v>8.5863513781791068E-3</v>
      </c>
      <c r="J35" s="56">
        <f t="shared" si="8"/>
        <v>8.0244946906907321E-3</v>
      </c>
      <c r="K35" s="56">
        <f t="shared" si="8"/>
        <v>7.4994036704073676E-3</v>
      </c>
      <c r="L35" s="56">
        <f t="shared" si="8"/>
        <v>7.0086725182789507E-3</v>
      </c>
      <c r="M35" s="56">
        <f t="shared" si="8"/>
        <v>6.5500528611777391E-3</v>
      </c>
      <c r="N35" s="56">
        <f t="shared" si="8"/>
        <v>6.1214434505720049E-3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1.6953300000000001E-2</v>
      </c>
      <c r="F36" s="56">
        <f t="shared" si="9"/>
        <v>1.5843943468865734E-2</v>
      </c>
      <c r="G36" s="56">
        <f t="shared" si="9"/>
        <v>1.4807178817375569E-2</v>
      </c>
      <c r="H36" s="56">
        <f t="shared" si="9"/>
        <v>1.3838255921613181E-2</v>
      </c>
      <c r="I36" s="56">
        <f t="shared" si="9"/>
        <v>1.2932735486880769E-2</v>
      </c>
      <c r="J36" s="56">
        <f t="shared" si="9"/>
        <v>1.2086468708271117E-2</v>
      </c>
      <c r="K36" s="56">
        <f t="shared" si="9"/>
        <v>1.1295578262170919E-2</v>
      </c>
      <c r="L36" s="56">
        <f t="shared" si="9"/>
        <v>1.0556440541604569E-2</v>
      </c>
      <c r="M36" s="56">
        <f t="shared" si="9"/>
        <v>9.8656690540263655E-3</v>
      </c>
      <c r="N36" s="56">
        <f t="shared" si="9"/>
        <v>9.2200989054952043E-3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8.3205749999999985E-3</v>
      </c>
      <c r="F37" s="56">
        <f t="shared" si="10"/>
        <v>7.7761096617447647E-3</v>
      </c>
      <c r="G37" s="56">
        <f t="shared" si="10"/>
        <v>7.2672719699636481E-3</v>
      </c>
      <c r="H37" s="56">
        <f t="shared" si="10"/>
        <v>6.7917305931574721E-3</v>
      </c>
      <c r="I37" s="56">
        <f t="shared" si="10"/>
        <v>6.3473067528889921E-3</v>
      </c>
      <c r="J37" s="56">
        <f t="shared" si="10"/>
        <v>5.9319642413172028E-3</v>
      </c>
      <c r="K37" s="56">
        <f t="shared" si="10"/>
        <v>5.5438000919445065E-3</v>
      </c>
      <c r="L37" s="56">
        <f t="shared" si="10"/>
        <v>5.1810358608330781E-3</v>
      </c>
      <c r="M37" s="56">
        <f t="shared" si="10"/>
        <v>4.8420094783437695E-3</v>
      </c>
      <c r="N37" s="56">
        <f t="shared" si="10"/>
        <v>4.525167634064799E-3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7.2005249999999993E-3</v>
      </c>
      <c r="F38" s="56">
        <f t="shared" si="11"/>
        <v>6.7293512794650272E-3</v>
      </c>
      <c r="G38" s="56">
        <f t="shared" si="11"/>
        <v>6.2890092934109118E-3</v>
      </c>
      <c r="H38" s="56">
        <f t="shared" si="11"/>
        <v>5.8774815357466531E-3</v>
      </c>
      <c r="I38" s="56">
        <f t="shared" si="11"/>
        <v>5.492882517956512E-3</v>
      </c>
      <c r="J38" s="56">
        <f t="shared" si="11"/>
        <v>5.1334501303949009E-3</v>
      </c>
      <c r="K38" s="56">
        <f t="shared" si="11"/>
        <v>4.7975375688637766E-3</v>
      </c>
      <c r="L38" s="56">
        <f t="shared" si="11"/>
        <v>4.48360578948271E-3</v>
      </c>
      <c r="M38" s="56">
        <f t="shared" si="11"/>
        <v>4.1902164572822512E-3</v>
      </c>
      <c r="N38" s="56">
        <f t="shared" si="11"/>
        <v>3.916025356213295E-3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2.3887702775999997E-2</v>
      </c>
      <c r="F39" s="56">
        <f t="shared" si="12"/>
        <v>2.2324586504339043E-2</v>
      </c>
      <c r="G39" s="56">
        <f t="shared" si="12"/>
        <v>2.0863754345204221E-2</v>
      </c>
      <c r="H39" s="56">
        <f t="shared" si="12"/>
        <v>1.9498513233041213E-2</v>
      </c>
      <c r="I39" s="56">
        <f t="shared" si="12"/>
        <v>1.822260806988819E-2</v>
      </c>
      <c r="J39" s="56">
        <f t="shared" si="12"/>
        <v>1.7030193066518321E-2</v>
      </c>
      <c r="K39" s="56">
        <f t="shared" si="12"/>
        <v>1.5915804958903903E-2</v>
      </c>
      <c r="L39" s="56">
        <f t="shared" si="12"/>
        <v>1.4874337977288574E-2</v>
      </c>
      <c r="M39" s="56">
        <f t="shared" si="12"/>
        <v>1.3901020453183916E-2</v>
      </c>
      <c r="N39" s="56">
        <f t="shared" si="12"/>
        <v>1.2991392957111143E-2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0.13874105277599999</v>
      </c>
      <c r="F40" s="56">
        <f t="shared" si="13"/>
        <v>0.12966239003579608</v>
      </c>
      <c r="G40" s="56">
        <f t="shared" si="13"/>
        <v>0.12117779888075909</v>
      </c>
      <c r="H40" s="56">
        <f t="shared" si="13"/>
        <v>0.11324840562889402</v>
      </c>
      <c r="I40" s="56">
        <f t="shared" si="13"/>
        <v>0.10583788033736047</v>
      </c>
      <c r="J40" s="56">
        <f t="shared" si="13"/>
        <v>9.8912270350298481E-2</v>
      </c>
      <c r="K40" s="56">
        <f t="shared" si="13"/>
        <v>9.2439844738622823E-2</v>
      </c>
      <c r="L40" s="56">
        <f t="shared" si="13"/>
        <v>8.6390948919057964E-2</v>
      </c>
      <c r="M40" s="56">
        <f t="shared" si="13"/>
        <v>8.0737868786326092E-2</v>
      </c>
      <c r="N40" s="56">
        <f t="shared" si="13"/>
        <v>7.545470373598355E-2</v>
      </c>
    </row>
    <row r="41" spans="1:14" x14ac:dyDescent="0.25">
      <c r="C41" s="57" t="s">
        <v>59</v>
      </c>
      <c r="D41" s="59"/>
      <c r="E41" s="56">
        <f t="shared" ref="E41:N41" si="14">E40/42</f>
        <v>3.3033583994285711E-3</v>
      </c>
      <c r="F41" s="56">
        <f t="shared" si="14"/>
        <v>3.0871997627570495E-3</v>
      </c>
      <c r="G41" s="56">
        <f t="shared" si="14"/>
        <v>2.8851856876371215E-3</v>
      </c>
      <c r="H41" s="56">
        <f t="shared" si="14"/>
        <v>2.6963906102117621E-3</v>
      </c>
      <c r="I41" s="56">
        <f t="shared" si="14"/>
        <v>2.5199495318419161E-3</v>
      </c>
      <c r="J41" s="56">
        <f t="shared" si="14"/>
        <v>2.3550540559594876E-3</v>
      </c>
      <c r="K41" s="56">
        <f t="shared" si="14"/>
        <v>2.2009486842529242E-3</v>
      </c>
      <c r="L41" s="56">
        <f t="shared" si="14"/>
        <v>2.056927355215666E-3</v>
      </c>
      <c r="M41" s="56">
        <f t="shared" si="14"/>
        <v>1.9223302091982402E-3</v>
      </c>
      <c r="N41" s="56">
        <f t="shared" si="14"/>
        <v>1.7965405651424655E-3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2.4233328000000005E-3</v>
      </c>
      <c r="F43" s="56">
        <f t="shared" si="15"/>
        <v>2.2647595388182902E-3</v>
      </c>
      <c r="G43" s="56">
        <f t="shared" si="15"/>
        <v>2.1165626812249786E-3</v>
      </c>
      <c r="H43" s="56">
        <f t="shared" si="15"/>
        <v>1.9780632366347231E-3</v>
      </c>
      <c r="I43" s="56">
        <f t="shared" si="15"/>
        <v>1.8486266449058378E-3</v>
      </c>
      <c r="J43" s="56">
        <f t="shared" si="15"/>
        <v>1.7276598689887532E-3</v>
      </c>
      <c r="K43" s="56">
        <f t="shared" si="15"/>
        <v>1.6146086778199991E-3</v>
      </c>
      <c r="L43" s="56">
        <f t="shared" si="15"/>
        <v>1.5089551070128009E-3</v>
      </c>
      <c r="M43" s="56">
        <f t="shared" si="15"/>
        <v>1.4102150857099836E-3</v>
      </c>
      <c r="N43" s="56">
        <f t="shared" si="15"/>
        <v>1.317936218726185E-3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3.1651627897500002E-3</v>
      </c>
      <c r="F44" s="56">
        <f t="shared" ref="F44:N49" si="16">+$D43*F34</f>
        <v>2.1434796201652336E-3</v>
      </c>
      <c r="G44" s="56">
        <f t="shared" si="16"/>
        <v>2.0032188381355707E-3</v>
      </c>
      <c r="H44" s="56">
        <f t="shared" si="16"/>
        <v>1.8721361638847232E-3</v>
      </c>
      <c r="I44" s="56">
        <f t="shared" si="16"/>
        <v>1.7496310185396776E-3</v>
      </c>
      <c r="J44" s="56">
        <f t="shared" si="16"/>
        <v>1.6351421227204517E-3</v>
      </c>
      <c r="K44" s="56">
        <f t="shared" si="16"/>
        <v>1.5281449249375612E-3</v>
      </c>
      <c r="L44" s="56">
        <f t="shared" si="16"/>
        <v>1.4281491982649276E-3</v>
      </c>
      <c r="M44" s="56">
        <f t="shared" si="16"/>
        <v>1.3346967942769513E-3</v>
      </c>
      <c r="N44" s="56">
        <f t="shared" si="16"/>
        <v>1.247359543959013E-3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1.1214616695E-3</v>
      </c>
      <c r="F45" s="56">
        <f t="shared" si="16"/>
        <v>9.6274615647062292E-4</v>
      </c>
      <c r="G45" s="56">
        <f t="shared" si="16"/>
        <v>8.9974787669588299E-4</v>
      </c>
      <c r="H45" s="56">
        <f t="shared" si="16"/>
        <v>8.4087195381439312E-4</v>
      </c>
      <c r="I45" s="56">
        <f t="shared" si="16"/>
        <v>7.8584863718508628E-4</v>
      </c>
      <c r="J45" s="56">
        <f t="shared" si="16"/>
        <v>7.3442582757608777E-4</v>
      </c>
      <c r="K45" s="56">
        <f t="shared" si="16"/>
        <v>6.8636792212669348E-4</v>
      </c>
      <c r="L45" s="56">
        <f t="shared" si="16"/>
        <v>6.4145473489044436E-4</v>
      </c>
      <c r="M45" s="56">
        <f t="shared" si="16"/>
        <v>5.994804880135702E-4</v>
      </c>
      <c r="N45" s="56">
        <f t="shared" si="16"/>
        <v>5.6025286892670155E-4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1.758226743E-3</v>
      </c>
      <c r="F46" s="56">
        <f t="shared" si="16"/>
        <v>1.5786113075204374E-3</v>
      </c>
      <c r="G46" s="56">
        <f t="shared" si="16"/>
        <v>1.4753132614692148E-3</v>
      </c>
      <c r="H46" s="56">
        <f t="shared" si="16"/>
        <v>1.3787746287499292E-3</v>
      </c>
      <c r="I46" s="56">
        <f t="shared" si="16"/>
        <v>1.2885531002353654E-3</v>
      </c>
      <c r="J46" s="56">
        <f t="shared" si="16"/>
        <v>1.2042353097485928E-3</v>
      </c>
      <c r="K46" s="56">
        <f t="shared" si="16"/>
        <v>1.1254349401513995E-3</v>
      </c>
      <c r="L46" s="56">
        <f t="shared" si="16"/>
        <v>1.0517909533627713E-3</v>
      </c>
      <c r="M46" s="56">
        <f t="shared" si="16"/>
        <v>9.8296593619791686E-4</v>
      </c>
      <c r="N46" s="56">
        <f t="shared" si="16"/>
        <v>9.1864455444901473E-4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9.1193501999999981E-4</v>
      </c>
      <c r="F47" s="56">
        <f t="shared" si="16"/>
        <v>8.0646033301954949E-4</v>
      </c>
      <c r="G47" s="56">
        <f t="shared" si="16"/>
        <v>7.5368877600492988E-4</v>
      </c>
      <c r="H47" s="56">
        <f t="shared" si="16"/>
        <v>7.0437037981636137E-4</v>
      </c>
      <c r="I47" s="56">
        <f t="shared" si="16"/>
        <v>6.5827918334211732E-4</v>
      </c>
      <c r="J47" s="56">
        <f t="shared" si="16"/>
        <v>6.1520401146700709E-4</v>
      </c>
      <c r="K47" s="56">
        <f t="shared" si="16"/>
        <v>5.7494750753556471E-4</v>
      </c>
      <c r="L47" s="56">
        <f t="shared" si="16"/>
        <v>5.3732522912699847E-4</v>
      </c>
      <c r="M47" s="56">
        <f t="shared" si="16"/>
        <v>5.0216480299903232E-4</v>
      </c>
      <c r="N47" s="56">
        <f t="shared" si="16"/>
        <v>4.6930513532886031E-4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7.9882624349999988E-4</v>
      </c>
      <c r="F48" s="56">
        <f t="shared" si="16"/>
        <v>7.3753690022936697E-4</v>
      </c>
      <c r="G48" s="56">
        <f t="shared" si="16"/>
        <v>6.89275418557836E-4</v>
      </c>
      <c r="H48" s="56">
        <f t="shared" si="16"/>
        <v>6.4417197631783324E-4</v>
      </c>
      <c r="I48" s="56">
        <f t="shared" si="16"/>
        <v>6.0201992396803378E-4</v>
      </c>
      <c r="J48" s="56">
        <f t="shared" si="16"/>
        <v>5.6262613429128121E-4</v>
      </c>
      <c r="K48" s="56">
        <f t="shared" si="16"/>
        <v>5.2581011754746995E-4</v>
      </c>
      <c r="L48" s="56">
        <f t="shared" si="16"/>
        <v>4.9140319452730503E-4</v>
      </c>
      <c r="M48" s="56">
        <f t="shared" si="16"/>
        <v>4.5924772371813477E-4</v>
      </c>
      <c r="N48" s="56">
        <f t="shared" si="16"/>
        <v>4.2919637904097717E-4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2.9220393543714237E-3</v>
      </c>
      <c r="F49" s="56">
        <f t="shared" si="16"/>
        <v>2.4766896267913734E-3</v>
      </c>
      <c r="G49" s="56">
        <f t="shared" si="16"/>
        <v>2.3146249070569564E-3</v>
      </c>
      <c r="H49" s="56">
        <f t="shared" si="16"/>
        <v>2.1631650580735923E-3</v>
      </c>
      <c r="I49" s="56">
        <f t="shared" si="16"/>
        <v>2.0216161392733957E-3</v>
      </c>
      <c r="J49" s="56">
        <f t="shared" si="16"/>
        <v>1.8893296187995426E-3</v>
      </c>
      <c r="K49" s="56">
        <f t="shared" si="16"/>
        <v>1.7656994021407989E-3</v>
      </c>
      <c r="L49" s="56">
        <f t="shared" si="16"/>
        <v>1.6501590552003944E-3</v>
      </c>
      <c r="M49" s="56">
        <f t="shared" si="16"/>
        <v>1.5421792090762236E-3</v>
      </c>
      <c r="N49" s="56">
        <f t="shared" si="16"/>
        <v>1.4412651346619103E-3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1.3100984620121424E-2</v>
      </c>
      <c r="F50" s="56">
        <f t="shared" si="17"/>
        <v>1.0970283483014874E-2</v>
      </c>
      <c r="G50" s="56">
        <f t="shared" si="17"/>
        <v>1.0252431759145369E-2</v>
      </c>
      <c r="H50" s="56">
        <f t="shared" si="17"/>
        <v>9.5815533972915552E-3</v>
      </c>
      <c r="I50" s="56">
        <f t="shared" si="17"/>
        <v>8.954574647449514E-3</v>
      </c>
      <c r="J50" s="56">
        <f t="shared" si="17"/>
        <v>8.3686228935917172E-3</v>
      </c>
      <c r="K50" s="56">
        <f t="shared" si="17"/>
        <v>7.8210134922594866E-3</v>
      </c>
      <c r="L50" s="56">
        <f t="shared" si="17"/>
        <v>7.3092374723856424E-3</v>
      </c>
      <c r="M50" s="56">
        <f t="shared" si="17"/>
        <v>6.8309500399918116E-3</v>
      </c>
      <c r="N50" s="56">
        <f t="shared" si="17"/>
        <v>6.3839598350926632E-3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5.4526707394714734E-2</v>
      </c>
      <c r="F51" s="56">
        <f t="shared" si="18"/>
        <v>3.3411026811598334E-2</v>
      </c>
      <c r="G51" s="56">
        <f t="shared" si="18"/>
        <v>2.8322663123131555E-2</v>
      </c>
      <c r="H51" s="56">
        <f t="shared" si="18"/>
        <v>2.5553104639945583E-2</v>
      </c>
      <c r="I51" s="56">
        <f t="shared" si="18"/>
        <v>2.379426365147749E-2</v>
      </c>
      <c r="J51" s="56">
        <f t="shared" si="18"/>
        <v>2.2300026336233108E-2</v>
      </c>
      <c r="K51" s="56">
        <f t="shared" si="18"/>
        <v>2.1010663933611846E-2</v>
      </c>
      <c r="L51" s="56">
        <f t="shared" si="18"/>
        <v>1.985051849297333E-2</v>
      </c>
      <c r="M51" s="56">
        <f t="shared" si="18"/>
        <v>1.8910204382584828E-2</v>
      </c>
      <c r="N51" s="56">
        <f t="shared" si="18"/>
        <v>1.8103713099853716E-2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2.823E-3</v>
      </c>
      <c r="F54" s="61">
        <f t="shared" si="19"/>
        <v>2.6382741066699683E-3</v>
      </c>
      <c r="G54" s="61">
        <f t="shared" si="19"/>
        <v>2.4656359411708178E-3</v>
      </c>
      <c r="H54" s="61">
        <f t="shared" si="19"/>
        <v>2.3042945306644726E-3</v>
      </c>
      <c r="I54" s="61">
        <f t="shared" si="19"/>
        <v>2.1535106604297929E-3</v>
      </c>
      <c r="J54" s="61">
        <f t="shared" si="19"/>
        <v>2.0125934870172391E-3</v>
      </c>
      <c r="K54" s="61">
        <f t="shared" si="19"/>
        <v>1.8808973730252223E-3</v>
      </c>
      <c r="L54" s="61">
        <f t="shared" si="19"/>
        <v>1.757818928996107E-3</v>
      </c>
      <c r="M54" s="61">
        <f t="shared" si="19"/>
        <v>1.6427942488787687E-3</v>
      </c>
      <c r="N54" s="61">
        <f t="shared" si="19"/>
        <v>1.5352963263914967E-3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1.1749414218749997E-2</v>
      </c>
      <c r="F55" s="61">
        <f t="shared" si="20"/>
        <v>8.0351111300608884E-3</v>
      </c>
      <c r="G55" s="61">
        <f t="shared" si="20"/>
        <v>6.8113963386075456E-3</v>
      </c>
      <c r="H55" s="61">
        <f t="shared" si="20"/>
        <v>6.1453374856698991E-3</v>
      </c>
      <c r="I55" s="61">
        <f t="shared" si="20"/>
        <v>5.7223489052189288E-3</v>
      </c>
      <c r="J55" s="61">
        <f t="shared" si="20"/>
        <v>5.3629956009827191E-3</v>
      </c>
      <c r="K55" s="61">
        <f t="shared" si="20"/>
        <v>5.0529132365464465E-3</v>
      </c>
      <c r="L55" s="61">
        <f t="shared" si="20"/>
        <v>4.7739066201042393E-3</v>
      </c>
      <c r="M55" s="61">
        <f t="shared" si="20"/>
        <v>4.5477678540992057E-3</v>
      </c>
      <c r="N55" s="61">
        <f t="shared" si="20"/>
        <v>4.3538125135850871E-3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0.12522601537987857</v>
      </c>
      <c r="F58" s="62">
        <f t="shared" si="21"/>
        <v>0.11830514774381357</v>
      </c>
      <c r="G58" s="62">
        <f t="shared" si="21"/>
        <v>0.11056372935822471</v>
      </c>
      <c r="H58" s="62">
        <f t="shared" si="21"/>
        <v>0.10332887860526761</v>
      </c>
      <c r="I58" s="62">
        <f t="shared" si="21"/>
        <v>9.6567447713610338E-2</v>
      </c>
      <c r="J58" s="62">
        <f t="shared" si="21"/>
        <v>9.0248457970252993E-2</v>
      </c>
      <c r="K58" s="62">
        <f t="shared" si="21"/>
        <v>8.4342957785976405E-2</v>
      </c>
      <c r="L58" s="62">
        <f t="shared" si="21"/>
        <v>7.8823890048423592E-2</v>
      </c>
      <c r="M58" s="62">
        <f t="shared" si="21"/>
        <v>7.3665968155067846E-2</v>
      </c>
      <c r="N58" s="62">
        <f t="shared" si="21"/>
        <v>6.8845560158090666E-2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0.52119458932403517</v>
      </c>
      <c r="F59" s="64">
        <f t="shared" si="22"/>
        <v>0.36030941856138521</v>
      </c>
      <c r="G59" s="64">
        <f t="shared" si="22"/>
        <v>0.30543575746863821</v>
      </c>
      <c r="H59" s="64">
        <f t="shared" si="22"/>
        <v>0.27556843215787952</v>
      </c>
      <c r="I59" s="64">
        <f t="shared" si="22"/>
        <v>0.25660083270425005</v>
      </c>
      <c r="J59" s="64">
        <f t="shared" si="22"/>
        <v>0.24048675811192013</v>
      </c>
      <c r="K59" s="64">
        <f t="shared" si="22"/>
        <v>0.22658208465716401</v>
      </c>
      <c r="L59" s="64">
        <f t="shared" si="22"/>
        <v>0.21407090589213437</v>
      </c>
      <c r="M59" s="64">
        <f t="shared" si="22"/>
        <v>0.20393042046827622</v>
      </c>
      <c r="N59" s="64">
        <f t="shared" si="22"/>
        <v>0.19523310006581551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34.437154229466607</v>
      </c>
      <c r="F60" s="64">
        <f>F58*Inputs!F40</f>
        <v>43.181378926491952</v>
      </c>
      <c r="G60" s="64">
        <f>G58*Inputs!G40</f>
        <v>40.355761215752018</v>
      </c>
      <c r="H60" s="64">
        <f>H58*Inputs!H40</f>
        <v>37.818369569527945</v>
      </c>
      <c r="I60" s="64">
        <f>I58*Inputs!I40</f>
        <v>35.247118415467774</v>
      </c>
      <c r="J60" s="64">
        <f>J58*Inputs!J40</f>
        <v>32.940687159142342</v>
      </c>
      <c r="K60" s="64">
        <f>K58*Inputs!K40</f>
        <v>30.785179591881388</v>
      </c>
      <c r="L60" s="64">
        <f>L58*Inputs!L40</f>
        <v>28.849543757723033</v>
      </c>
      <c r="M60" s="64">
        <f>M58*Inputs!M40</f>
        <v>26.888078376599765</v>
      </c>
      <c r="N60" s="64">
        <f>N58*Inputs!N40</f>
        <v>25.128629457703092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 t="shared" ref="E81:N81" si="23">(E62+E71)*E33</f>
        <v>1.0768034948421285E-2</v>
      </c>
      <c r="F81" s="67">
        <f t="shared" si="23"/>
        <v>6.4525067280369044E-3</v>
      </c>
      <c r="G81" s="67">
        <f t="shared" si="23"/>
        <v>4.2884351367135504E-3</v>
      </c>
      <c r="H81" s="67">
        <f t="shared" si="23"/>
        <v>3.9380890457792576E-3</v>
      </c>
      <c r="I81" s="67">
        <f t="shared" si="23"/>
        <v>3.7254691084874273E-3</v>
      </c>
      <c r="J81" s="67">
        <f t="shared" si="23"/>
        <v>3.5246403768248525E-3</v>
      </c>
      <c r="K81" s="67">
        <f t="shared" si="23"/>
        <v>3.373969122143322E-3</v>
      </c>
      <c r="L81" s="67">
        <f t="shared" si="23"/>
        <v>3.2734046037895203E-3</v>
      </c>
      <c r="M81" s="67">
        <f t="shared" si="23"/>
        <v>3.1845450967232249E-3</v>
      </c>
      <c r="N81" s="67">
        <f t="shared" si="23"/>
        <v>3.0935297471216031E-3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1.4591577302608081E-2</v>
      </c>
      <c r="F82" s="67">
        <f t="shared" si="24"/>
        <v>1.0257283858412318E-2</v>
      </c>
      <c r="G82" s="67">
        <f t="shared" si="24"/>
        <v>9.1451769652214163E-3</v>
      </c>
      <c r="H82" s="67">
        <f t="shared" si="24"/>
        <v>8.5175477516272538E-3</v>
      </c>
      <c r="I82" s="67">
        <f t="shared" si="24"/>
        <v>7.9845111762377879E-3</v>
      </c>
      <c r="J82" s="67">
        <f t="shared" si="24"/>
        <v>7.4858976679522951E-3</v>
      </c>
      <c r="K82" s="67">
        <f t="shared" si="24"/>
        <v>6.3024810483628549E-3</v>
      </c>
      <c r="L82" s="67">
        <f t="shared" si="24"/>
        <v>5.943531903301936E-3</v>
      </c>
      <c r="M82" s="67">
        <f t="shared" si="24"/>
        <v>5.6454416689581599E-3</v>
      </c>
      <c r="N82" s="67">
        <f t="shared" si="24"/>
        <v>5.4062919627139439E-3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5.2798187160063683E-3</v>
      </c>
      <c r="F83" s="67">
        <f t="shared" si="25"/>
        <v>3.911813074473411E-3</v>
      </c>
      <c r="G83" s="67">
        <f t="shared" si="25"/>
        <v>3.330286805765728E-3</v>
      </c>
      <c r="H83" s="67">
        <f t="shared" si="25"/>
        <v>3.0592250639389969E-3</v>
      </c>
      <c r="I83" s="67">
        <f t="shared" si="25"/>
        <v>2.8336163514463579E-3</v>
      </c>
      <c r="J83" s="67">
        <f t="shared" si="25"/>
        <v>2.6249671113307295E-3</v>
      </c>
      <c r="K83" s="67">
        <f t="shared" si="25"/>
        <v>2.4571316486875286E-3</v>
      </c>
      <c r="L83" s="67">
        <f t="shared" si="25"/>
        <v>2.329301779779012E-3</v>
      </c>
      <c r="M83" s="67">
        <f t="shared" si="25"/>
        <v>2.2160437215861624E-3</v>
      </c>
      <c r="N83" s="67">
        <f t="shared" si="25"/>
        <v>2.1077830731597046E-3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7.9807018727774161E-3</v>
      </c>
      <c r="F84" s="67">
        <f t="shared" si="26"/>
        <v>5.8919605706859689E-3</v>
      </c>
      <c r="G84" s="67">
        <f t="shared" si="26"/>
        <v>5.0160675306012174E-3</v>
      </c>
      <c r="H84" s="67">
        <f t="shared" si="26"/>
        <v>4.6077951861258747E-3</v>
      </c>
      <c r="I84" s="67">
        <f t="shared" si="26"/>
        <v>4.2679840517227318E-3</v>
      </c>
      <c r="J84" s="67">
        <f t="shared" si="26"/>
        <v>3.9537172213654648E-3</v>
      </c>
      <c r="K84" s="67">
        <f t="shared" si="26"/>
        <v>3.7009239744924148E-3</v>
      </c>
      <c r="L84" s="67">
        <f t="shared" si="26"/>
        <v>3.5083870272952836E-3</v>
      </c>
      <c r="M84" s="67">
        <f t="shared" si="26"/>
        <v>3.3377980956463553E-3</v>
      </c>
      <c r="N84" s="67">
        <f t="shared" si="26"/>
        <v>3.1747362468969873E-3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4.2345036903629445E-3</v>
      </c>
      <c r="F85" s="67">
        <f t="shared" si="27"/>
        <v>3.1195562989082583E-3</v>
      </c>
      <c r="G85" s="67">
        <f t="shared" si="27"/>
        <v>2.7181370128585678E-3</v>
      </c>
      <c r="H85" s="67">
        <f t="shared" si="27"/>
        <v>2.4654239171829954E-3</v>
      </c>
      <c r="I85" s="67">
        <f t="shared" si="27"/>
        <v>2.2564475108442545E-3</v>
      </c>
      <c r="J85" s="67">
        <f t="shared" si="27"/>
        <v>2.0647538932526432E-3</v>
      </c>
      <c r="K85" s="67">
        <f t="shared" si="27"/>
        <v>1.912078236083333E-3</v>
      </c>
      <c r="L85" s="67">
        <f t="shared" si="27"/>
        <v>1.7974840308181059E-3</v>
      </c>
      <c r="M85" s="67">
        <f t="shared" si="27"/>
        <v>1.6973952273201046E-3</v>
      </c>
      <c r="N85" s="67">
        <f t="shared" si="27"/>
        <v>1.6028456306670707E-3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3.6644882937838606E-3</v>
      </c>
      <c r="F86" s="67">
        <f t="shared" si="28"/>
        <v>2.6996263021721919E-3</v>
      </c>
      <c r="G86" s="67">
        <f t="shared" si="28"/>
        <v>2.3522429056301326E-3</v>
      </c>
      <c r="H86" s="67">
        <f t="shared" si="28"/>
        <v>2.1335480482147073E-3</v>
      </c>
      <c r="I86" s="67">
        <f t="shared" si="28"/>
        <v>1.9527023929261889E-3</v>
      </c>
      <c r="J86" s="67">
        <f t="shared" si="28"/>
        <v>1.7868130540513113E-3</v>
      </c>
      <c r="K86" s="67">
        <f t="shared" si="28"/>
        <v>1.654689386355383E-3</v>
      </c>
      <c r="L86" s="67">
        <f t="shared" si="28"/>
        <v>1.5555209466901676E-3</v>
      </c>
      <c r="M86" s="67">
        <f t="shared" si="28"/>
        <v>1.4689053063278792E-3</v>
      </c>
      <c r="N86" s="67">
        <f t="shared" si="28"/>
        <v>1.3870832285940587E-3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1.215692011180299E-2</v>
      </c>
      <c r="F87" s="67">
        <f t="shared" si="29"/>
        <v>8.9559956687271115E-3</v>
      </c>
      <c r="G87" s="67">
        <f t="shared" si="29"/>
        <v>7.8035531279520894E-3</v>
      </c>
      <c r="H87" s="67">
        <f t="shared" si="29"/>
        <v>7.0780341202992631E-3</v>
      </c>
      <c r="I87" s="67">
        <f t="shared" si="29"/>
        <v>6.4780796361660811E-3</v>
      </c>
      <c r="J87" s="67">
        <f t="shared" si="29"/>
        <v>5.9277426509115024E-3</v>
      </c>
      <c r="K87" s="67">
        <f t="shared" si="29"/>
        <v>5.4894230973240449E-3</v>
      </c>
      <c r="L87" s="67">
        <f t="shared" si="29"/>
        <v>5.160432334639053E-3</v>
      </c>
      <c r="M87" s="67">
        <f t="shared" si="29"/>
        <v>4.8730854158064328E-3</v>
      </c>
      <c r="N87" s="67">
        <f t="shared" si="29"/>
        <v>4.6016411150894328E-3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5.867604493576295E-2</v>
      </c>
      <c r="F88" s="67">
        <f t="shared" si="30"/>
        <v>4.1288742501416162E-2</v>
      </c>
      <c r="G88" s="67">
        <f t="shared" si="30"/>
        <v>3.4653899484742706E-2</v>
      </c>
      <c r="H88" s="67">
        <f t="shared" si="30"/>
        <v>3.1799663133168343E-2</v>
      </c>
      <c r="I88" s="67">
        <f t="shared" si="30"/>
        <v>2.9498810227830831E-2</v>
      </c>
      <c r="J88" s="67">
        <f t="shared" si="30"/>
        <v>2.7368531975688799E-2</v>
      </c>
      <c r="K88" s="67">
        <f t="shared" si="30"/>
        <v>2.4890696513448881E-2</v>
      </c>
      <c r="L88" s="67">
        <f t="shared" si="30"/>
        <v>2.3568062626313079E-2</v>
      </c>
      <c r="M88" s="67">
        <f t="shared" si="30"/>
        <v>2.242321453236832E-2</v>
      </c>
      <c r="N88" s="67">
        <f t="shared" si="30"/>
        <v>2.1373911004242803E-2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5.867604493576295E-2</v>
      </c>
      <c r="F94" s="75">
        <f t="shared" si="31"/>
        <v>4.1288742501416162E-2</v>
      </c>
      <c r="G94" s="75">
        <f t="shared" si="31"/>
        <v>3.4653899484742706E-2</v>
      </c>
      <c r="H94" s="75">
        <f t="shared" si="31"/>
        <v>3.1799663133168343E-2</v>
      </c>
      <c r="I94" s="75">
        <f t="shared" si="31"/>
        <v>2.9498810227830831E-2</v>
      </c>
      <c r="J94" s="75">
        <f t="shared" si="31"/>
        <v>2.7368531975688799E-2</v>
      </c>
      <c r="K94" s="75">
        <f t="shared" si="31"/>
        <v>2.4890696513448881E-2</v>
      </c>
      <c r="L94" s="75">
        <f t="shared" si="31"/>
        <v>2.3568062626313079E-2</v>
      </c>
      <c r="M94" s="75">
        <f t="shared" si="31"/>
        <v>2.242321453236832E-2</v>
      </c>
      <c r="N94" s="75">
        <f t="shared" si="31"/>
        <v>2.1373911004242803E-2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-5.4526707394714734E-2</v>
      </c>
      <c r="F95" s="56">
        <f t="shared" si="32"/>
        <v>-3.3411026811598334E-2</v>
      </c>
      <c r="G95" s="56">
        <f t="shared" si="32"/>
        <v>-2.8322663123131555E-2</v>
      </c>
      <c r="H95" s="56">
        <f t="shared" si="32"/>
        <v>-2.5553104639945583E-2</v>
      </c>
      <c r="I95" s="56">
        <f t="shared" si="32"/>
        <v>-2.379426365147749E-2</v>
      </c>
      <c r="J95" s="56">
        <f t="shared" si="32"/>
        <v>-2.2300026336233108E-2</v>
      </c>
      <c r="K95" s="56">
        <f t="shared" si="32"/>
        <v>-2.1010663933611846E-2</v>
      </c>
      <c r="L95" s="56">
        <f t="shared" si="32"/>
        <v>-1.985051849297333E-2</v>
      </c>
      <c r="M95" s="56">
        <f t="shared" si="32"/>
        <v>-1.8910204382584828E-2</v>
      </c>
      <c r="N95" s="56">
        <f t="shared" si="32"/>
        <v>-1.8103713099853716E-2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4.1493375410482161E-3</v>
      </c>
      <c r="F96" s="56">
        <f t="shared" si="33"/>
        <v>7.8777156898178283E-3</v>
      </c>
      <c r="G96" s="56">
        <f t="shared" si="33"/>
        <v>6.3312363616111512E-3</v>
      </c>
      <c r="H96" s="56">
        <f t="shared" si="33"/>
        <v>6.2465584932227605E-3</v>
      </c>
      <c r="I96" s="56">
        <f t="shared" si="33"/>
        <v>5.7045465763533414E-3</v>
      </c>
      <c r="J96" s="56">
        <f t="shared" si="33"/>
        <v>5.0685056394556907E-3</v>
      </c>
      <c r="K96" s="56">
        <f t="shared" si="33"/>
        <v>3.8800325798370346E-3</v>
      </c>
      <c r="L96" s="56">
        <f t="shared" si="33"/>
        <v>3.7175441333397487E-3</v>
      </c>
      <c r="M96" s="56">
        <f t="shared" si="33"/>
        <v>3.5130101497834916E-3</v>
      </c>
      <c r="N96" s="56">
        <f t="shared" si="33"/>
        <v>3.2701979043890869E-3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ht="13.8" x14ac:dyDescent="0.3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ht="13.8" x14ac:dyDescent="0.3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1</v>
      </c>
      <c r="D15" s="55"/>
      <c r="E15" s="117">
        <f>$C15*Inputs!E49</f>
        <v>0.35</v>
      </c>
      <c r="F15" s="117">
        <f>$C15*Inputs!F49</f>
        <v>0.32456756740957643</v>
      </c>
      <c r="G15" s="117">
        <f>$C15*Inputs!G49</f>
        <v>0.30098315946905696</v>
      </c>
      <c r="H15" s="117">
        <f>$C15*Inputs!H49</f>
        <v>0.27911249114320125</v>
      </c>
      <c r="I15" s="117">
        <f>$C15*Inputs!I49</f>
        <v>0.25883103509707361</v>
      </c>
      <c r="J15" s="117">
        <f>$C15*Inputs!J49</f>
        <v>0.24002331266159965</v>
      </c>
      <c r="K15" s="117">
        <f>$C15*Inputs!K49</f>
        <v>0.22258223632046739</v>
      </c>
      <c r="L15" s="117">
        <f>$C15*Inputs!L49</f>
        <v>0.20640849997462163</v>
      </c>
      <c r="M15" s="117">
        <f>$C15*Inputs!M49</f>
        <v>0.1914100135126359</v>
      </c>
      <c r="N15" s="117">
        <f>$C15*Inputs!N49</f>
        <v>0.17750137846751537</v>
      </c>
    </row>
    <row r="16" spans="1:15" ht="13.8" x14ac:dyDescent="0.3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 t="shared" ref="E19:N19" si="2">SUM(E9:E18)</f>
        <v>0.35</v>
      </c>
      <c r="F19" s="54">
        <f t="shared" si="2"/>
        <v>0.32456756740957643</v>
      </c>
      <c r="G19" s="54">
        <f t="shared" si="2"/>
        <v>0.30098315946905696</v>
      </c>
      <c r="H19" s="54">
        <f t="shared" si="2"/>
        <v>0.27911249114320125</v>
      </c>
      <c r="I19" s="54">
        <f t="shared" si="2"/>
        <v>0.25883103509707361</v>
      </c>
      <c r="J19" s="54">
        <f t="shared" si="2"/>
        <v>0.24002331266159965</v>
      </c>
      <c r="K19" s="54">
        <f t="shared" si="2"/>
        <v>0.22258223632046739</v>
      </c>
      <c r="L19" s="54">
        <f t="shared" si="2"/>
        <v>0.20640849997462163</v>
      </c>
      <c r="M19" s="54">
        <f t="shared" si="2"/>
        <v>0.1914100135126359</v>
      </c>
      <c r="N19" s="54">
        <f t="shared" si="2"/>
        <v>0.17750137846751537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 t="shared" ref="E22:N22" si="3">E19</f>
        <v>0.35</v>
      </c>
      <c r="F22" s="56">
        <f t="shared" si="3"/>
        <v>0.32456756740957643</v>
      </c>
      <c r="G22" s="56">
        <f t="shared" si="3"/>
        <v>0.30098315946905696</v>
      </c>
      <c r="H22" s="56">
        <f t="shared" si="3"/>
        <v>0.27911249114320125</v>
      </c>
      <c r="I22" s="56">
        <f t="shared" si="3"/>
        <v>0.25883103509707361</v>
      </c>
      <c r="J22" s="56">
        <f t="shared" si="3"/>
        <v>0.24002331266159965</v>
      </c>
      <c r="K22" s="56">
        <f t="shared" si="3"/>
        <v>0.22258223632046739</v>
      </c>
      <c r="L22" s="56">
        <f t="shared" si="3"/>
        <v>0.20640849997462163</v>
      </c>
      <c r="M22" s="56">
        <f t="shared" si="3"/>
        <v>0.1914100135126359</v>
      </c>
      <c r="N22" s="56">
        <f t="shared" si="3"/>
        <v>0.17750137846751537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0.35</v>
      </c>
      <c r="F23" s="56">
        <f>SUMPRODUCT(F9:F18,Inputs!$C$43:$C$52)</f>
        <v>0.32456756740957643</v>
      </c>
      <c r="G23" s="56">
        <f>SUMPRODUCT(G9:G18,Inputs!$C$43:$C$52)</f>
        <v>0.30098315946905696</v>
      </c>
      <c r="H23" s="56">
        <f>SUMPRODUCT(H9:H18,Inputs!$C$43:$C$52)</f>
        <v>0.27911249114320125</v>
      </c>
      <c r="I23" s="56">
        <f>SUMPRODUCT(I9:I18,Inputs!$C$43:$C$52)</f>
        <v>0.25883103509707361</v>
      </c>
      <c r="J23" s="56">
        <f>SUMPRODUCT(J9:J18,Inputs!$C$43:$C$52)</f>
        <v>0.24002331266159965</v>
      </c>
      <c r="K23" s="56">
        <f>SUMPRODUCT(K9:K18,Inputs!$C$43:$C$52)</f>
        <v>0.22258223632046739</v>
      </c>
      <c r="L23" s="56">
        <f>SUMPRODUCT(L9:L18,Inputs!$C$43:$C$52)</f>
        <v>0.20640849997462163</v>
      </c>
      <c r="M23" s="56">
        <f>SUMPRODUCT(M9:M18,Inputs!$C$43:$C$52)</f>
        <v>0.1914100135126359</v>
      </c>
      <c r="N23" s="56">
        <f>SUMPRODUCT(N9:N18,Inputs!$C$43:$C$52)</f>
        <v>0.17750137846751537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0.34104000000000001</v>
      </c>
      <c r="F24" s="56">
        <f t="shared" si="5"/>
        <v>0.31625863768389129</v>
      </c>
      <c r="G24" s="56">
        <f t="shared" si="5"/>
        <v>0.29327799058664911</v>
      </c>
      <c r="H24" s="56">
        <f t="shared" si="5"/>
        <v>0.27196721136993529</v>
      </c>
      <c r="I24" s="56">
        <f t="shared" si="5"/>
        <v>0.25220496059858855</v>
      </c>
      <c r="J24" s="56">
        <f t="shared" si="5"/>
        <v>0.2338787158574627</v>
      </c>
      <c r="K24" s="56">
        <f t="shared" si="5"/>
        <v>0.21688413107066343</v>
      </c>
      <c r="L24" s="56">
        <f t="shared" si="5"/>
        <v>0.20112444237527133</v>
      </c>
      <c r="M24" s="56">
        <f t="shared" si="5"/>
        <v>0.18650991716671242</v>
      </c>
      <c r="N24" s="56">
        <f t="shared" si="5"/>
        <v>0.172957343178747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0.12414499999999999</v>
      </c>
      <c r="F25" s="56">
        <f t="shared" si="5"/>
        <v>0.11512411616017676</v>
      </c>
      <c r="G25" s="56">
        <f t="shared" si="5"/>
        <v>0.1067587266636745</v>
      </c>
      <c r="H25" s="56">
        <f t="shared" si="5"/>
        <v>9.9001200608493489E-2</v>
      </c>
      <c r="I25" s="56">
        <f t="shared" si="5"/>
        <v>9.180736814893202E-2</v>
      </c>
      <c r="J25" s="56">
        <f t="shared" si="5"/>
        <v>8.5136269001069395E-2</v>
      </c>
      <c r="K25" s="56">
        <f t="shared" si="5"/>
        <v>7.8949919222869785E-2</v>
      </c>
      <c r="L25" s="56">
        <f t="shared" si="5"/>
        <v>7.32130949409983E-2</v>
      </c>
      <c r="M25" s="56">
        <f t="shared" si="5"/>
        <v>6.7893131792931952E-2</v>
      </c>
      <c r="N25" s="56">
        <f t="shared" si="5"/>
        <v>6.2959738942427707E-2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3.0897999999999998E-2</v>
      </c>
      <c r="F26" s="56">
        <f t="shared" si="5"/>
        <v>2.8652824850917406E-2</v>
      </c>
      <c r="G26" s="56">
        <f t="shared" si="5"/>
        <v>2.6570793317928349E-2</v>
      </c>
      <c r="H26" s="56">
        <f t="shared" si="5"/>
        <v>2.4640050718121805E-2</v>
      </c>
      <c r="I26" s="56">
        <f t="shared" si="5"/>
        <v>2.2849603778369657E-2</v>
      </c>
      <c r="J26" s="56">
        <f t="shared" si="5"/>
        <v>2.1189258041766017E-2</v>
      </c>
      <c r="K26" s="56">
        <f t="shared" si="5"/>
        <v>1.9649559822370859E-2</v>
      </c>
      <c r="L26" s="56">
        <f t="shared" si="5"/>
        <v>1.8221742377759597E-2</v>
      </c>
      <c r="M26" s="56">
        <f t="shared" si="5"/>
        <v>1.6897675992895496E-2</v>
      </c>
      <c r="N26" s="56">
        <f t="shared" si="5"/>
        <v>1.5669821691112258E-2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4.3952999999999999E-2</v>
      </c>
      <c r="F27" s="56">
        <f t="shared" si="5"/>
        <v>4.0759195115294605E-2</v>
      </c>
      <c r="G27" s="56">
        <f t="shared" si="5"/>
        <v>3.7797465166124172E-2</v>
      </c>
      <c r="H27" s="56">
        <f t="shared" si="5"/>
        <v>3.505094663776321E-2</v>
      </c>
      <c r="I27" s="56">
        <f t="shared" si="5"/>
        <v>3.2504001387490503E-2</v>
      </c>
      <c r="J27" s="56">
        <f t="shared" si="5"/>
        <v>3.0142127604043684E-2</v>
      </c>
      <c r="K27" s="56">
        <f t="shared" si="5"/>
        <v>2.7951877237124296E-2</v>
      </c>
      <c r="L27" s="56">
        <f t="shared" si="5"/>
        <v>2.5920779426812982E-2</v>
      </c>
      <c r="M27" s="56">
        <f t="shared" si="5"/>
        <v>2.4037269496916817E-2</v>
      </c>
      <c r="N27" s="56">
        <f t="shared" si="5"/>
        <v>2.2290623107950581E-2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2.0436499999999996E-2</v>
      </c>
      <c r="F28" s="56">
        <f t="shared" si="5"/>
        <v>1.8951500261045168E-2</v>
      </c>
      <c r="G28" s="56">
        <f t="shared" si="5"/>
        <v>1.7574406681398234E-2</v>
      </c>
      <c r="H28" s="56">
        <f t="shared" si="5"/>
        <v>1.6297378357851521E-2</v>
      </c>
      <c r="I28" s="56">
        <f t="shared" si="5"/>
        <v>1.5113144139318128E-2</v>
      </c>
      <c r="J28" s="56">
        <f t="shared" si="5"/>
        <v>1.4014961226310803E-2</v>
      </c>
      <c r="K28" s="56">
        <f t="shared" si="5"/>
        <v>1.299657677875209E-2</v>
      </c>
      <c r="L28" s="56">
        <f t="shared" si="5"/>
        <v>1.2052192313518156E-2</v>
      </c>
      <c r="M28" s="56">
        <f t="shared" si="5"/>
        <v>1.1176430689002809E-2</v>
      </c>
      <c r="N28" s="56">
        <f t="shared" si="5"/>
        <v>1.0364305488718223E-2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1.76855E-2</v>
      </c>
      <c r="F29" s="56">
        <f t="shared" si="5"/>
        <v>1.6400399181205897E-2</v>
      </c>
      <c r="G29" s="56">
        <f t="shared" si="5"/>
        <v>1.5208679047971447E-2</v>
      </c>
      <c r="H29" s="56">
        <f t="shared" si="5"/>
        <v>1.4103554177465959E-2</v>
      </c>
      <c r="I29" s="56">
        <f t="shared" si="5"/>
        <v>1.3078732203455129E-2</v>
      </c>
      <c r="J29" s="56">
        <f t="shared" si="5"/>
        <v>1.212837798879063E-2</v>
      </c>
      <c r="K29" s="56">
        <f t="shared" si="5"/>
        <v>1.1247080401273217E-2</v>
      </c>
      <c r="L29" s="56">
        <f t="shared" si="5"/>
        <v>1.0429821503717631E-2</v>
      </c>
      <c r="M29" s="56">
        <f t="shared" si="5"/>
        <v>9.6719479827934909E-3</v>
      </c>
      <c r="N29" s="56">
        <f t="shared" si="5"/>
        <v>8.9691446539635518E-3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5.5957999999999994E-2</v>
      </c>
      <c r="F30" s="56">
        <f t="shared" si="5"/>
        <v>5.1891862677443078E-2</v>
      </c>
      <c r="G30" s="56">
        <f t="shared" si="5"/>
        <v>4.8121187535912824E-2</v>
      </c>
      <c r="H30" s="56">
        <f t="shared" si="5"/>
        <v>4.4624505083975016E-2</v>
      </c>
      <c r="I30" s="56">
        <f t="shared" si="5"/>
        <v>4.1381905891320125E-2</v>
      </c>
      <c r="J30" s="56">
        <f t="shared" si="5"/>
        <v>3.8374927228336554E-2</v>
      </c>
      <c r="K30" s="56">
        <f t="shared" si="5"/>
        <v>3.5586447942916329E-2</v>
      </c>
      <c r="L30" s="56">
        <f t="shared" si="5"/>
        <v>3.3000590975942504E-2</v>
      </c>
      <c r="M30" s="56">
        <f t="shared" si="5"/>
        <v>3.0602632960400226E-2</v>
      </c>
      <c r="N30" s="56">
        <f t="shared" si="5"/>
        <v>2.8378920389386358E-2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8.5260000000000002E-2</v>
      </c>
      <c r="F33" s="56">
        <f t="shared" si="6"/>
        <v>7.9064659420972822E-2</v>
      </c>
      <c r="G33" s="56">
        <f t="shared" si="6"/>
        <v>7.3319497646662277E-2</v>
      </c>
      <c r="H33" s="56">
        <f t="shared" si="6"/>
        <v>6.7991802842483823E-2</v>
      </c>
      <c r="I33" s="56">
        <f t="shared" si="6"/>
        <v>6.3051240149647136E-2</v>
      </c>
      <c r="J33" s="56">
        <f t="shared" si="6"/>
        <v>5.8469678964365675E-2</v>
      </c>
      <c r="K33" s="56">
        <f t="shared" si="6"/>
        <v>5.4221032767665857E-2</v>
      </c>
      <c r="L33" s="56">
        <f t="shared" si="6"/>
        <v>5.0281110593817832E-2</v>
      </c>
      <c r="M33" s="56">
        <f t="shared" si="6"/>
        <v>4.6627479291678105E-2</v>
      </c>
      <c r="N33" s="56">
        <f t="shared" si="6"/>
        <v>4.3239335794686751E-2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8.0694249999999995E-2</v>
      </c>
      <c r="F34" s="56">
        <f t="shared" si="7"/>
        <v>7.4830675504114902E-2</v>
      </c>
      <c r="G34" s="56">
        <f t="shared" si="7"/>
        <v>6.9393172331388434E-2</v>
      </c>
      <c r="H34" s="56">
        <f t="shared" si="7"/>
        <v>6.4350780395520765E-2</v>
      </c>
      <c r="I34" s="56">
        <f t="shared" si="7"/>
        <v>5.9674789296805815E-2</v>
      </c>
      <c r="J34" s="56">
        <f t="shared" si="7"/>
        <v>5.5338574850695106E-2</v>
      </c>
      <c r="K34" s="56">
        <f t="shared" si="7"/>
        <v>5.1317447494865359E-2</v>
      </c>
      <c r="L34" s="56">
        <f t="shared" si="7"/>
        <v>4.75885117116489E-2</v>
      </c>
      <c r="M34" s="56">
        <f t="shared" si="7"/>
        <v>4.4130535665405771E-2</v>
      </c>
      <c r="N34" s="56">
        <f t="shared" si="7"/>
        <v>4.0923830312578013E-2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2.6263299999999996E-2</v>
      </c>
      <c r="F35" s="56">
        <f t="shared" si="8"/>
        <v>2.4354901123279794E-2</v>
      </c>
      <c r="G35" s="56">
        <f t="shared" si="8"/>
        <v>2.2585174320239095E-2</v>
      </c>
      <c r="H35" s="56">
        <f t="shared" si="8"/>
        <v>2.0944043110403533E-2</v>
      </c>
      <c r="I35" s="56">
        <f t="shared" si="8"/>
        <v>1.9422163211614208E-2</v>
      </c>
      <c r="J35" s="56">
        <f t="shared" si="8"/>
        <v>1.8010869335501115E-2</v>
      </c>
      <c r="K35" s="56">
        <f t="shared" si="8"/>
        <v>1.6702125849015231E-2</v>
      </c>
      <c r="L35" s="56">
        <f t="shared" si="8"/>
        <v>1.5488481021095657E-2</v>
      </c>
      <c r="M35" s="56">
        <f t="shared" si="8"/>
        <v>1.436302459396117E-2</v>
      </c>
      <c r="N35" s="56">
        <f t="shared" si="8"/>
        <v>1.3319348437445418E-2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3.9557700000000001E-2</v>
      </c>
      <c r="F36" s="56">
        <f t="shared" si="9"/>
        <v>3.6683275603765143E-2</v>
      </c>
      <c r="G36" s="56">
        <f t="shared" si="9"/>
        <v>3.4017718649511759E-2</v>
      </c>
      <c r="H36" s="56">
        <f t="shared" si="9"/>
        <v>3.1545851973986891E-2</v>
      </c>
      <c r="I36" s="56">
        <f t="shared" si="9"/>
        <v>2.9253601248741452E-2</v>
      </c>
      <c r="J36" s="56">
        <f t="shared" si="9"/>
        <v>2.7127914843639318E-2</v>
      </c>
      <c r="K36" s="56">
        <f t="shared" si="9"/>
        <v>2.5156689513411868E-2</v>
      </c>
      <c r="L36" s="56">
        <f t="shared" si="9"/>
        <v>2.3328701484131683E-2</v>
      </c>
      <c r="M36" s="56">
        <f t="shared" si="9"/>
        <v>2.1633542547225135E-2</v>
      </c>
      <c r="N36" s="56">
        <f t="shared" si="9"/>
        <v>2.0061560797155525E-2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1.9414674999999996E-2</v>
      </c>
      <c r="F37" s="56">
        <f t="shared" si="10"/>
        <v>1.8003925247992908E-2</v>
      </c>
      <c r="G37" s="56">
        <f t="shared" si="10"/>
        <v>1.669568634732832E-2</v>
      </c>
      <c r="H37" s="56">
        <f t="shared" si="10"/>
        <v>1.5482509439958944E-2</v>
      </c>
      <c r="I37" s="56">
        <f t="shared" si="10"/>
        <v>1.4357486932352221E-2</v>
      </c>
      <c r="J37" s="56">
        <f t="shared" si="10"/>
        <v>1.3314213164995262E-2</v>
      </c>
      <c r="K37" s="56">
        <f t="shared" si="10"/>
        <v>1.2346747939814485E-2</v>
      </c>
      <c r="L37" s="56">
        <f t="shared" si="10"/>
        <v>1.1449582697842247E-2</v>
      </c>
      <c r="M37" s="56">
        <f t="shared" si="10"/>
        <v>1.0617609154552668E-2</v>
      </c>
      <c r="N37" s="56">
        <f t="shared" si="10"/>
        <v>9.8460902142823107E-3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1.6801224999999999E-2</v>
      </c>
      <c r="F38" s="56">
        <f t="shared" si="11"/>
        <v>1.5580379222145601E-2</v>
      </c>
      <c r="G38" s="56">
        <f t="shared" si="11"/>
        <v>1.4448245095572874E-2</v>
      </c>
      <c r="H38" s="56">
        <f t="shared" si="11"/>
        <v>1.3398376468592661E-2</v>
      </c>
      <c r="I38" s="56">
        <f t="shared" si="11"/>
        <v>1.2424795593282372E-2</v>
      </c>
      <c r="J38" s="56">
        <f t="shared" si="11"/>
        <v>1.1521959089351098E-2</v>
      </c>
      <c r="K38" s="56">
        <f t="shared" si="11"/>
        <v>1.0684726381209556E-2</v>
      </c>
      <c r="L38" s="56">
        <f t="shared" si="11"/>
        <v>9.9083304285317482E-3</v>
      </c>
      <c r="M38" s="56">
        <f t="shared" si="11"/>
        <v>9.1883505836538159E-3</v>
      </c>
      <c r="N38" s="56">
        <f t="shared" si="11"/>
        <v>8.520687421265374E-3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5.5737973143999989E-2</v>
      </c>
      <c r="F39" s="56">
        <f t="shared" si="12"/>
        <v>5.1687823873395371E-2</v>
      </c>
      <c r="G39" s="56">
        <f t="shared" si="12"/>
        <v>4.7931975026521613E-2</v>
      </c>
      <c r="H39" s="56">
        <f t="shared" si="12"/>
        <v>4.4449041529984822E-2</v>
      </c>
      <c r="I39" s="56">
        <f t="shared" si="12"/>
        <v>4.121919223735545E-2</v>
      </c>
      <c r="J39" s="56">
        <f t="shared" si="12"/>
        <v>3.8224037014474736E-2</v>
      </c>
      <c r="K39" s="56">
        <f t="shared" si="12"/>
        <v>3.5446522029604778E-2</v>
      </c>
      <c r="L39" s="56">
        <f t="shared" si="12"/>
        <v>3.2870832652225096E-2</v>
      </c>
      <c r="M39" s="56">
        <f t="shared" si="12"/>
        <v>3.0482303407599932E-2</v>
      </c>
      <c r="N39" s="56">
        <f t="shared" si="12"/>
        <v>2.826733447441529E-2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0.32372912314399993</v>
      </c>
      <c r="F40" s="56">
        <f t="shared" si="13"/>
        <v>0.30020563999566652</v>
      </c>
      <c r="G40" s="56">
        <f t="shared" si="13"/>
        <v>0.27839146941722437</v>
      </c>
      <c r="H40" s="56">
        <f t="shared" si="13"/>
        <v>0.25816240576093141</v>
      </c>
      <c r="I40" s="56">
        <f t="shared" si="13"/>
        <v>0.23940326866979869</v>
      </c>
      <c r="J40" s="56">
        <f t="shared" si="13"/>
        <v>0.22200724726302234</v>
      </c>
      <c r="K40" s="56">
        <f t="shared" si="13"/>
        <v>0.20587529197558715</v>
      </c>
      <c r="L40" s="56">
        <f t="shared" si="13"/>
        <v>0.19091555058929316</v>
      </c>
      <c r="M40" s="56">
        <f t="shared" si="13"/>
        <v>0.17704284524407662</v>
      </c>
      <c r="N40" s="56">
        <f t="shared" si="13"/>
        <v>0.16417818745182869</v>
      </c>
    </row>
    <row r="41" spans="1:14" x14ac:dyDescent="0.25">
      <c r="C41" s="57" t="s">
        <v>59</v>
      </c>
      <c r="D41" s="59"/>
      <c r="E41" s="56">
        <f t="shared" ref="E41:N41" si="14">E40/42</f>
        <v>7.7078362653333317E-3</v>
      </c>
      <c r="F41" s="56">
        <f t="shared" si="14"/>
        <v>7.147753333230155E-3</v>
      </c>
      <c r="G41" s="56">
        <f t="shared" si="14"/>
        <v>6.6283683194577232E-3</v>
      </c>
      <c r="H41" s="56">
        <f t="shared" si="14"/>
        <v>6.1467239466888434E-3</v>
      </c>
      <c r="I41" s="56">
        <f t="shared" si="14"/>
        <v>5.7000778254713974E-3</v>
      </c>
      <c r="J41" s="56">
        <f t="shared" si="14"/>
        <v>5.2858868395957697E-3</v>
      </c>
      <c r="K41" s="56">
        <f t="shared" si="14"/>
        <v>4.9017926660854085E-3</v>
      </c>
      <c r="L41" s="56">
        <f t="shared" si="14"/>
        <v>4.5456083473641232E-3</v>
      </c>
      <c r="M41" s="56">
        <f t="shared" si="14"/>
        <v>4.2153058391446816E-3</v>
      </c>
      <c r="N41" s="56">
        <f t="shared" si="14"/>
        <v>3.909004463138778E-3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5.6544432000000004E-3</v>
      </c>
      <c r="F43" s="56">
        <f t="shared" si="15"/>
        <v>5.2435682127989179E-3</v>
      </c>
      <c r="G43" s="56">
        <f t="shared" si="15"/>
        <v>4.8625490839266424E-3</v>
      </c>
      <c r="H43" s="56">
        <f t="shared" si="15"/>
        <v>4.5092163645135278E-3</v>
      </c>
      <c r="I43" s="56">
        <f t="shared" si="15"/>
        <v>4.1815582467245984E-3</v>
      </c>
      <c r="J43" s="56">
        <f t="shared" si="15"/>
        <v>3.877709108916732E-3</v>
      </c>
      <c r="K43" s="56">
        <f t="shared" si="15"/>
        <v>3.5959388931515999E-3</v>
      </c>
      <c r="L43" s="56">
        <f t="shared" si="15"/>
        <v>3.3346432545819987E-3</v>
      </c>
      <c r="M43" s="56">
        <f t="shared" si="15"/>
        <v>3.0923344266240919E-3</v>
      </c>
      <c r="N43" s="56">
        <f t="shared" si="15"/>
        <v>2.8676327499036255E-3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7.3853798427499992E-3</v>
      </c>
      <c r="F44" s="56">
        <f t="shared" ref="F44:N49" si="16">+$D43*F34</f>
        <v>4.9627703994329008E-3</v>
      </c>
      <c r="G44" s="56">
        <f t="shared" si="16"/>
        <v>4.602155189017681E-3</v>
      </c>
      <c r="H44" s="56">
        <f t="shared" si="16"/>
        <v>4.2677437558309378E-3</v>
      </c>
      <c r="I44" s="56">
        <f t="shared" si="16"/>
        <v>3.957632026164162E-3</v>
      </c>
      <c r="J44" s="56">
        <f t="shared" si="16"/>
        <v>3.6700542840980995E-3</v>
      </c>
      <c r="K44" s="56">
        <f t="shared" si="16"/>
        <v>3.4033731178594708E-3</v>
      </c>
      <c r="L44" s="56">
        <f t="shared" si="16"/>
        <v>3.1560700967165553E-3</v>
      </c>
      <c r="M44" s="56">
        <f t="shared" si="16"/>
        <v>2.926737125329711E-3</v>
      </c>
      <c r="N44" s="56">
        <f t="shared" si="16"/>
        <v>2.7140684263301739E-3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2.6167438954999996E-3</v>
      </c>
      <c r="F45" s="56">
        <f t="shared" si="16"/>
        <v>2.2290336155059366E-3</v>
      </c>
      <c r="G45" s="56">
        <f t="shared" si="16"/>
        <v>2.0670629093112423E-3</v>
      </c>
      <c r="H45" s="56">
        <f t="shared" si="16"/>
        <v>1.9168616575934623E-3</v>
      </c>
      <c r="I45" s="56">
        <f t="shared" si="16"/>
        <v>1.777574643616567E-3</v>
      </c>
      <c r="J45" s="56">
        <f t="shared" si="16"/>
        <v>1.6484087941930684E-3</v>
      </c>
      <c r="K45" s="56">
        <f t="shared" si="16"/>
        <v>1.528628664079421E-3</v>
      </c>
      <c r="L45" s="56">
        <f t="shared" si="16"/>
        <v>1.4175522484937376E-3</v>
      </c>
      <c r="M45" s="56">
        <f t="shared" si="16"/>
        <v>1.3145470999131081E-3</v>
      </c>
      <c r="N45" s="56">
        <f t="shared" si="16"/>
        <v>1.2190267270403168E-3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4.1025290669999999E-3</v>
      </c>
      <c r="F46" s="56">
        <f t="shared" si="16"/>
        <v>3.6549381647811401E-3</v>
      </c>
      <c r="G46" s="56">
        <f t="shared" si="16"/>
        <v>3.389355397644104E-3</v>
      </c>
      <c r="H46" s="56">
        <f t="shared" si="16"/>
        <v>3.143070961428184E-3</v>
      </c>
      <c r="I46" s="56">
        <f t="shared" si="16"/>
        <v>2.9146825604183546E-3</v>
      </c>
      <c r="J46" s="56">
        <f t="shared" si="16"/>
        <v>2.7028897954460033E-3</v>
      </c>
      <c r="K46" s="56">
        <f t="shared" si="16"/>
        <v>2.5064867596687915E-3</v>
      </c>
      <c r="L46" s="56">
        <f t="shared" si="16"/>
        <v>2.3243551723714602E-3</v>
      </c>
      <c r="M46" s="56">
        <f t="shared" si="16"/>
        <v>2.1554580116927764E-3</v>
      </c>
      <c r="N46" s="56">
        <f t="shared" si="16"/>
        <v>1.9988336100245909E-3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2.1278483799999997E-3</v>
      </c>
      <c r="F47" s="56">
        <f t="shared" si="16"/>
        <v>1.8671870874693445E-3</v>
      </c>
      <c r="G47" s="56">
        <f t="shared" si="16"/>
        <v>1.73150963108142E-3</v>
      </c>
      <c r="H47" s="56">
        <f t="shared" si="16"/>
        <v>1.605691054018142E-3</v>
      </c>
      <c r="I47" s="56">
        <f t="shared" si="16"/>
        <v>1.4890149697542488E-3</v>
      </c>
      <c r="J47" s="56">
        <f t="shared" si="16"/>
        <v>1.3808170473416587E-3</v>
      </c>
      <c r="K47" s="56">
        <f t="shared" si="16"/>
        <v>1.2804812288381602E-3</v>
      </c>
      <c r="L47" s="56">
        <f t="shared" si="16"/>
        <v>1.1874362215932195E-3</v>
      </c>
      <c r="M47" s="56">
        <f t="shared" si="16"/>
        <v>1.1011522454186572E-3</v>
      </c>
      <c r="N47" s="56">
        <f t="shared" si="16"/>
        <v>1.0211380161232184E-3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1.8639279014999999E-3</v>
      </c>
      <c r="F48" s="56">
        <f t="shared" si="16"/>
        <v>1.7076095627471578E-3</v>
      </c>
      <c r="G48" s="56">
        <f t="shared" si="16"/>
        <v>1.583527662474787E-3</v>
      </c>
      <c r="H48" s="56">
        <f t="shared" si="16"/>
        <v>1.4684620609577558E-3</v>
      </c>
      <c r="I48" s="56">
        <f t="shared" si="16"/>
        <v>1.361757597023748E-3</v>
      </c>
      <c r="J48" s="56">
        <f t="shared" si="16"/>
        <v>1.2628067161928804E-3</v>
      </c>
      <c r="K48" s="56">
        <f t="shared" si="16"/>
        <v>1.1710460113805673E-3</v>
      </c>
      <c r="L48" s="56">
        <f t="shared" si="16"/>
        <v>1.0859530149670796E-3</v>
      </c>
      <c r="M48" s="56">
        <f t="shared" si="16"/>
        <v>1.0070432239684581E-3</v>
      </c>
      <c r="N48" s="56">
        <f t="shared" si="16"/>
        <v>9.3386734137068498E-4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6.8180918268666551E-3</v>
      </c>
      <c r="F49" s="56">
        <f t="shared" si="16"/>
        <v>5.7342471805144823E-3</v>
      </c>
      <c r="G49" s="56">
        <f t="shared" si="16"/>
        <v>5.3175733094423076E-3</v>
      </c>
      <c r="H49" s="56">
        <f t="shared" si="16"/>
        <v>4.9311766673365157E-3</v>
      </c>
      <c r="I49" s="56">
        <f t="shared" si="16"/>
        <v>4.5728571868122138E-3</v>
      </c>
      <c r="J49" s="56">
        <f t="shared" si="16"/>
        <v>4.2405746663858272E-3</v>
      </c>
      <c r="K49" s="56">
        <f t="shared" si="16"/>
        <v>3.9324371539643539E-3</v>
      </c>
      <c r="L49" s="56">
        <f t="shared" si="16"/>
        <v>3.6466901744378519E-3</v>
      </c>
      <c r="M49" s="56">
        <f t="shared" si="16"/>
        <v>3.3817067400391363E-3</v>
      </c>
      <c r="N49" s="56">
        <f t="shared" si="16"/>
        <v>3.1359780865916321E-3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3.0568964113616655E-2</v>
      </c>
      <c r="F50" s="56">
        <f t="shared" si="17"/>
        <v>2.5399354223249879E-2</v>
      </c>
      <c r="G50" s="56">
        <f t="shared" si="17"/>
        <v>2.3553733182898186E-2</v>
      </c>
      <c r="H50" s="56">
        <f t="shared" si="17"/>
        <v>2.1842222521678525E-2</v>
      </c>
      <c r="I50" s="56">
        <f t="shared" si="17"/>
        <v>2.0255077230513893E-2</v>
      </c>
      <c r="J50" s="56">
        <f t="shared" si="17"/>
        <v>1.8783260412574269E-2</v>
      </c>
      <c r="K50" s="56">
        <f t="shared" si="17"/>
        <v>1.7418391828942364E-2</v>
      </c>
      <c r="L50" s="56">
        <f t="shared" si="17"/>
        <v>1.6152700183161901E-2</v>
      </c>
      <c r="M50" s="56">
        <f t="shared" si="17"/>
        <v>1.4978978872985937E-2</v>
      </c>
      <c r="N50" s="56">
        <f t="shared" si="17"/>
        <v>1.3890544957384243E-2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0.12722898392100104</v>
      </c>
      <c r="F51" s="56">
        <f t="shared" si="18"/>
        <v>7.7356114476365936E-2</v>
      </c>
      <c r="G51" s="56">
        <f t="shared" si="18"/>
        <v>6.5067923971918198E-2</v>
      </c>
      <c r="H51" s="56">
        <f t="shared" si="18"/>
        <v>5.8251159756955224E-2</v>
      </c>
      <c r="I51" s="56">
        <f t="shared" si="18"/>
        <v>5.3822170999619591E-2</v>
      </c>
      <c r="J51" s="56">
        <f t="shared" si="18"/>
        <v>5.0052106207519403E-2</v>
      </c>
      <c r="K51" s="56">
        <f t="shared" si="18"/>
        <v>4.6793420998964358E-2</v>
      </c>
      <c r="L51" s="56">
        <f t="shared" si="18"/>
        <v>4.3867705066183378E-2</v>
      </c>
      <c r="M51" s="56">
        <f t="shared" si="18"/>
        <v>4.1466494451322874E-2</v>
      </c>
      <c r="N51" s="56">
        <f t="shared" si="18"/>
        <v>3.9390981021962208E-2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6.9999999999999993E-3</v>
      </c>
      <c r="F54" s="61">
        <f t="shared" si="19"/>
        <v>6.4913513481915288E-3</v>
      </c>
      <c r="G54" s="61">
        <f t="shared" si="19"/>
        <v>6.019663189381139E-3</v>
      </c>
      <c r="H54" s="61">
        <f t="shared" si="19"/>
        <v>5.5822498228640252E-3</v>
      </c>
      <c r="I54" s="61">
        <f t="shared" si="19"/>
        <v>5.1766207019414727E-3</v>
      </c>
      <c r="J54" s="61">
        <f t="shared" si="19"/>
        <v>4.8004662532319933E-3</v>
      </c>
      <c r="K54" s="61">
        <f t="shared" si="19"/>
        <v>4.4516447264093479E-3</v>
      </c>
      <c r="L54" s="61">
        <f t="shared" si="19"/>
        <v>4.1281699994924325E-3</v>
      </c>
      <c r="M54" s="61">
        <f t="shared" si="19"/>
        <v>3.8282002702527181E-3</v>
      </c>
      <c r="N54" s="61">
        <f t="shared" si="19"/>
        <v>3.5500275693503077E-3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2.9134218749999993E-2</v>
      </c>
      <c r="F55" s="61">
        <f t="shared" si="20"/>
        <v>1.9770019095106194E-2</v>
      </c>
      <c r="G55" s="61">
        <f t="shared" si="20"/>
        <v>1.6629507675140064E-2</v>
      </c>
      <c r="H55" s="61">
        <f t="shared" si="20"/>
        <v>1.4887336941657463E-2</v>
      </c>
      <c r="I55" s="61">
        <f t="shared" si="20"/>
        <v>1.3755413590837044E-2</v>
      </c>
      <c r="J55" s="61">
        <f t="shared" si="20"/>
        <v>1.2791892433729543E-2</v>
      </c>
      <c r="K55" s="61">
        <f t="shared" si="20"/>
        <v>1.1959065329703313E-2</v>
      </c>
      <c r="L55" s="61">
        <f t="shared" si="20"/>
        <v>1.1211335686746541E-2</v>
      </c>
      <c r="M55" s="61">
        <f t="shared" si="20"/>
        <v>1.0597654660643975E-2</v>
      </c>
      <c r="N55" s="61">
        <f t="shared" si="20"/>
        <v>1.006721255650822E-2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0.31243103588638332</v>
      </c>
      <c r="F58" s="62">
        <f t="shared" si="21"/>
        <v>0.29267686183813502</v>
      </c>
      <c r="G58" s="62">
        <f t="shared" si="21"/>
        <v>0.27140976309677767</v>
      </c>
      <c r="H58" s="62">
        <f t="shared" si="21"/>
        <v>0.25168801879865871</v>
      </c>
      <c r="I58" s="62">
        <f t="shared" si="21"/>
        <v>0.23339933716461825</v>
      </c>
      <c r="J58" s="62">
        <f t="shared" si="21"/>
        <v>0.21643958599579338</v>
      </c>
      <c r="K58" s="62">
        <f t="shared" si="21"/>
        <v>0.20071219976511567</v>
      </c>
      <c r="L58" s="62">
        <f t="shared" si="21"/>
        <v>0.18612762979196731</v>
      </c>
      <c r="M58" s="62">
        <f t="shared" si="21"/>
        <v>0.17260283436939725</v>
      </c>
      <c r="N58" s="62">
        <f t="shared" si="21"/>
        <v>0.16006080594078084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1.3003477348289987</v>
      </c>
      <c r="F59" s="64">
        <f t="shared" si="22"/>
        <v>0.8913748211838376</v>
      </c>
      <c r="G59" s="64">
        <f t="shared" si="22"/>
        <v>0.74977795210994502</v>
      </c>
      <c r="H59" s="64">
        <f t="shared" si="22"/>
        <v>0.67122835038426043</v>
      </c>
      <c r="I59" s="64">
        <f t="shared" si="22"/>
        <v>0.62019309495139552</v>
      </c>
      <c r="J59" s="64">
        <f t="shared" si="22"/>
        <v>0.57675062304522817</v>
      </c>
      <c r="K59" s="64">
        <f t="shared" si="22"/>
        <v>0.53920078015649797</v>
      </c>
      <c r="L59" s="64">
        <f t="shared" si="22"/>
        <v>0.50548774358439719</v>
      </c>
      <c r="M59" s="64">
        <f t="shared" si="22"/>
        <v>0.47781858392023191</v>
      </c>
      <c r="N59" s="64">
        <f t="shared" si="22"/>
        <v>0.4539024342469406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85.918534868755415</v>
      </c>
      <c r="F60" s="64">
        <f>F58*Inputs!F40</f>
        <v>106.82705457091929</v>
      </c>
      <c r="G60" s="64">
        <f>G58*Inputs!G40</f>
        <v>99.064563530323852</v>
      </c>
      <c r="H60" s="64">
        <f>H58*Inputs!H40</f>
        <v>92.117814880309083</v>
      </c>
      <c r="I60" s="64">
        <f>I58*Inputs!I40</f>
        <v>85.19075806508566</v>
      </c>
      <c r="J60" s="64">
        <f>J58*Inputs!J40</f>
        <v>79.000448888464589</v>
      </c>
      <c r="K60" s="64">
        <f>K58*Inputs!K40</f>
        <v>73.259952914267217</v>
      </c>
      <c r="L60" s="64">
        <f>L58*Inputs!L40</f>
        <v>68.122712503860043</v>
      </c>
      <c r="M60" s="64">
        <f>M58*Inputs!M40</f>
        <v>63.000034544829994</v>
      </c>
      <c r="N60" s="64">
        <f>N58*Inputs!N40</f>
        <v>58.422194168385005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 t="shared" ref="E81:N81" si="23">(E62+E71)*E33</f>
        <v>2.5125414879649664E-2</v>
      </c>
      <c r="F81" s="67">
        <f t="shared" si="23"/>
        <v>1.493940464410606E-2</v>
      </c>
      <c r="G81" s="67">
        <f t="shared" si="23"/>
        <v>9.8521657451867244E-3</v>
      </c>
      <c r="H81" s="67">
        <f t="shared" si="23"/>
        <v>8.977314395848356E-3</v>
      </c>
      <c r="I81" s="67">
        <f t="shared" si="23"/>
        <v>8.4269401376646479E-3</v>
      </c>
      <c r="J81" s="67">
        <f t="shared" si="23"/>
        <v>7.9110074501350849E-3</v>
      </c>
      <c r="K81" s="67">
        <f t="shared" si="23"/>
        <v>7.5142583817825268E-3</v>
      </c>
      <c r="L81" s="67">
        <f t="shared" si="23"/>
        <v>7.2339041306228756E-3</v>
      </c>
      <c r="M81" s="67">
        <f t="shared" si="23"/>
        <v>6.9831038793463822E-3</v>
      </c>
      <c r="N81" s="67">
        <f t="shared" si="23"/>
        <v>6.7310595836125621E-3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3.4047013706085517E-2</v>
      </c>
      <c r="F82" s="67">
        <f t="shared" si="24"/>
        <v>2.374855549463329E-2</v>
      </c>
      <c r="G82" s="67">
        <f t="shared" si="24"/>
        <v>2.1009948001562462E-2</v>
      </c>
      <c r="H82" s="67">
        <f t="shared" si="24"/>
        <v>1.9416702659367752E-2</v>
      </c>
      <c r="I82" s="67">
        <f t="shared" si="24"/>
        <v>1.8060812142390432E-2</v>
      </c>
      <c r="J82" s="67">
        <f t="shared" si="24"/>
        <v>1.6801995633798045E-2</v>
      </c>
      <c r="K82" s="67">
        <f t="shared" si="24"/>
        <v>1.4036426929005658E-2</v>
      </c>
      <c r="L82" s="67">
        <f t="shared" si="24"/>
        <v>1.3134624401765304E-2</v>
      </c>
      <c r="M82" s="67">
        <f t="shared" si="24"/>
        <v>1.2379383686445481E-2</v>
      </c>
      <c r="N82" s="67">
        <f t="shared" si="24"/>
        <v>1.1763285406029363E-2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1.231957700401486E-2</v>
      </c>
      <c r="F83" s="67">
        <f t="shared" si="25"/>
        <v>9.0569697754414539E-3</v>
      </c>
      <c r="G83" s="67">
        <f t="shared" si="25"/>
        <v>7.6509347916957965E-3</v>
      </c>
      <c r="H83" s="67">
        <f t="shared" si="25"/>
        <v>6.9738456615333439E-3</v>
      </c>
      <c r="I83" s="67">
        <f t="shared" si="25"/>
        <v>6.4095861947547159E-3</v>
      </c>
      <c r="J83" s="67">
        <f t="shared" si="25"/>
        <v>5.8917030261124133E-3</v>
      </c>
      <c r="K83" s="67">
        <f t="shared" si="25"/>
        <v>5.4723447126760845E-3</v>
      </c>
      <c r="L83" s="67">
        <f t="shared" si="25"/>
        <v>5.1475291953533469E-3</v>
      </c>
      <c r="M83" s="67">
        <f t="shared" si="25"/>
        <v>4.8593639088146574E-3</v>
      </c>
      <c r="N83" s="67">
        <f t="shared" si="25"/>
        <v>4.5862217643030372E-3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1.8621637703147304E-2</v>
      </c>
      <c r="F84" s="67">
        <f t="shared" si="26"/>
        <v>1.3641579439216716E-2</v>
      </c>
      <c r="G84" s="67">
        <f t="shared" si="26"/>
        <v>1.1523813961286846E-2</v>
      </c>
      <c r="H84" s="67">
        <f t="shared" si="26"/>
        <v>1.05039844393217E-2</v>
      </c>
      <c r="I84" s="67">
        <f t="shared" si="26"/>
        <v>9.6540986020891752E-3</v>
      </c>
      <c r="J84" s="67">
        <f t="shared" si="26"/>
        <v>8.8740645994999489E-3</v>
      </c>
      <c r="K84" s="67">
        <f t="shared" si="26"/>
        <v>8.2424284244792846E-3</v>
      </c>
      <c r="L84" s="67">
        <f t="shared" si="26"/>
        <v>7.7531923121248684E-3</v>
      </c>
      <c r="M84" s="67">
        <f t="shared" si="26"/>
        <v>7.3191586623051032E-3</v>
      </c>
      <c r="N84" s="67">
        <f t="shared" si="26"/>
        <v>6.9077528218377086E-3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9.880508610846871E-3</v>
      </c>
      <c r="F85" s="67">
        <f t="shared" si="27"/>
        <v>7.2226679992380468E-3</v>
      </c>
      <c r="G85" s="67">
        <f t="shared" si="27"/>
        <v>6.2445940104230852E-3</v>
      </c>
      <c r="H85" s="67">
        <f t="shared" si="27"/>
        <v>5.6202095397810282E-3</v>
      </c>
      <c r="I85" s="67">
        <f t="shared" si="27"/>
        <v>5.1040412747878532E-3</v>
      </c>
      <c r="J85" s="67">
        <f t="shared" si="27"/>
        <v>4.6343120675850927E-3</v>
      </c>
      <c r="K85" s="67">
        <f t="shared" si="27"/>
        <v>4.2584414355831216E-3</v>
      </c>
      <c r="L85" s="67">
        <f t="shared" si="27"/>
        <v>3.9722639664558357E-3</v>
      </c>
      <c r="M85" s="67">
        <f t="shared" si="27"/>
        <v>3.7220660523474536E-3</v>
      </c>
      <c r="N85" s="67">
        <f t="shared" si="27"/>
        <v>3.4875531594262734E-3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8.5504726854956758E-3</v>
      </c>
      <c r="F86" s="67">
        <f t="shared" si="28"/>
        <v>6.250409556456559E-3</v>
      </c>
      <c r="G86" s="67">
        <f t="shared" si="28"/>
        <v>5.4039961525377388E-3</v>
      </c>
      <c r="H86" s="67">
        <f t="shared" si="28"/>
        <v>4.8636613811463498E-3</v>
      </c>
      <c r="I86" s="67">
        <f t="shared" si="28"/>
        <v>4.416975605669296E-3</v>
      </c>
      <c r="J86" s="67">
        <f t="shared" si="28"/>
        <v>4.0104776293042434E-3</v>
      </c>
      <c r="K86" s="67">
        <f t="shared" si="28"/>
        <v>3.6852037290634552E-3</v>
      </c>
      <c r="L86" s="67">
        <f t="shared" si="28"/>
        <v>3.4375492074843871E-3</v>
      </c>
      <c r="M86" s="67">
        <f t="shared" si="28"/>
        <v>3.2210309577858681E-3</v>
      </c>
      <c r="N86" s="67">
        <f t="shared" si="28"/>
        <v>3.0180863357734135E-3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2.8366146927540307E-2</v>
      </c>
      <c r="F87" s="67">
        <f t="shared" si="29"/>
        <v>2.0735699926450402E-2</v>
      </c>
      <c r="G87" s="67">
        <f t="shared" si="29"/>
        <v>1.7927728032951631E-2</v>
      </c>
      <c r="H87" s="67">
        <f t="shared" si="29"/>
        <v>1.6135170348819516E-2</v>
      </c>
      <c r="I87" s="67">
        <f t="shared" si="29"/>
        <v>1.4653292702555817E-2</v>
      </c>
      <c r="J87" s="67">
        <f t="shared" si="29"/>
        <v>1.330473786267208E-2</v>
      </c>
      <c r="K87" s="67">
        <f t="shared" si="29"/>
        <v>1.2225643456397229E-2</v>
      </c>
      <c r="L87" s="67">
        <f t="shared" si="29"/>
        <v>1.1404050919378989E-2</v>
      </c>
      <c r="M87" s="67">
        <f t="shared" si="29"/>
        <v>1.0685752796064651E-2</v>
      </c>
      <c r="N87" s="67">
        <f t="shared" si="29"/>
        <v>1.0012485109247205E-2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0.13691077151678019</v>
      </c>
      <c r="F88" s="67">
        <f t="shared" si="30"/>
        <v>9.5595286835542512E-2</v>
      </c>
      <c r="G88" s="67">
        <f t="shared" si="30"/>
        <v>7.9613180695644284E-2</v>
      </c>
      <c r="H88" s="67">
        <f t="shared" si="30"/>
        <v>7.2490888425818037E-2</v>
      </c>
      <c r="I88" s="67">
        <f t="shared" si="30"/>
        <v>6.6725746659911933E-2</v>
      </c>
      <c r="J88" s="67">
        <f t="shared" si="30"/>
        <v>6.142829826910691E-2</v>
      </c>
      <c r="K88" s="67">
        <f t="shared" si="30"/>
        <v>5.5434747068987357E-2</v>
      </c>
      <c r="L88" s="67">
        <f t="shared" si="30"/>
        <v>5.2083114133185608E-2</v>
      </c>
      <c r="M88" s="67">
        <f t="shared" si="30"/>
        <v>4.9169859943109601E-2</v>
      </c>
      <c r="N88" s="67">
        <f t="shared" si="30"/>
        <v>4.6506444180229561E-2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0.13691077151678019</v>
      </c>
      <c r="F94" s="75">
        <f t="shared" si="31"/>
        <v>9.5595286835542512E-2</v>
      </c>
      <c r="G94" s="75">
        <f t="shared" si="31"/>
        <v>7.9613180695644284E-2</v>
      </c>
      <c r="H94" s="75">
        <f t="shared" si="31"/>
        <v>7.2490888425818037E-2</v>
      </c>
      <c r="I94" s="75">
        <f t="shared" si="31"/>
        <v>6.6725746659911933E-2</v>
      </c>
      <c r="J94" s="75">
        <f t="shared" si="31"/>
        <v>6.142829826910691E-2</v>
      </c>
      <c r="K94" s="75">
        <f t="shared" si="31"/>
        <v>5.5434747068987357E-2</v>
      </c>
      <c r="L94" s="75">
        <f t="shared" si="31"/>
        <v>5.2083114133185608E-2</v>
      </c>
      <c r="M94" s="75">
        <f t="shared" si="31"/>
        <v>4.9169859943109601E-2</v>
      </c>
      <c r="N94" s="75">
        <f t="shared" si="31"/>
        <v>4.6506444180229561E-2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-0.12722898392100104</v>
      </c>
      <c r="F95" s="56">
        <f t="shared" si="32"/>
        <v>-7.7356114476365936E-2</v>
      </c>
      <c r="G95" s="56">
        <f t="shared" si="32"/>
        <v>-6.5067923971918198E-2</v>
      </c>
      <c r="H95" s="56">
        <f t="shared" si="32"/>
        <v>-5.8251159756955224E-2</v>
      </c>
      <c r="I95" s="56">
        <f t="shared" si="32"/>
        <v>-5.3822170999619591E-2</v>
      </c>
      <c r="J95" s="56">
        <f t="shared" si="32"/>
        <v>-5.0052106207519403E-2</v>
      </c>
      <c r="K95" s="56">
        <f t="shared" si="32"/>
        <v>-4.6793420998964358E-2</v>
      </c>
      <c r="L95" s="56">
        <f t="shared" si="32"/>
        <v>-4.3867705066183378E-2</v>
      </c>
      <c r="M95" s="56">
        <f t="shared" si="32"/>
        <v>-4.1466494451322874E-2</v>
      </c>
      <c r="N95" s="56">
        <f t="shared" si="32"/>
        <v>-3.9390981021962208E-2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9.6817875957791455E-3</v>
      </c>
      <c r="F96" s="56">
        <f t="shared" si="33"/>
        <v>1.8239172359176575E-2</v>
      </c>
      <c r="G96" s="56">
        <f t="shared" si="33"/>
        <v>1.4545256723726085E-2</v>
      </c>
      <c r="H96" s="56">
        <f t="shared" si="33"/>
        <v>1.4239728668862812E-2</v>
      </c>
      <c r="I96" s="56">
        <f t="shared" si="33"/>
        <v>1.2903575660292342E-2</v>
      </c>
      <c r="J96" s="56">
        <f t="shared" si="33"/>
        <v>1.1376192061587506E-2</v>
      </c>
      <c r="K96" s="56">
        <f t="shared" si="33"/>
        <v>8.6413260700229991E-3</v>
      </c>
      <c r="L96" s="56">
        <f t="shared" si="33"/>
        <v>8.2154090670022301E-3</v>
      </c>
      <c r="M96" s="56">
        <f t="shared" si="33"/>
        <v>7.7033654917867261E-3</v>
      </c>
      <c r="N96" s="56">
        <f t="shared" si="33"/>
        <v>7.115463158267353E-3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ht="13.8" x14ac:dyDescent="0.3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ht="13.8" x14ac:dyDescent="0.3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ht="13.8" x14ac:dyDescent="0.3">
      <c r="A16" s="3" t="str">
        <f>Inputs!A21</f>
        <v>Tom Brown</v>
      </c>
      <c r="B16"/>
      <c r="C16" s="126">
        <v>1</v>
      </c>
      <c r="D16" s="55"/>
      <c r="E16" s="117">
        <f>$C16*Inputs!E50</f>
        <v>1.5</v>
      </c>
      <c r="F16" s="117">
        <f>$C16*Inputs!F50</f>
        <v>1.4021477290396973</v>
      </c>
      <c r="G16" s="117">
        <f>$C16*Inputs!G50</f>
        <v>1.3106788360341204</v>
      </c>
      <c r="H16" s="117">
        <f>$C16*Inputs!H50</f>
        <v>1.2251769022970904</v>
      </c>
      <c r="I16" s="117">
        <f>$C16*Inputs!I50</f>
        <v>1.1452526741518376</v>
      </c>
      <c r="J16" s="117">
        <f>$C16*Inputs!J50</f>
        <v>1.0705422908257598</v>
      </c>
      <c r="K16" s="117">
        <f>$C16*Inputs!K50</f>
        <v>1.0007056279481963</v>
      </c>
      <c r="L16" s="117">
        <f>$C16*Inputs!L50</f>
        <v>0.93542474910987183</v>
      </c>
      <c r="M16" s="117">
        <f>$C16*Inputs!M50</f>
        <v>0.87440245843462361</v>
      </c>
      <c r="N16" s="117">
        <f>$C16*Inputs!N50</f>
        <v>0.81736094757389055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 t="shared" ref="E19:N19" si="2">SUM(E9:E18)</f>
        <v>1.5</v>
      </c>
      <c r="F19" s="54">
        <f t="shared" si="2"/>
        <v>1.4021477290396973</v>
      </c>
      <c r="G19" s="54">
        <f t="shared" si="2"/>
        <v>1.3106788360341204</v>
      </c>
      <c r="H19" s="54">
        <f t="shared" si="2"/>
        <v>1.2251769022970904</v>
      </c>
      <c r="I19" s="54">
        <f t="shared" si="2"/>
        <v>1.1452526741518376</v>
      </c>
      <c r="J19" s="54">
        <f t="shared" si="2"/>
        <v>1.0705422908257598</v>
      </c>
      <c r="K19" s="54">
        <f t="shared" si="2"/>
        <v>1.0007056279481963</v>
      </c>
      <c r="L19" s="54">
        <f t="shared" si="2"/>
        <v>0.93542474910987183</v>
      </c>
      <c r="M19" s="54">
        <f t="shared" si="2"/>
        <v>0.87440245843462361</v>
      </c>
      <c r="N19" s="54">
        <f t="shared" si="2"/>
        <v>0.81736094757389055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 t="shared" ref="E22:N22" si="3">E19</f>
        <v>1.5</v>
      </c>
      <c r="F22" s="56">
        <f t="shared" si="3"/>
        <v>1.4021477290396973</v>
      </c>
      <c r="G22" s="56">
        <f t="shared" si="3"/>
        <v>1.3106788360341204</v>
      </c>
      <c r="H22" s="56">
        <f t="shared" si="3"/>
        <v>1.2251769022970904</v>
      </c>
      <c r="I22" s="56">
        <f t="shared" si="3"/>
        <v>1.1452526741518376</v>
      </c>
      <c r="J22" s="56">
        <f t="shared" si="3"/>
        <v>1.0705422908257598</v>
      </c>
      <c r="K22" s="56">
        <f t="shared" si="3"/>
        <v>1.0007056279481963</v>
      </c>
      <c r="L22" s="56">
        <f t="shared" si="3"/>
        <v>0.93542474910987183</v>
      </c>
      <c r="M22" s="56">
        <f t="shared" si="3"/>
        <v>0.87440245843462361</v>
      </c>
      <c r="N22" s="56">
        <f t="shared" si="3"/>
        <v>0.81736094757389055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1.4249999999999998</v>
      </c>
      <c r="F23" s="56">
        <f>SUMPRODUCT(F9:F18,Inputs!$C$43:$C$52)</f>
        <v>1.3320403425877123</v>
      </c>
      <c r="G23" s="56">
        <f>SUMPRODUCT(G9:G18,Inputs!$C$43:$C$52)</f>
        <v>1.2451448942324144</v>
      </c>
      <c r="H23" s="56">
        <f>SUMPRODUCT(H9:H18,Inputs!$C$43:$C$52)</f>
        <v>1.1639180571822358</v>
      </c>
      <c r="I23" s="56">
        <f>SUMPRODUCT(I9:I18,Inputs!$C$43:$C$52)</f>
        <v>1.0879900404442457</v>
      </c>
      <c r="J23" s="56">
        <f>SUMPRODUCT(J9:J18,Inputs!$C$43:$C$52)</f>
        <v>1.0170151762844717</v>
      </c>
      <c r="K23" s="56">
        <f>SUMPRODUCT(K9:K18,Inputs!$C$43:$C$52)</f>
        <v>0.95067034655078642</v>
      </c>
      <c r="L23" s="56">
        <f>SUMPRODUCT(L9:L18,Inputs!$C$43:$C$52)</f>
        <v>0.88865351165437823</v>
      </c>
      <c r="M23" s="56">
        <f>SUMPRODUCT(M9:M18,Inputs!$C$43:$C$52)</f>
        <v>0.83068233551289239</v>
      </c>
      <c r="N23" s="56">
        <f>SUMPRODUCT(N9:N18,Inputs!$C$43:$C$52)</f>
        <v>0.77649290019519601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1.4616</v>
      </c>
      <c r="F24" s="56">
        <f t="shared" si="5"/>
        <v>1.3662527471762811</v>
      </c>
      <c r="G24" s="56">
        <f t="shared" si="5"/>
        <v>1.2771254578316469</v>
      </c>
      <c r="H24" s="56">
        <f t="shared" si="5"/>
        <v>1.1938123735982848</v>
      </c>
      <c r="I24" s="56">
        <f t="shared" si="5"/>
        <v>1.1159342056935506</v>
      </c>
      <c r="J24" s="56">
        <f t="shared" si="5"/>
        <v>1.0431364081806205</v>
      </c>
      <c r="K24" s="56">
        <f t="shared" si="5"/>
        <v>0.97508756387272255</v>
      </c>
      <c r="L24" s="56">
        <f t="shared" si="5"/>
        <v>0.91147787553265913</v>
      </c>
      <c r="M24" s="56">
        <f t="shared" si="5"/>
        <v>0.85201775549869729</v>
      </c>
      <c r="N24" s="56">
        <f t="shared" si="5"/>
        <v>0.79643650731599902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0.53205000000000002</v>
      </c>
      <c r="F25" s="56">
        <f t="shared" si="5"/>
        <v>0.49734179949038065</v>
      </c>
      <c r="G25" s="56">
        <f t="shared" si="5"/>
        <v>0.46489778314130253</v>
      </c>
      <c r="H25" s="56">
        <f t="shared" si="5"/>
        <v>0.434570247244778</v>
      </c>
      <c r="I25" s="56">
        <f t="shared" si="5"/>
        <v>0.40622112352165685</v>
      </c>
      <c r="J25" s="56">
        <f t="shared" si="5"/>
        <v>0.37972135055589701</v>
      </c>
      <c r="K25" s="56">
        <f t="shared" si="5"/>
        <v>0.35495028623322522</v>
      </c>
      <c r="L25" s="56">
        <f t="shared" si="5"/>
        <v>0.33179515850927155</v>
      </c>
      <c r="M25" s="56">
        <f t="shared" si="5"/>
        <v>0.310150552006761</v>
      </c>
      <c r="N25" s="56">
        <f t="shared" si="5"/>
        <v>0.28991792810445899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0.13241999999999998</v>
      </c>
      <c r="F26" s="56">
        <f t="shared" si="5"/>
        <v>0.12378160151962447</v>
      </c>
      <c r="G26" s="56">
        <f t="shared" si="5"/>
        <v>0.11570672764509214</v>
      </c>
      <c r="H26" s="56">
        <f t="shared" si="5"/>
        <v>0.10815861693478714</v>
      </c>
      <c r="I26" s="56">
        <f t="shared" si="5"/>
        <v>0.10110290607412423</v>
      </c>
      <c r="J26" s="56">
        <f t="shared" si="5"/>
        <v>9.4507473434098072E-2</v>
      </c>
      <c r="K26" s="56">
        <f t="shared" si="5"/>
        <v>8.8342292835266761E-2</v>
      </c>
      <c r="L26" s="56">
        <f t="shared" si="5"/>
        <v>8.2579296851419487E-2</v>
      </c>
      <c r="M26" s="56">
        <f t="shared" si="5"/>
        <v>7.7192249030608576E-2</v>
      </c>
      <c r="N26" s="56">
        <f t="shared" si="5"/>
        <v>7.2156624451823054E-2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0.18836999999999998</v>
      </c>
      <c r="F27" s="56">
        <f t="shared" si="5"/>
        <v>0.17608171181280519</v>
      </c>
      <c r="G27" s="56">
        <f t="shared" si="5"/>
        <v>0.16459504822916485</v>
      </c>
      <c r="H27" s="56">
        <f t="shared" si="5"/>
        <v>0.15385771539046861</v>
      </c>
      <c r="I27" s="56">
        <f t="shared" si="5"/>
        <v>0.14382083081998775</v>
      </c>
      <c r="J27" s="56">
        <f t="shared" si="5"/>
        <v>0.13443870088189891</v>
      </c>
      <c r="K27" s="56">
        <f t="shared" si="5"/>
        <v>0.1256686127577345</v>
      </c>
      <c r="L27" s="56">
        <f t="shared" si="5"/>
        <v>0.1174706399932177</v>
      </c>
      <c r="M27" s="56">
        <f t="shared" si="5"/>
        <v>0.10980746073022003</v>
      </c>
      <c r="N27" s="56">
        <f t="shared" si="5"/>
        <v>0.10264418779632917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8.7584999999999996E-2</v>
      </c>
      <c r="F28" s="56">
        <f t="shared" si="5"/>
        <v>8.1871405898627916E-2</v>
      </c>
      <c r="G28" s="56">
        <f t="shared" si="5"/>
        <v>7.6530537236032287E-2</v>
      </c>
      <c r="H28" s="56">
        <f t="shared" si="5"/>
        <v>7.153807932512711E-2</v>
      </c>
      <c r="I28" s="56">
        <f t="shared" si="5"/>
        <v>6.6871303643725802E-2</v>
      </c>
      <c r="J28" s="56">
        <f t="shared" si="5"/>
        <v>6.2508964361316116E-2</v>
      </c>
      <c r="K28" s="56">
        <f t="shared" si="5"/>
        <v>5.8431201615895177E-2</v>
      </c>
      <c r="L28" s="56">
        <f t="shared" si="5"/>
        <v>5.4619451100525414E-2</v>
      </c>
      <c r="M28" s="56">
        <f t="shared" si="5"/>
        <v>5.1056359547997671E-2</v>
      </c>
      <c r="N28" s="56">
        <f t="shared" si="5"/>
        <v>4.7725705728839468E-2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7.5795000000000001E-2</v>
      </c>
      <c r="F29" s="56">
        <f t="shared" si="5"/>
        <v>7.0850524748375901E-2</v>
      </c>
      <c r="G29" s="56">
        <f t="shared" si="5"/>
        <v>6.6228601584804106E-2</v>
      </c>
      <c r="H29" s="56">
        <f t="shared" si="5"/>
        <v>6.1908188873071979E-2</v>
      </c>
      <c r="I29" s="56">
        <f t="shared" si="5"/>
        <v>5.7869617624892351E-2</v>
      </c>
      <c r="J29" s="56">
        <f t="shared" si="5"/>
        <v>5.4094501955425645E-2</v>
      </c>
      <c r="K29" s="56">
        <f t="shared" si="5"/>
        <v>5.0565655380222355E-2</v>
      </c>
      <c r="L29" s="56">
        <f t="shared" si="5"/>
        <v>4.7267012572521826E-2</v>
      </c>
      <c r="M29" s="56">
        <f t="shared" si="5"/>
        <v>4.4183556224701527E-2</v>
      </c>
      <c r="N29" s="56">
        <f t="shared" si="5"/>
        <v>4.1301248680908689E-2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0.23981999999999998</v>
      </c>
      <c r="F30" s="56">
        <f t="shared" si="5"/>
        <v>0.2241753789188668</v>
      </c>
      <c r="G30" s="56">
        <f t="shared" si="5"/>
        <v>0.20955133230513515</v>
      </c>
      <c r="H30" s="56">
        <f t="shared" si="5"/>
        <v>0.19588128313925882</v>
      </c>
      <c r="I30" s="56">
        <f t="shared" si="5"/>
        <v>0.18310299754339579</v>
      </c>
      <c r="J30" s="56">
        <f t="shared" si="5"/>
        <v>0.17115830145722247</v>
      </c>
      <c r="K30" s="56">
        <f t="shared" si="5"/>
        <v>0.15999281579635763</v>
      </c>
      <c r="L30" s="56">
        <f t="shared" si="5"/>
        <v>0.1495557088876863</v>
      </c>
      <c r="M30" s="56">
        <f t="shared" si="5"/>
        <v>0.13979946505452762</v>
      </c>
      <c r="N30" s="56">
        <f t="shared" si="5"/>
        <v>0.13067966829811362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0.3654</v>
      </c>
      <c r="F33" s="56">
        <f t="shared" si="6"/>
        <v>0.34156318679407027</v>
      </c>
      <c r="G33" s="56">
        <f t="shared" si="6"/>
        <v>0.31928136445791172</v>
      </c>
      <c r="H33" s="56">
        <f t="shared" si="6"/>
        <v>0.29845309339957121</v>
      </c>
      <c r="I33" s="56">
        <f t="shared" si="6"/>
        <v>0.27898355142338765</v>
      </c>
      <c r="J33" s="56">
        <f t="shared" si="6"/>
        <v>0.26078410204515512</v>
      </c>
      <c r="K33" s="56">
        <f t="shared" si="6"/>
        <v>0.24377189096818064</v>
      </c>
      <c r="L33" s="56">
        <f t="shared" si="6"/>
        <v>0.22786946888316478</v>
      </c>
      <c r="M33" s="56">
        <f t="shared" si="6"/>
        <v>0.21300443887467432</v>
      </c>
      <c r="N33" s="56">
        <f t="shared" si="6"/>
        <v>0.19910912682899976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0.34583250000000004</v>
      </c>
      <c r="F34" s="56">
        <f t="shared" si="7"/>
        <v>0.32327216966874744</v>
      </c>
      <c r="G34" s="56">
        <f t="shared" si="7"/>
        <v>0.30218355904184668</v>
      </c>
      <c r="H34" s="56">
        <f t="shared" si="7"/>
        <v>0.2824706607091057</v>
      </c>
      <c r="I34" s="56">
        <f t="shared" si="7"/>
        <v>0.26404373028907696</v>
      </c>
      <c r="J34" s="56">
        <f t="shared" si="7"/>
        <v>0.24681887786133305</v>
      </c>
      <c r="K34" s="56">
        <f t="shared" si="7"/>
        <v>0.2307176860515964</v>
      </c>
      <c r="L34" s="56">
        <f t="shared" si="7"/>
        <v>0.21566685303102651</v>
      </c>
      <c r="M34" s="56">
        <f t="shared" si="7"/>
        <v>0.20159785880439465</v>
      </c>
      <c r="N34" s="56">
        <f t="shared" si="7"/>
        <v>0.18844665326789836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0.11255699999999998</v>
      </c>
      <c r="F35" s="56">
        <f t="shared" si="8"/>
        <v>0.1052143612916808</v>
      </c>
      <c r="G35" s="56">
        <f t="shared" si="8"/>
        <v>9.8350718498328313E-2</v>
      </c>
      <c r="H35" s="56">
        <f t="shared" si="8"/>
        <v>9.1934824394569056E-2</v>
      </c>
      <c r="I35" s="56">
        <f t="shared" si="8"/>
        <v>8.5937470163005597E-2</v>
      </c>
      <c r="J35" s="56">
        <f t="shared" si="8"/>
        <v>8.0331352418983357E-2</v>
      </c>
      <c r="K35" s="56">
        <f t="shared" si="8"/>
        <v>7.5090948909976751E-2</v>
      </c>
      <c r="L35" s="56">
        <f t="shared" si="8"/>
        <v>7.0192402323706563E-2</v>
      </c>
      <c r="M35" s="56">
        <f t="shared" si="8"/>
        <v>6.5613411676017294E-2</v>
      </c>
      <c r="N35" s="56">
        <f t="shared" si="8"/>
        <v>6.1333130784049596E-2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0.16953299999999999</v>
      </c>
      <c r="F36" s="56">
        <f t="shared" si="9"/>
        <v>0.15847354063152466</v>
      </c>
      <c r="G36" s="56">
        <f t="shared" si="9"/>
        <v>0.14813554340624838</v>
      </c>
      <c r="H36" s="56">
        <f t="shared" si="9"/>
        <v>0.13847194385142175</v>
      </c>
      <c r="I36" s="56">
        <f t="shared" si="9"/>
        <v>0.129438747737989</v>
      </c>
      <c r="J36" s="56">
        <f t="shared" si="9"/>
        <v>0.12099483079370903</v>
      </c>
      <c r="K36" s="56">
        <f t="shared" si="9"/>
        <v>0.11310175148196105</v>
      </c>
      <c r="L36" s="56">
        <f t="shared" si="9"/>
        <v>0.10572357599389594</v>
      </c>
      <c r="M36" s="56">
        <f t="shared" si="9"/>
        <v>9.8826714657198028E-2</v>
      </c>
      <c r="N36" s="56">
        <f t="shared" si="9"/>
        <v>9.2379769016696256E-2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8.3205749999999995E-2</v>
      </c>
      <c r="F37" s="56">
        <f t="shared" si="10"/>
        <v>7.7777835603696513E-2</v>
      </c>
      <c r="G37" s="56">
        <f t="shared" si="10"/>
        <v>7.2704010374230674E-2</v>
      </c>
      <c r="H37" s="56">
        <f t="shared" si="10"/>
        <v>6.7961175358870751E-2</v>
      </c>
      <c r="I37" s="56">
        <f t="shared" si="10"/>
        <v>6.3527738461539515E-2</v>
      </c>
      <c r="J37" s="56">
        <f t="shared" si="10"/>
        <v>5.9383516143250305E-2</v>
      </c>
      <c r="K37" s="56">
        <f t="shared" si="10"/>
        <v>5.5509641535100414E-2</v>
      </c>
      <c r="L37" s="56">
        <f t="shared" si="10"/>
        <v>5.1888478545499141E-2</v>
      </c>
      <c r="M37" s="56">
        <f t="shared" si="10"/>
        <v>4.8503541570597782E-2</v>
      </c>
      <c r="N37" s="56">
        <f t="shared" si="10"/>
        <v>4.5339420442397492E-2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7.2005249999999993E-2</v>
      </c>
      <c r="F38" s="56">
        <f t="shared" si="11"/>
        <v>6.7307998510957104E-2</v>
      </c>
      <c r="G38" s="56">
        <f t="shared" si="11"/>
        <v>6.2917171505563904E-2</v>
      </c>
      <c r="H38" s="56">
        <f t="shared" si="11"/>
        <v>5.8812779429418378E-2</v>
      </c>
      <c r="I38" s="56">
        <f t="shared" si="11"/>
        <v>5.4976136743647729E-2</v>
      </c>
      <c r="J38" s="56">
        <f t="shared" si="11"/>
        <v>5.1389776857654362E-2</v>
      </c>
      <c r="K38" s="56">
        <f t="shared" si="11"/>
        <v>4.8037372611211236E-2</v>
      </c>
      <c r="L38" s="56">
        <f t="shared" si="11"/>
        <v>4.490366194389573E-2</v>
      </c>
      <c r="M38" s="56">
        <f t="shared" si="11"/>
        <v>4.1974378413466448E-2</v>
      </c>
      <c r="N38" s="56">
        <f t="shared" si="11"/>
        <v>3.9236186246863251E-2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0.23887702775999997</v>
      </c>
      <c r="F39" s="56">
        <f t="shared" si="12"/>
        <v>0.22329392132895781</v>
      </c>
      <c r="G39" s="56">
        <f t="shared" si="12"/>
        <v>0.20872737646651135</v>
      </c>
      <c r="H39" s="56">
        <f t="shared" si="12"/>
        <v>0.19511107793395524</v>
      </c>
      <c r="I39" s="56">
        <f t="shared" si="12"/>
        <v>0.18238303655705515</v>
      </c>
      <c r="J39" s="56">
        <f t="shared" si="12"/>
        <v>0.17048530701589265</v>
      </c>
      <c r="K39" s="56">
        <f t="shared" si="12"/>
        <v>0.15936372404464635</v>
      </c>
      <c r="L39" s="56">
        <f t="shared" si="12"/>
        <v>0.14896765584033991</v>
      </c>
      <c r="M39" s="56">
        <f t="shared" si="12"/>
        <v>0.13924977355793322</v>
      </c>
      <c r="N39" s="56">
        <f t="shared" si="12"/>
        <v>0.13016583584236543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1.3874105277600002</v>
      </c>
      <c r="F40" s="56">
        <f t="shared" si="13"/>
        <v>1.2969030138296345</v>
      </c>
      <c r="G40" s="56">
        <f t="shared" si="13"/>
        <v>1.2122997437506411</v>
      </c>
      <c r="H40" s="56">
        <f t="shared" si="13"/>
        <v>1.1332155550769121</v>
      </c>
      <c r="I40" s="56">
        <f t="shared" si="13"/>
        <v>1.0592904113757016</v>
      </c>
      <c r="J40" s="56">
        <f t="shared" si="13"/>
        <v>0.99018776313597789</v>
      </c>
      <c r="K40" s="56">
        <f t="shared" si="13"/>
        <v>0.92559301560267271</v>
      </c>
      <c r="L40" s="56">
        <f t="shared" si="13"/>
        <v>0.86521209656152853</v>
      </c>
      <c r="M40" s="56">
        <f t="shared" si="13"/>
        <v>0.80877011755428174</v>
      </c>
      <c r="N40" s="56">
        <f t="shared" si="13"/>
        <v>0.75601012242927013</v>
      </c>
    </row>
    <row r="41" spans="1:14" x14ac:dyDescent="0.25">
      <c r="C41" s="57" t="s">
        <v>59</v>
      </c>
      <c r="D41" s="59"/>
      <c r="E41" s="56">
        <f t="shared" ref="E41:N41" si="14">E40/42</f>
        <v>3.3033583994285722E-2</v>
      </c>
      <c r="F41" s="56">
        <f t="shared" si="14"/>
        <v>3.087864318641987E-2</v>
      </c>
      <c r="G41" s="56">
        <f t="shared" si="14"/>
        <v>2.8864279613110503E-2</v>
      </c>
      <c r="H41" s="56">
        <f t="shared" si="14"/>
        <v>2.6981322739926476E-2</v>
      </c>
      <c r="I41" s="56">
        <f t="shared" si="14"/>
        <v>2.5221200270850036E-2</v>
      </c>
      <c r="J41" s="56">
        <f t="shared" si="14"/>
        <v>2.3575899122285186E-2</v>
      </c>
      <c r="K41" s="56">
        <f t="shared" si="14"/>
        <v>2.2037928942920778E-2</v>
      </c>
      <c r="L41" s="56">
        <f t="shared" si="14"/>
        <v>2.0600288013369727E-2</v>
      </c>
      <c r="M41" s="56">
        <f t="shared" si="14"/>
        <v>1.9256431370340041E-2</v>
      </c>
      <c r="N41" s="56">
        <f t="shared" si="14"/>
        <v>1.8000241010220717E-2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2.4233328000000002E-2</v>
      </c>
      <c r="F43" s="56">
        <f t="shared" si="15"/>
        <v>2.2652470548182743E-2</v>
      </c>
      <c r="G43" s="56">
        <f t="shared" si="15"/>
        <v>2.1174740090848708E-2</v>
      </c>
      <c r="H43" s="56">
        <f t="shared" si="15"/>
        <v>1.9793409154259565E-2</v>
      </c>
      <c r="I43" s="56">
        <f t="shared" si="15"/>
        <v>1.8502189130399069E-2</v>
      </c>
      <c r="J43" s="56">
        <f t="shared" si="15"/>
        <v>1.7295201647634689E-2</v>
      </c>
      <c r="K43" s="56">
        <f t="shared" si="15"/>
        <v>1.616695180900974E-2</v>
      </c>
      <c r="L43" s="56">
        <f t="shared" si="15"/>
        <v>1.511230317633149E-2</v>
      </c>
      <c r="M43" s="56">
        <f t="shared" si="15"/>
        <v>1.4126454386168401E-2</v>
      </c>
      <c r="N43" s="56">
        <f t="shared" si="15"/>
        <v>1.3204917291299264E-2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3.16516278975E-2</v>
      </c>
      <c r="F44" s="56">
        <f t="shared" ref="F44:N49" si="16">+$D43*F34</f>
        <v>2.1439410292431332E-2</v>
      </c>
      <c r="G44" s="56">
        <f t="shared" si="16"/>
        <v>2.0040813635655273E-2</v>
      </c>
      <c r="H44" s="56">
        <f t="shared" si="16"/>
        <v>1.8733454218227891E-2</v>
      </c>
      <c r="I44" s="56">
        <f t="shared" si="16"/>
        <v>1.7511380192771583E-2</v>
      </c>
      <c r="J44" s="56">
        <f t="shared" si="16"/>
        <v>1.6369027979763608E-2</v>
      </c>
      <c r="K44" s="56">
        <f t="shared" si="16"/>
        <v>1.5301196938941873E-2</v>
      </c>
      <c r="L44" s="56">
        <f t="shared" si="16"/>
        <v>1.4303025693017678E-2</v>
      </c>
      <c r="M44" s="56">
        <f t="shared" si="16"/>
        <v>1.3369969995907454E-2</v>
      </c>
      <c r="N44" s="56">
        <f t="shared" si="16"/>
        <v>1.249778204472702E-2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1.1214616694999997E-2</v>
      </c>
      <c r="F45" s="56">
        <f t="shared" si="16"/>
        <v>9.629533988498501E-3</v>
      </c>
      <c r="G45" s="56">
        <f t="shared" si="16"/>
        <v>9.0013528091225023E-3</v>
      </c>
      <c r="H45" s="56">
        <f t="shared" si="16"/>
        <v>8.4141509330641438E-3</v>
      </c>
      <c r="I45" s="56">
        <f t="shared" si="16"/>
        <v>7.8652550817287607E-3</v>
      </c>
      <c r="J45" s="56">
        <f t="shared" si="16"/>
        <v>7.3521663674426131E-3</v>
      </c>
      <c r="K45" s="56">
        <f t="shared" si="16"/>
        <v>6.8725489170878016E-3</v>
      </c>
      <c r="L45" s="56">
        <f t="shared" si="16"/>
        <v>6.424219237872595E-3</v>
      </c>
      <c r="M45" s="56">
        <f t="shared" si="16"/>
        <v>6.0051362768241308E-3</v>
      </c>
      <c r="N45" s="56">
        <f t="shared" si="16"/>
        <v>5.6133921287485709E-3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1.758226743E-2</v>
      </c>
      <c r="F46" s="56">
        <f t="shared" si="16"/>
        <v>1.5789511220821961E-2</v>
      </c>
      <c r="G46" s="56">
        <f t="shared" si="16"/>
        <v>1.4759484867281557E-2</v>
      </c>
      <c r="H46" s="56">
        <f t="shared" si="16"/>
        <v>1.3796652125636407E-2</v>
      </c>
      <c r="I46" s="56">
        <f t="shared" si="16"/>
        <v>1.2896629630874535E-2</v>
      </c>
      <c r="J46" s="56">
        <f t="shared" si="16"/>
        <v>1.2055319966131199E-2</v>
      </c>
      <c r="K46" s="56">
        <f t="shared" si="16"/>
        <v>1.1268893008905189E-2</v>
      </c>
      <c r="L46" s="56">
        <f t="shared" si="16"/>
        <v>1.0533768494151823E-2</v>
      </c>
      <c r="M46" s="56">
        <f t="shared" si="16"/>
        <v>9.8465997148699264E-3</v>
      </c>
      <c r="N46" s="56">
        <f t="shared" si="16"/>
        <v>9.2042582859785324E-3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9.1193501999999992E-3</v>
      </c>
      <c r="F47" s="56">
        <f t="shared" si="16"/>
        <v>8.0663393304593652E-3</v>
      </c>
      <c r="G47" s="56">
        <f t="shared" si="16"/>
        <v>7.5401329159114627E-3</v>
      </c>
      <c r="H47" s="56">
        <f t="shared" si="16"/>
        <v>7.0482534964684852E-3</v>
      </c>
      <c r="I47" s="56">
        <f t="shared" si="16"/>
        <v>6.5884617558462626E-3</v>
      </c>
      <c r="J47" s="56">
        <f t="shared" si="16"/>
        <v>6.1586644592164889E-3</v>
      </c>
      <c r="K47" s="56">
        <f t="shared" si="16"/>
        <v>5.7569049236052636E-3</v>
      </c>
      <c r="L47" s="56">
        <f t="shared" si="16"/>
        <v>5.3813541099537159E-3</v>
      </c>
      <c r="M47" s="56">
        <f t="shared" si="16"/>
        <v>5.0303022962866961E-3</v>
      </c>
      <c r="N47" s="56">
        <f t="shared" si="16"/>
        <v>4.7021512940810441E-3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7.988262434999999E-3</v>
      </c>
      <c r="F48" s="56">
        <f t="shared" si="16"/>
        <v>7.376956636800899E-3</v>
      </c>
      <c r="G48" s="56">
        <f t="shared" si="16"/>
        <v>6.8957219970098042E-3</v>
      </c>
      <c r="H48" s="56">
        <f t="shared" si="16"/>
        <v>6.4458806254642544E-3</v>
      </c>
      <c r="I48" s="56">
        <f t="shared" si="16"/>
        <v>6.0253845871037909E-3</v>
      </c>
      <c r="J48" s="56">
        <f t="shared" si="16"/>
        <v>5.6323195435989178E-3</v>
      </c>
      <c r="K48" s="56">
        <f t="shared" si="16"/>
        <v>5.2648960381887515E-3</v>
      </c>
      <c r="L48" s="56">
        <f t="shared" si="16"/>
        <v>4.9214413490509725E-3</v>
      </c>
      <c r="M48" s="56">
        <f t="shared" si="16"/>
        <v>4.6003918741159226E-3</v>
      </c>
      <c r="N48" s="56">
        <f t="shared" si="16"/>
        <v>4.3002860126562124E-3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2.9220393543714238E-2</v>
      </c>
      <c r="F49" s="56">
        <f t="shared" si="16"/>
        <v>2.4772227632234578E-2</v>
      </c>
      <c r="G49" s="56">
        <f t="shared" si="16"/>
        <v>2.3156215145194767E-2</v>
      </c>
      <c r="H49" s="56">
        <f t="shared" si="16"/>
        <v>2.1645622985992995E-2</v>
      </c>
      <c r="I49" s="56">
        <f t="shared" si="16"/>
        <v>2.0233574075639697E-2</v>
      </c>
      <c r="J49" s="56">
        <f t="shared" si="16"/>
        <v>1.8913639960343131E-2</v>
      </c>
      <c r="K49" s="56">
        <f t="shared" si="16"/>
        <v>1.7679811545513065E-2</v>
      </c>
      <c r="L49" s="56">
        <f t="shared" si="16"/>
        <v>1.6526471738927309E-2</v>
      </c>
      <c r="M49" s="56">
        <f t="shared" si="16"/>
        <v>1.5448369878517111E-2</v>
      </c>
      <c r="N49" s="56">
        <f t="shared" si="16"/>
        <v>1.444059782835202E-2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0.13100984620121425</v>
      </c>
      <c r="F50" s="56">
        <f t="shared" si="17"/>
        <v>0.10972644964942938</v>
      </c>
      <c r="G50" s="56">
        <f t="shared" si="17"/>
        <v>0.10256846146102408</v>
      </c>
      <c r="H50" s="56">
        <f t="shared" si="17"/>
        <v>9.5877423539113729E-2</v>
      </c>
      <c r="I50" s="56">
        <f t="shared" si="17"/>
        <v>8.9622874454363691E-2</v>
      </c>
      <c r="J50" s="56">
        <f t="shared" si="17"/>
        <v>8.3776339924130638E-2</v>
      </c>
      <c r="K50" s="56">
        <f t="shared" si="17"/>
        <v>7.8311203181251676E-2</v>
      </c>
      <c r="L50" s="56">
        <f t="shared" si="17"/>
        <v>7.3202583799305582E-2</v>
      </c>
      <c r="M50" s="56">
        <f t="shared" si="17"/>
        <v>6.8427224422689642E-2</v>
      </c>
      <c r="N50" s="56">
        <f t="shared" si="17"/>
        <v>6.3963384885842661E-2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0.54526707394714735</v>
      </c>
      <c r="F51" s="56">
        <f t="shared" si="18"/>
        <v>0.33418218926199178</v>
      </c>
      <c r="G51" s="56">
        <f t="shared" si="18"/>
        <v>0.28334858005049968</v>
      </c>
      <c r="H51" s="56">
        <f t="shared" si="18"/>
        <v>0.25569610007035953</v>
      </c>
      <c r="I51" s="56">
        <f t="shared" si="18"/>
        <v>0.23814758242903122</v>
      </c>
      <c r="J51" s="56">
        <f t="shared" si="18"/>
        <v>0.22324038380220454</v>
      </c>
      <c r="K51" s="56">
        <f t="shared" si="18"/>
        <v>0.21037815289623382</v>
      </c>
      <c r="L51" s="56">
        <f t="shared" si="18"/>
        <v>0.19880449211445156</v>
      </c>
      <c r="M51" s="56">
        <f t="shared" si="18"/>
        <v>0.18942794070963698</v>
      </c>
      <c r="N51" s="56">
        <f t="shared" si="18"/>
        <v>0.1813881664015837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2.8499999999999998E-2</v>
      </c>
      <c r="F54" s="61">
        <f t="shared" si="19"/>
        <v>2.6640806851754247E-2</v>
      </c>
      <c r="G54" s="61">
        <f t="shared" si="19"/>
        <v>2.4902897884648289E-2</v>
      </c>
      <c r="H54" s="61">
        <f t="shared" si="19"/>
        <v>2.3278361143644719E-2</v>
      </c>
      <c r="I54" s="61">
        <f t="shared" si="19"/>
        <v>2.1759800808884917E-2</v>
      </c>
      <c r="J54" s="61">
        <f t="shared" si="19"/>
        <v>2.0340303525689434E-2</v>
      </c>
      <c r="K54" s="61">
        <f t="shared" si="19"/>
        <v>1.901340693101573E-2</v>
      </c>
      <c r="L54" s="61">
        <f t="shared" si="19"/>
        <v>1.7773070233087565E-2</v>
      </c>
      <c r="M54" s="61">
        <f t="shared" si="19"/>
        <v>1.6613646710257848E-2</v>
      </c>
      <c r="N54" s="61">
        <f t="shared" si="19"/>
        <v>1.5529858003903921E-2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0.11861789062499997</v>
      </c>
      <c r="F55" s="61">
        <f t="shared" si="20"/>
        <v>8.1137074842659918E-2</v>
      </c>
      <c r="G55" s="61">
        <f t="shared" si="20"/>
        <v>6.8795033621899787E-2</v>
      </c>
      <c r="H55" s="61">
        <f t="shared" si="20"/>
        <v>6.2081206823743254E-2</v>
      </c>
      <c r="I55" s="61">
        <f t="shared" si="20"/>
        <v>5.7820550705634174E-2</v>
      </c>
      <c r="J55" s="61">
        <f t="shared" si="20"/>
        <v>5.4201188185595751E-2</v>
      </c>
      <c r="K55" s="61">
        <f t="shared" si="20"/>
        <v>5.1078329382240571E-2</v>
      </c>
      <c r="L55" s="61">
        <f t="shared" si="20"/>
        <v>4.8268326302397122E-2</v>
      </c>
      <c r="M55" s="61">
        <f t="shared" si="20"/>
        <v>4.5991765858590675E-2</v>
      </c>
      <c r="N55" s="61">
        <f t="shared" si="20"/>
        <v>4.4039765450695795E-2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1.2654901537987857</v>
      </c>
      <c r="F58" s="62">
        <f t="shared" si="21"/>
        <v>1.1956730860865286</v>
      </c>
      <c r="G58" s="62">
        <f t="shared" si="21"/>
        <v>1.1176735348867419</v>
      </c>
      <c r="H58" s="62">
        <f t="shared" si="21"/>
        <v>1.0447622724994774</v>
      </c>
      <c r="I58" s="62">
        <f t="shared" si="21"/>
        <v>0.97660736518099711</v>
      </c>
      <c r="J58" s="62">
        <f t="shared" si="21"/>
        <v>0.91289853283465161</v>
      </c>
      <c r="K58" s="62">
        <f t="shared" si="21"/>
        <v>0.85334573643851908</v>
      </c>
      <c r="L58" s="62">
        <f t="shared" si="21"/>
        <v>0.79767785762198506</v>
      </c>
      <c r="M58" s="62">
        <f t="shared" si="21"/>
        <v>0.74564146437994483</v>
      </c>
      <c r="N58" s="62">
        <f t="shared" si="21"/>
        <v>0.69699965730544944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5.2670095666778511</v>
      </c>
      <c r="F59" s="64">
        <f t="shared" si="22"/>
        <v>3.6415344780283436</v>
      </c>
      <c r="G59" s="64">
        <f t="shared" si="22"/>
        <v>3.0876080674225896</v>
      </c>
      <c r="H59" s="64">
        <f t="shared" si="22"/>
        <v>2.7862830342930596</v>
      </c>
      <c r="I59" s="64">
        <f t="shared" si="22"/>
        <v>2.5950594021470428</v>
      </c>
      <c r="J59" s="64">
        <f t="shared" si="22"/>
        <v>2.4326178372919873</v>
      </c>
      <c r="K59" s="64">
        <f t="shared" si="22"/>
        <v>2.2924599868335545</v>
      </c>
      <c r="L59" s="64">
        <f t="shared" si="22"/>
        <v>2.1663434967030071</v>
      </c>
      <c r="M59" s="64">
        <f t="shared" si="22"/>
        <v>2.0641685863613057</v>
      </c>
      <c r="N59" s="64">
        <f t="shared" si="22"/>
        <v>1.9765603406825101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348.00979229466606</v>
      </c>
      <c r="F60" s="64">
        <f>F58*Inputs!F40</f>
        <v>436.42067642158293</v>
      </c>
      <c r="G60" s="64">
        <f>G58*Inputs!G40</f>
        <v>407.95084023366081</v>
      </c>
      <c r="H60" s="64">
        <f>H58*Inputs!H40</f>
        <v>382.38299173480874</v>
      </c>
      <c r="I60" s="64">
        <f>I58*Inputs!I40</f>
        <v>356.46168829106392</v>
      </c>
      <c r="J60" s="64">
        <f>J58*Inputs!J40</f>
        <v>333.20796448464785</v>
      </c>
      <c r="K60" s="64">
        <f>K58*Inputs!K40</f>
        <v>311.47119380005944</v>
      </c>
      <c r="L60" s="64">
        <f>L58*Inputs!L40</f>
        <v>291.95009588964655</v>
      </c>
      <c r="M60" s="64">
        <f>M58*Inputs!M40</f>
        <v>272.15913449867986</v>
      </c>
      <c r="N60" s="64">
        <f>N58*Inputs!N40</f>
        <v>254.40487491648904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 t="shared" ref="E81:N81" si="23">(E62+E71)*E33</f>
        <v>0.10768034948421285</v>
      </c>
      <c r="F81" s="67">
        <f t="shared" si="23"/>
        <v>6.4538957056373969E-2</v>
      </c>
      <c r="G81" s="67">
        <f t="shared" si="23"/>
        <v>4.2902816071488915E-2</v>
      </c>
      <c r="H81" s="67">
        <f t="shared" si="23"/>
        <v>3.9406327525519196E-2</v>
      </c>
      <c r="I81" s="67">
        <f t="shared" si="23"/>
        <v>3.7286779477423683E-2</v>
      </c>
      <c r="J81" s="67">
        <f t="shared" si="23"/>
        <v>3.5284356108973076E-2</v>
      </c>
      <c r="K81" s="67">
        <f t="shared" si="23"/>
        <v>3.378329186018348E-2</v>
      </c>
      <c r="L81" s="67">
        <f t="shared" si="23"/>
        <v>3.2783402608442765E-2</v>
      </c>
      <c r="M81" s="67">
        <f t="shared" si="23"/>
        <v>3.1900333151597342E-2</v>
      </c>
      <c r="N81" s="67">
        <f t="shared" si="23"/>
        <v>3.099528176590894E-2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0.1459157730260808</v>
      </c>
      <c r="F82" s="67">
        <f t="shared" si="24"/>
        <v>0.10259491858825448</v>
      </c>
      <c r="G82" s="67">
        <f t="shared" si="24"/>
        <v>9.1491146017610672E-2</v>
      </c>
      <c r="H82" s="67">
        <f t="shared" si="24"/>
        <v>8.523049441317461E-2</v>
      </c>
      <c r="I82" s="67">
        <f t="shared" si="24"/>
        <v>7.9913884344159483E-2</v>
      </c>
      <c r="J82" s="67">
        <f t="shared" si="24"/>
        <v>7.4939582729658241E-2</v>
      </c>
      <c r="K82" s="67">
        <f t="shared" si="24"/>
        <v>6.3106255271494729E-2</v>
      </c>
      <c r="L82" s="67">
        <f t="shared" si="24"/>
        <v>5.9524935926496984E-2</v>
      </c>
      <c r="M82" s="67">
        <f t="shared" si="24"/>
        <v>5.6551709760047746E-2</v>
      </c>
      <c r="N82" s="67">
        <f t="shared" si="24"/>
        <v>5.4167748944067486E-2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5.2798187160063681E-2</v>
      </c>
      <c r="F83" s="67">
        <f t="shared" si="25"/>
        <v>3.912655138025882E-2</v>
      </c>
      <c r="G83" s="67">
        <f t="shared" si="25"/>
        <v>3.3317207265158424E-2</v>
      </c>
      <c r="H83" s="67">
        <f t="shared" si="25"/>
        <v>3.06120109125168E-2</v>
      </c>
      <c r="I83" s="67">
        <f t="shared" si="25"/>
        <v>2.836057015727066E-2</v>
      </c>
      <c r="J83" s="67">
        <f t="shared" si="25"/>
        <v>2.6277936024205726E-2</v>
      </c>
      <c r="K83" s="67">
        <f t="shared" si="25"/>
        <v>2.460306915131822E-2</v>
      </c>
      <c r="L83" s="67">
        <f t="shared" si="25"/>
        <v>2.3328139135215725E-2</v>
      </c>
      <c r="M83" s="67">
        <f t="shared" si="25"/>
        <v>2.2198628328373844E-2</v>
      </c>
      <c r="N83" s="67">
        <f t="shared" si="25"/>
        <v>2.1118701158373054E-2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7.9807018727774154E-2</v>
      </c>
      <c r="F84" s="67">
        <f t="shared" si="26"/>
        <v>5.8932288841648403E-2</v>
      </c>
      <c r="G84" s="67">
        <f t="shared" si="26"/>
        <v>5.0182272975328984E-2</v>
      </c>
      <c r="H84" s="67">
        <f t="shared" si="26"/>
        <v>4.6107714722600203E-2</v>
      </c>
      <c r="I84" s="67">
        <f t="shared" si="26"/>
        <v>4.2716601725992752E-2</v>
      </c>
      <c r="J84" s="67">
        <f t="shared" si="26"/>
        <v>3.9579744733705319E-2</v>
      </c>
      <c r="K84" s="67">
        <f t="shared" si="26"/>
        <v>3.7057065508412916E-2</v>
      </c>
      <c r="L84" s="67">
        <f t="shared" si="26"/>
        <v>3.5136769921111331E-2</v>
      </c>
      <c r="M84" s="67">
        <f t="shared" si="26"/>
        <v>3.3435504290219201E-2</v>
      </c>
      <c r="N84" s="67">
        <f t="shared" si="26"/>
        <v>3.1808921377457278E-2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4.2345036903629452E-2</v>
      </c>
      <c r="F85" s="67">
        <f t="shared" si="27"/>
        <v>3.1202278199163387E-2</v>
      </c>
      <c r="G85" s="67">
        <f t="shared" si="27"/>
        <v>2.7193073604267242E-2</v>
      </c>
      <c r="H85" s="67">
        <f t="shared" si="27"/>
        <v>2.4670163940017566E-2</v>
      </c>
      <c r="I85" s="67">
        <f t="shared" si="27"/>
        <v>2.2583910452391626E-2</v>
      </c>
      <c r="J85" s="67">
        <f t="shared" si="27"/>
        <v>2.0669771624344954E-2</v>
      </c>
      <c r="K85" s="67">
        <f t="shared" si="27"/>
        <v>1.9145491488100245E-2</v>
      </c>
      <c r="L85" s="67">
        <f t="shared" si="27"/>
        <v>1.8001942869004882E-2</v>
      </c>
      <c r="M85" s="67">
        <f t="shared" si="27"/>
        <v>1.7003205040857578E-2</v>
      </c>
      <c r="N85" s="67">
        <f t="shared" si="27"/>
        <v>1.6059535873546259E-2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3.6644882937838602E-2</v>
      </c>
      <c r="F86" s="67">
        <f t="shared" si="28"/>
        <v>2.7002074283331498E-2</v>
      </c>
      <c r="G86" s="67">
        <f t="shared" si="28"/>
        <v>2.3532557102648125E-2</v>
      </c>
      <c r="H86" s="67">
        <f t="shared" si="28"/>
        <v>2.1349261583988484E-2</v>
      </c>
      <c r="I86" s="67">
        <f t="shared" si="28"/>
        <v>1.9543843040920508E-2</v>
      </c>
      <c r="J86" s="67">
        <f t="shared" si="28"/>
        <v>1.7887370443194908E-2</v>
      </c>
      <c r="K86" s="67">
        <f t="shared" si="28"/>
        <v>1.6568276843529808E-2</v>
      </c>
      <c r="L86" s="67">
        <f t="shared" si="28"/>
        <v>1.5578663695338529E-2</v>
      </c>
      <c r="M86" s="67">
        <f t="shared" si="28"/>
        <v>1.4714368054710283E-2</v>
      </c>
      <c r="N86" s="67">
        <f t="shared" si="28"/>
        <v>1.3897728167328181E-2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0.12156920111802989</v>
      </c>
      <c r="F87" s="67">
        <f t="shared" si="29"/>
        <v>8.9579235516256947E-2</v>
      </c>
      <c r="G87" s="67">
        <f t="shared" si="29"/>
        <v>7.8069131018544624E-2</v>
      </c>
      <c r="H87" s="67">
        <f t="shared" si="29"/>
        <v>7.0826059933878693E-2</v>
      </c>
      <c r="I87" s="67">
        <f t="shared" si="29"/>
        <v>6.4836593673698123E-2</v>
      </c>
      <c r="J87" s="67">
        <f t="shared" si="29"/>
        <v>5.9341254782289792E-2</v>
      </c>
      <c r="K87" s="67">
        <f t="shared" si="29"/>
        <v>5.4965168893757549E-2</v>
      </c>
      <c r="L87" s="67">
        <f t="shared" si="29"/>
        <v>5.1682132622483584E-2</v>
      </c>
      <c r="M87" s="67">
        <f t="shared" si="29"/>
        <v>4.8814836505336572E-2</v>
      </c>
      <c r="N87" s="67">
        <f t="shared" si="29"/>
        <v>4.6105638092052842E-2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0.5867604493576295</v>
      </c>
      <c r="F88" s="67">
        <f t="shared" si="30"/>
        <v>0.41297630386528755</v>
      </c>
      <c r="G88" s="67">
        <f t="shared" si="30"/>
        <v>0.34668820405504697</v>
      </c>
      <c r="H88" s="67">
        <f t="shared" si="30"/>
        <v>0.31820203303169553</v>
      </c>
      <c r="I88" s="67">
        <f t="shared" si="30"/>
        <v>0.29524218287185688</v>
      </c>
      <c r="J88" s="67">
        <f t="shared" si="30"/>
        <v>0.27398001644637199</v>
      </c>
      <c r="K88" s="67">
        <f t="shared" si="30"/>
        <v>0.24922861901679697</v>
      </c>
      <c r="L88" s="67">
        <f t="shared" si="30"/>
        <v>0.23603598677809381</v>
      </c>
      <c r="M88" s="67">
        <f t="shared" si="30"/>
        <v>0.22461858513114258</v>
      </c>
      <c r="N88" s="67">
        <f t="shared" si="30"/>
        <v>0.21415355537873404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0.5867604493576295</v>
      </c>
      <c r="F94" s="75">
        <f t="shared" si="31"/>
        <v>0.41297630386528755</v>
      </c>
      <c r="G94" s="75">
        <f t="shared" si="31"/>
        <v>0.34668820405504697</v>
      </c>
      <c r="H94" s="75">
        <f t="shared" si="31"/>
        <v>0.31820203303169553</v>
      </c>
      <c r="I94" s="75">
        <f t="shared" si="31"/>
        <v>0.29524218287185688</v>
      </c>
      <c r="J94" s="75">
        <f t="shared" si="31"/>
        <v>0.27398001644637199</v>
      </c>
      <c r="K94" s="75">
        <f t="shared" si="31"/>
        <v>0.24922861901679697</v>
      </c>
      <c r="L94" s="75">
        <f t="shared" si="31"/>
        <v>0.23603598677809381</v>
      </c>
      <c r="M94" s="75">
        <f t="shared" si="31"/>
        <v>0.22461858513114258</v>
      </c>
      <c r="N94" s="75">
        <f t="shared" si="31"/>
        <v>0.21415355537873404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-0.54526707394714735</v>
      </c>
      <c r="F95" s="56">
        <f t="shared" si="32"/>
        <v>-0.33418218926199178</v>
      </c>
      <c r="G95" s="56">
        <f t="shared" si="32"/>
        <v>-0.28334858005049968</v>
      </c>
      <c r="H95" s="56">
        <f t="shared" si="32"/>
        <v>-0.25569610007035953</v>
      </c>
      <c r="I95" s="56">
        <f t="shared" si="32"/>
        <v>-0.23814758242903122</v>
      </c>
      <c r="J95" s="56">
        <f t="shared" si="32"/>
        <v>-0.22324038380220454</v>
      </c>
      <c r="K95" s="56">
        <f t="shared" si="32"/>
        <v>-0.21037815289623382</v>
      </c>
      <c r="L95" s="56">
        <f t="shared" si="32"/>
        <v>-0.19880449211445156</v>
      </c>
      <c r="M95" s="56">
        <f t="shared" si="32"/>
        <v>-0.18942794070963698</v>
      </c>
      <c r="N95" s="56">
        <f t="shared" si="32"/>
        <v>-0.1813881664015837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4.1493375410482147E-2</v>
      </c>
      <c r="F96" s="56">
        <f t="shared" si="33"/>
        <v>7.8794114603295773E-2</v>
      </c>
      <c r="G96" s="56">
        <f t="shared" si="33"/>
        <v>6.333962400454729E-2</v>
      </c>
      <c r="H96" s="56">
        <f t="shared" si="33"/>
        <v>6.2505932961335997E-2</v>
      </c>
      <c r="I96" s="56">
        <f t="shared" si="33"/>
        <v>5.709460044282566E-2</v>
      </c>
      <c r="J96" s="56">
        <f t="shared" si="33"/>
        <v>5.0739632644167448E-2</v>
      </c>
      <c r="K96" s="56">
        <f t="shared" si="33"/>
        <v>3.8850466120563143E-2</v>
      </c>
      <c r="L96" s="56">
        <f t="shared" si="33"/>
        <v>3.7231494663642256E-2</v>
      </c>
      <c r="M96" s="56">
        <f t="shared" si="33"/>
        <v>3.5190644421505601E-2</v>
      </c>
      <c r="N96" s="56">
        <f t="shared" si="33"/>
        <v>3.2765388977150339E-2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showGridLines="0" zoomScale="80" zoomScaleNormal="80" workbookViewId="0"/>
  </sheetViews>
  <sheetFormatPr defaultRowHeight="13.8" x14ac:dyDescent="0.3"/>
  <cols>
    <col min="2" max="2" width="19" customWidth="1"/>
    <col min="4" max="4" width="12.875" customWidth="1"/>
    <col min="5" max="5" width="14" customWidth="1"/>
    <col min="6" max="6" width="13.625" customWidth="1"/>
    <col min="7" max="7" width="15.625" bestFit="1" customWidth="1"/>
    <col min="8" max="8" width="14.125" customWidth="1"/>
    <col min="15" max="15" width="16" customWidth="1"/>
  </cols>
  <sheetData>
    <row r="1" spans="1:22" s="1" customFormat="1" ht="15.6" x14ac:dyDescent="0.3">
      <c r="A1" s="1" t="s">
        <v>22</v>
      </c>
    </row>
    <row r="2" spans="1:22" s="2" customFormat="1" x14ac:dyDescent="0.3">
      <c r="A2" s="49" t="s">
        <v>33</v>
      </c>
      <c r="B2"/>
      <c r="C2"/>
      <c r="D2"/>
      <c r="E2" s="81">
        <f>Inputs!E39</f>
        <v>37256</v>
      </c>
      <c r="F2" s="82">
        <f>Inputs!F39</f>
        <v>37621</v>
      </c>
      <c r="G2" s="82">
        <f>Inputs!G39</f>
        <v>37986</v>
      </c>
      <c r="H2" s="82">
        <f>Inputs!H39</f>
        <v>38352</v>
      </c>
      <c r="I2" s="82">
        <f>Inputs!I39</f>
        <v>38717</v>
      </c>
      <c r="J2" s="82">
        <f>Inputs!J39</f>
        <v>39082</v>
      </c>
      <c r="K2" s="82">
        <f>Inputs!K39</f>
        <v>39447</v>
      </c>
      <c r="L2" s="82">
        <f>Inputs!L39</f>
        <v>39813</v>
      </c>
      <c r="M2" s="82">
        <f>Inputs!M39</f>
        <v>40178</v>
      </c>
      <c r="N2" s="83">
        <f>Inputs!N39</f>
        <v>40543</v>
      </c>
      <c r="O2" s="93">
        <f>EOMONTH(N2,12)</f>
        <v>40908</v>
      </c>
      <c r="P2" s="17"/>
      <c r="Q2" s="17"/>
      <c r="R2" s="17"/>
      <c r="S2" s="17"/>
      <c r="T2" s="17"/>
      <c r="U2" s="17"/>
      <c r="V2" s="17"/>
    </row>
    <row r="3" spans="1:22" s="2" customFormat="1" hidden="1" x14ac:dyDescent="0.3">
      <c r="A3" s="49"/>
      <c r="B3"/>
      <c r="C3"/>
      <c r="D3"/>
      <c r="E3" s="109">
        <f t="shared" ref="E3:O3" ca="1" si="0">1/(1+Discount_Rate)^YEARFRAC(ValDate,E2,1)</f>
        <v>0.86524743149740446</v>
      </c>
      <c r="F3" s="109">
        <f t="shared" ca="1" si="0"/>
        <v>0.75238907086730833</v>
      </c>
      <c r="G3" s="109">
        <f t="shared" ca="1" si="0"/>
        <v>0.65425136597157252</v>
      </c>
      <c r="H3" s="109">
        <f t="shared" ca="1" si="0"/>
        <v>0.56869643035662243</v>
      </c>
      <c r="I3" s="109">
        <f t="shared" ca="1" si="0"/>
        <v>0.49451863509271515</v>
      </c>
      <c r="J3" s="109">
        <f t="shared" ca="1" si="0"/>
        <v>0.43001620442844801</v>
      </c>
      <c r="K3" s="109">
        <f t="shared" ca="1" si="0"/>
        <v>0.37392713428560698</v>
      </c>
      <c r="L3" s="109">
        <f t="shared" ca="1" si="0"/>
        <v>0.32502954910291443</v>
      </c>
      <c r="M3" s="109">
        <f t="shared" ca="1" si="0"/>
        <v>0.28263439052427342</v>
      </c>
      <c r="N3" s="109">
        <f t="shared" ca="1" si="0"/>
        <v>0.24576903523849869</v>
      </c>
      <c r="O3" s="109">
        <f t="shared" ca="1" si="0"/>
        <v>0.2137122045552162</v>
      </c>
      <c r="P3" s="17"/>
      <c r="Q3" s="17"/>
      <c r="R3" s="17"/>
      <c r="S3" s="17"/>
      <c r="T3" s="17"/>
      <c r="U3" s="17"/>
      <c r="V3" s="17"/>
    </row>
    <row r="4" spans="1:22" x14ac:dyDescent="0.3">
      <c r="A4" s="44" t="s">
        <v>82</v>
      </c>
    </row>
    <row r="5" spans="1:22" x14ac:dyDescent="0.3">
      <c r="A5" s="43" t="str">
        <f>Inputs!A42</f>
        <v>Keep Dakota at 18MMcf/d</v>
      </c>
      <c r="E5" s="96">
        <f>Inputs!E42*Inputs!E$40*Inputs!E72</f>
        <v>0</v>
      </c>
      <c r="F5" s="96">
        <f>Inputs!F42*Inputs!F$40*Inputs!F72</f>
        <v>0</v>
      </c>
      <c r="G5" s="96">
        <f>Inputs!G42*Inputs!G$40*Inputs!G72</f>
        <v>0</v>
      </c>
      <c r="H5" s="96">
        <f>Inputs!H42*Inputs!H$40*Inputs!H72</f>
        <v>0</v>
      </c>
      <c r="I5" s="96">
        <f>Inputs!I42*Inputs!I$40*Inputs!I72</f>
        <v>0</v>
      </c>
      <c r="J5" s="96">
        <f>Inputs!J42*Inputs!J$40*Inputs!J72</f>
        <v>0</v>
      </c>
      <c r="K5" s="96">
        <f>Inputs!K42*Inputs!K$40*Inputs!K72</f>
        <v>0</v>
      </c>
      <c r="L5" s="96">
        <f>Inputs!L42*Inputs!L$40*Inputs!L72</f>
        <v>0</v>
      </c>
      <c r="M5" s="96">
        <f>Inputs!M42*Inputs!M$40*Inputs!M72</f>
        <v>0</v>
      </c>
      <c r="N5" s="96">
        <f>Inputs!N42*Inputs!N$40*Inputs!N72</f>
        <v>0</v>
      </c>
    </row>
    <row r="6" spans="1:22" x14ac:dyDescent="0.3">
      <c r="A6" s="43" t="str">
        <f>Inputs!A43</f>
        <v>Beartooth</v>
      </c>
      <c r="E6" s="96">
        <f>Inputs!E43*Inputs!E$40*Inputs!E73</f>
        <v>22</v>
      </c>
      <c r="F6" s="96">
        <f>Inputs!F43*Inputs!F$40*Inputs!F73</f>
        <v>27.173470531425529</v>
      </c>
      <c r="G6" s="96">
        <f>Inputs!G43*Inputs!G$40*Inputs!G73</f>
        <v>25.287585641173006</v>
      </c>
      <c r="H6" s="96">
        <f>Inputs!H43*Inputs!H$40*Inputs!H73</f>
        <v>23.597057191092226</v>
      </c>
      <c r="I6" s="96">
        <f>Inputs!I43*Inputs!I$40*Inputs!I73</f>
        <v>21.899383135604765</v>
      </c>
      <c r="J6" s="96">
        <f>Inputs!J43*Inputs!J$40*Inputs!J73</f>
        <v>20.379528845607989</v>
      </c>
      <c r="K6" s="96">
        <f>Inputs!K43*Inputs!K$40*Inputs!K73</f>
        <v>18.965155018166616</v>
      </c>
      <c r="L6" s="96">
        <f>Inputs!L43*Inputs!L$40*Inputs!L73</f>
        <v>17.697294393852946</v>
      </c>
      <c r="M6" s="96">
        <f>Inputs!M43*Inputs!M$40*Inputs!M73</f>
        <v>16.424074716438707</v>
      </c>
      <c r="N6" s="96">
        <f>Inputs!N43*Inputs!N$40*Inputs!N73</f>
        <v>15.284216106612272</v>
      </c>
      <c r="O6" s="92"/>
    </row>
    <row r="7" spans="1:22" x14ac:dyDescent="0.3">
      <c r="A7" s="43" t="str">
        <f>Inputs!A44</f>
        <v>Crescendo</v>
      </c>
      <c r="E7" s="96">
        <f>(Inputs!E44-'Gas Plant - Crescendo'!E$50/Inputs!$C44)*Inputs!E$40*Inputs!E74</f>
        <v>244.72773227961267</v>
      </c>
      <c r="F7" s="96">
        <f>(Inputs!F44-'Gas Plant - Crescendo'!F$50/Inputs!$C44)*Inputs!F$40*Inputs!F74</f>
        <v>350.93182464921659</v>
      </c>
      <c r="G7" s="96">
        <f>(Inputs!G44-'Gas Plant - Crescendo'!G$50/Inputs!$C44)*Inputs!G$40*Inputs!G74</f>
        <v>313.42176813543722</v>
      </c>
      <c r="H7" s="96">
        <f>(Inputs!H44-'Gas Plant - Crescendo'!H$50/Inputs!$C44)*Inputs!H$40*Inputs!H74</f>
        <v>275.33882431415515</v>
      </c>
      <c r="I7" s="96">
        <f>(Inputs!I44-'Gas Plant - Crescendo'!I$50/Inputs!$C44)*Inputs!I$40*Inputs!I74</f>
        <v>242.63350333571213</v>
      </c>
      <c r="J7" s="96">
        <f>(Inputs!J44-'Gas Plant - Crescendo'!J$50/Inputs!$C44)*Inputs!J$40*Inputs!J74</f>
        <v>218.59359101577991</v>
      </c>
      <c r="K7" s="96">
        <f>(Inputs!K44-'Gas Plant - Crescendo'!K$50/Inputs!$C44)*Inputs!K$40*Inputs!K74</f>
        <v>199.1666948612374</v>
      </c>
      <c r="L7" s="96">
        <f>(Inputs!L44-'Gas Plant - Crescendo'!L$50/Inputs!$C44)*Inputs!L$40*Inputs!L74</f>
        <v>181.61834044016609</v>
      </c>
      <c r="M7" s="96">
        <f>(Inputs!M44-'Gas Plant - Crescendo'!M$50/Inputs!$C44)*Inputs!M$40*Inputs!M74</f>
        <v>165.54613241590911</v>
      </c>
      <c r="N7" s="96">
        <f>(Inputs!N44-'Gas Plant - Crescendo'!N$50/Inputs!$C44)*Inputs!N$40*Inputs!N74</f>
        <v>147.29346929604125</v>
      </c>
      <c r="O7" s="92"/>
    </row>
    <row r="8" spans="1:22" x14ac:dyDescent="0.3">
      <c r="A8" s="43" t="str">
        <f>Inputs!A45</f>
        <v>D&amp;G Roustabout</v>
      </c>
      <c r="E8" s="96">
        <f>(Inputs!E45-'Gas Plant - D&amp;G'!E$50/Inputs!$C45)*Inputs!E$40*Inputs!E75</f>
        <v>41.411952152413264</v>
      </c>
      <c r="F8" s="96">
        <f>(Inputs!F45-'Gas Plant - D&amp;G'!F$50/Inputs!$C45)*Inputs!F$40*Inputs!F75</f>
        <v>49.214725877822417</v>
      </c>
      <c r="G8" s="96">
        <f>(Inputs!G45-'Gas Plant - D&amp;G'!G$50/Inputs!$C45)*Inputs!G$40*Inputs!G75</f>
        <v>41.233182872011326</v>
      </c>
      <c r="H8" s="96">
        <f>(Inputs!H45-'Gas Plant - D&amp;G'!H$50/Inputs!$C45)*Inputs!H$40*Inputs!H75</f>
        <v>36.868221967853351</v>
      </c>
      <c r="I8" s="96">
        <f>(Inputs!I45-'Gas Plant - D&amp;G'!I$50/Inputs!$C45)*Inputs!I$40*Inputs!I75</f>
        <v>33.837642246228228</v>
      </c>
      <c r="J8" s="96">
        <f>(Inputs!J45-'Gas Plant - D&amp;G'!J$50/Inputs!$C45)*Inputs!J$40*Inputs!J75</f>
        <v>31.343011841522511</v>
      </c>
      <c r="K8" s="96">
        <f>(Inputs!K45-'Gas Plant - D&amp;G'!K$50/Inputs!$C45)*Inputs!K$40*Inputs!K75</f>
        <v>29.186542654475378</v>
      </c>
      <c r="L8" s="96">
        <f>(Inputs!L45-'Gas Plant - D&amp;G'!L$50/Inputs!$C45)*Inputs!L$40*Inputs!L75</f>
        <v>27.328165451110138</v>
      </c>
      <c r="M8" s="96">
        <f>(Inputs!M45-'Gas Plant - D&amp;G'!M$50/Inputs!$C45)*Inputs!M$40*Inputs!M75</f>
        <v>25.659852228082567</v>
      </c>
      <c r="N8" s="96">
        <f>(Inputs!N45-'Gas Plant - D&amp;G'!N$50/Inputs!$C45)*Inputs!N$40*Inputs!N75</f>
        <v>24.279129554945808</v>
      </c>
      <c r="O8" s="92"/>
    </row>
    <row r="9" spans="1:22" x14ac:dyDescent="0.3">
      <c r="A9" s="43" t="str">
        <f>Inputs!A46</f>
        <v>Hallwood</v>
      </c>
      <c r="E9" s="96">
        <f>(Inputs!E46-'Gas Plant - Hallwood'!E$50/Inputs!$C46)*Inputs!E$40*Inputs!E76</f>
        <v>9.5424412364654465</v>
      </c>
      <c r="F9" s="96">
        <f>(Inputs!F46-'Gas Plant - Hallwood'!F$50/Inputs!$C46)*Inputs!F$40*Inputs!F76</f>
        <v>11.962602538505585</v>
      </c>
      <c r="G9" s="96">
        <f>(Inputs!G46-'Gas Plant - Hallwood'!G$50/Inputs!$C46)*Inputs!G$40*Inputs!G76</f>
        <v>11.179817401956683</v>
      </c>
      <c r="H9" s="96">
        <f>(Inputs!H46-'Gas Plant - Hallwood'!H$50/Inputs!$C46)*Inputs!H$40*Inputs!H76</f>
        <v>10.476879966818855</v>
      </c>
      <c r="I9" s="96">
        <f>(Inputs!I46-'Gas Plant - Hallwood'!I$50/Inputs!$C46)*Inputs!I$40*Inputs!I76</f>
        <v>9.764562381151741</v>
      </c>
      <c r="J9" s="96">
        <f>(Inputs!J46-'Gas Plant - Hallwood'!J$50/Inputs!$C46)*Inputs!J$40*Inputs!J76</f>
        <v>9.1256082512066197</v>
      </c>
      <c r="K9" s="96">
        <f>(Inputs!K46-'Gas Plant - Hallwood'!K$50/Inputs!$C46)*Inputs!K$40*Inputs!K76</f>
        <v>8.5284647384953018</v>
      </c>
      <c r="L9" s="96">
        <f>(Inputs!L46-'Gas Plant - Hallwood'!L$50/Inputs!$C46)*Inputs!L$40*Inputs!L76</f>
        <v>7.9922326236584276</v>
      </c>
      <c r="M9" s="96">
        <f>(Inputs!M46-'Gas Plant - Hallwood'!M$50/Inputs!$C46)*Inputs!M$40*Inputs!M76</f>
        <v>7.4488449104647536</v>
      </c>
      <c r="N9" s="96">
        <f>(Inputs!N46-'Gas Plant - Hallwood'!N$50/Inputs!$C46)*Inputs!N$40*Inputs!N76</f>
        <v>6.9614221225219755</v>
      </c>
      <c r="O9" s="92"/>
    </row>
    <row r="10" spans="1:22" x14ac:dyDescent="0.3">
      <c r="A10" s="43" t="str">
        <f>Inputs!A47</f>
        <v>Lone Mountain/Premier</v>
      </c>
      <c r="E10" s="96">
        <f>Inputs!E47*Inputs!E$40*Inputs!E77</f>
        <v>275</v>
      </c>
      <c r="F10" s="96">
        <f>Inputs!F47*Inputs!F$40*Inputs!F77</f>
        <v>341.70096536204699</v>
      </c>
      <c r="G10" s="96">
        <f>Inputs!G47*Inputs!G$40*Inputs!G77</f>
        <v>319.88917734069821</v>
      </c>
      <c r="H10" s="96">
        <f>Inputs!H47*Inputs!H$40*Inputs!H77</f>
        <v>300.2901654979521</v>
      </c>
      <c r="I10" s="96">
        <f>Inputs!I47*Inputs!I$40*Inputs!I77</f>
        <v>280.35365967043469</v>
      </c>
      <c r="J10" s="96">
        <f>Inputs!J47*Inputs!J$40*Inputs!J77</f>
        <v>262.45785247169948</v>
      </c>
      <c r="K10" s="96">
        <f>Inputs!K47*Inputs!K$40*Inputs!K77</f>
        <v>245.70438782583406</v>
      </c>
      <c r="L10" s="96">
        <f>Inputs!L47*Inputs!L$40*Inputs!L77</f>
        <v>230.65053934353801</v>
      </c>
      <c r="M10" s="96">
        <f>Inputs!M47*Inputs!M$40*Inputs!M77</f>
        <v>215.33746435782447</v>
      </c>
      <c r="N10" s="96">
        <f>Inputs!N47*Inputs!N$40*Inputs!N77</f>
        <v>201.59183410872328</v>
      </c>
      <c r="O10" s="92"/>
    </row>
    <row r="11" spans="1:22" x14ac:dyDescent="0.3">
      <c r="A11" s="43" t="str">
        <f>Inputs!A48</f>
        <v>National Fuels</v>
      </c>
      <c r="E11" s="96">
        <f>Inputs!E48*Inputs!E$40*Inputs!E78*Inputs!$C48</f>
        <v>256.18725000000001</v>
      </c>
      <c r="F11" s="96">
        <f>Inputs!F48*Inputs!F$40*Inputs!F78*Inputs!$C48</f>
        <v>301.95761512318165</v>
      </c>
      <c r="G11" s="96">
        <f>Inputs!G48*Inputs!G$40*Inputs!G78*Inputs!$C48</f>
        <v>253.40673057394017</v>
      </c>
      <c r="H11" s="96">
        <f>Inputs!H48*Inputs!H$40*Inputs!H78*Inputs!$C48</f>
        <v>226.9571391739515</v>
      </c>
      <c r="I11" s="96">
        <f>Inputs!I48*Inputs!I$40*Inputs!I78*Inputs!$C48</f>
        <v>208.64698758275856</v>
      </c>
      <c r="J11" s="96">
        <f>Inputs!J48*Inputs!J$40*Inputs!J78*Inputs!$C48</f>
        <v>193.58563192520958</v>
      </c>
      <c r="K11" s="96">
        <f>Inputs!K48*Inputs!K$40*Inputs!K78*Inputs!$C48</f>
        <v>180.56576658582071</v>
      </c>
      <c r="L11" s="96">
        <f>Inputs!L48*Inputs!L$40*Inputs!L78*Inputs!$C48</f>
        <v>169.34937994277635</v>
      </c>
      <c r="M11" s="96">
        <f>Inputs!M48*Inputs!M$40*Inputs!M78*Inputs!$C48</f>
        <v>159.27501435864252</v>
      </c>
      <c r="N11" s="96">
        <f>Inputs!N48*Inputs!N$40*Inputs!N78*Inputs!$C48</f>
        <v>150.95481972196728</v>
      </c>
      <c r="O11" s="92"/>
    </row>
    <row r="12" spans="1:22" x14ac:dyDescent="0.3">
      <c r="A12" s="43" t="str">
        <f>Inputs!A49</f>
        <v>Northstar</v>
      </c>
      <c r="E12" s="96">
        <f>Inputs!E49*Inputs!E$40*Inputs!E79*Inputs!$C49</f>
        <v>43.3125</v>
      </c>
      <c r="F12" s="96">
        <f>Inputs!F49*Inputs!F$40*Inputs!F79*Inputs!$C49</f>
        <v>53.310222947022929</v>
      </c>
      <c r="G12" s="96">
        <f>Inputs!G49*Inputs!G$40*Inputs!G79*Inputs!$C49</f>
        <v>49.436483942792606</v>
      </c>
      <c r="H12" s="96">
        <f>Inputs!H49*Inputs!H$40*Inputs!H79*Inputs!$C49</f>
        <v>45.969827291285249</v>
      </c>
      <c r="I12" s="96">
        <f>Inputs!I49*Inputs!I$40*Inputs!I79*Inputs!$C49</f>
        <v>42.512997514694341</v>
      </c>
      <c r="J12" s="96">
        <f>Inputs!J49*Inputs!J$40*Inputs!J79*Inputs!$C49</f>
        <v>39.423829104667746</v>
      </c>
      <c r="K12" s="96">
        <f>Inputs!K49*Inputs!K$40*Inputs!K79*Inputs!$C49</f>
        <v>36.559132315636774</v>
      </c>
      <c r="L12" s="96">
        <f>Inputs!L49*Inputs!L$40*Inputs!L79*Inputs!$C49</f>
        <v>33.995479945820186</v>
      </c>
      <c r="M12" s="96">
        <f>Inputs!M49*Inputs!M$40*Inputs!M79*Inputs!$C49</f>
        <v>31.439094719450448</v>
      </c>
      <c r="N12" s="96">
        <f>Inputs!N49*Inputs!N$40*Inputs!N79*Inputs!$C49</f>
        <v>29.154601413289402</v>
      </c>
      <c r="O12" s="92"/>
    </row>
    <row r="13" spans="1:22" s="10" customFormat="1" x14ac:dyDescent="0.3">
      <c r="A13" s="43" t="str">
        <f>Inputs!A50</f>
        <v>Tom Brown</v>
      </c>
      <c r="B13"/>
      <c r="C13"/>
      <c r="D13"/>
      <c r="E13" s="96">
        <f>(Inputs!E50-'Gas Plant - Tom Brown'!E$50/Inputs!$C50)*Inputs!E$40*Inputs!E80</f>
        <v>93.644024288070014</v>
      </c>
      <c r="F13" s="96">
        <f>(Inputs!F50-'Gas Plant - Tom Brown'!F$50/Inputs!$C50)*Inputs!F$40*Inputs!F80</f>
        <v>117.40646603222982</v>
      </c>
      <c r="G13" s="96">
        <f>(Inputs!G50-'Gas Plant - Tom Brown'!G$50/Inputs!$C50)*Inputs!G$40*Inputs!G80</f>
        <v>109.74747314777828</v>
      </c>
      <c r="H13" s="96">
        <f>(Inputs!H50-'Gas Plant - Tom Brown'!H$50/Inputs!$C50)*Inputs!H$40*Inputs!H80</f>
        <v>102.86917681931124</v>
      </c>
      <c r="I13" s="96">
        <f>(Inputs!I50-'Gas Plant - Tom Brown'!I$50/Inputs!$C50)*Inputs!I$40*Inputs!I80</f>
        <v>95.89579357534393</v>
      </c>
      <c r="J13" s="96">
        <f>(Inputs!J50-'Gas Plant - Tom Brown'!J$50/Inputs!$C50)*Inputs!J$40*Inputs!J80</f>
        <v>89.640046124085401</v>
      </c>
      <c r="K13" s="96">
        <f>(Inputs!K50-'Gas Plant - Tom Brown'!K$50/Inputs!$C50)*Inputs!K$40*Inputs!K80</f>
        <v>83.792391402600046</v>
      </c>
      <c r="L13" s="96">
        <f>(Inputs!L50-'Gas Plant - Tom Brown'!L$50/Inputs!$C50)*Inputs!L$40*Inputs!L80</f>
        <v>78.540799893409641</v>
      </c>
      <c r="M13" s="96">
        <f>(Inputs!M50-'Gas Plant - Tom Brown'!M$50/Inputs!$C50)*Inputs!M$40*Inputs!M80</f>
        <v>73.216609354716837</v>
      </c>
      <c r="N13" s="96">
        <f>(Inputs!N50-'Gas Plant - Tom Brown'!N$50/Inputs!$C50)*Inputs!N$40*Inputs!N80</f>
        <v>68.440335023135262</v>
      </c>
      <c r="O13" s="97"/>
    </row>
    <row r="14" spans="1:22" x14ac:dyDescent="0.3">
      <c r="A14" s="43" t="str">
        <f>Inputs!A51</f>
        <v>Trend Oil</v>
      </c>
      <c r="E14" s="96">
        <f>Inputs!E51*Inputs!E$40*Inputs!E81*Inputs!$C51</f>
        <v>30.25</v>
      </c>
      <c r="F14" s="96">
        <f>Inputs!F51*Inputs!F$40*Inputs!F81*Inputs!$C51</f>
        <v>36.166143312211418</v>
      </c>
      <c r="G14" s="96">
        <f>Inputs!G51*Inputs!G$40*Inputs!G81*Inputs!$C51</f>
        <v>32.577582119038979</v>
      </c>
      <c r="H14" s="96">
        <f>Inputs!H51*Inputs!H$40*Inputs!H81*Inputs!$C51</f>
        <v>29.425491007884464</v>
      </c>
      <c r="I14" s="96">
        <f>Inputs!I51*Inputs!I$40*Inputs!I81*Inputs!$C51</f>
        <v>26.433346369183756</v>
      </c>
      <c r="J14" s="96">
        <f>Inputs!J51*Inputs!J$40*Inputs!J81*Inputs!$C51</f>
        <v>23.81051539250867</v>
      </c>
      <c r="K14" s="96">
        <f>Inputs!K51*Inputs!K$40*Inputs!K81*Inputs!$C51</f>
        <v>21.447933051633488</v>
      </c>
      <c r="L14" s="96">
        <f>Inputs!L51*Inputs!L$40*Inputs!L81*Inputs!$C51</f>
        <v>19.37270724519831</v>
      </c>
      <c r="M14" s="96">
        <f>Inputs!M51*Inputs!M$40*Inputs!M81*Inputs!$C51</f>
        <v>17.402784564713325</v>
      </c>
      <c r="N14" s="96">
        <f>Inputs!N51*Inputs!N$40*Inputs!N81*Inputs!$C51</f>
        <v>15.676004996238181</v>
      </c>
      <c r="O14" s="92"/>
    </row>
    <row r="15" spans="1:22" s="10" customFormat="1" x14ac:dyDescent="0.3">
      <c r="A15" s="124" t="s">
        <v>97</v>
      </c>
      <c r="E15" s="123">
        <f>Inputs!E52*Inputs!E$40*Inputs!E82</f>
        <v>137.5</v>
      </c>
      <c r="F15" s="123">
        <f>Inputs!F52*Inputs!F$40*Inputs!F82</f>
        <v>170.26244729938301</v>
      </c>
      <c r="G15" s="123">
        <f>Inputs!G52*Inputs!G$40*Inputs!G82</f>
        <v>158.84548471438455</v>
      </c>
      <c r="H15" s="123">
        <f>Inputs!H52*Inputs!H$40*Inputs!H82</f>
        <v>148.6000987051018</v>
      </c>
      <c r="I15" s="123">
        <f>Inputs!I52*Inputs!I$40*Inputs!I82</f>
        <v>138.25692062546727</v>
      </c>
      <c r="J15" s="123">
        <f>Inputs!J52*Inputs!J$40*Inputs!J82</f>
        <v>128.98609129736221</v>
      </c>
      <c r="K15" s="123">
        <f>Inputs!K52*Inputs!K$40*Inputs!K82</f>
        <v>120.33691820203036</v>
      </c>
      <c r="L15" s="123">
        <f>Inputs!L52*Inputs!L$40*Inputs!L82</f>
        <v>112.57529891291981</v>
      </c>
      <c r="M15" s="123">
        <f>Inputs!M52*Inputs!M$40*Inputs!M82</f>
        <v>104.73959507307812</v>
      </c>
      <c r="N15" s="123">
        <f>Inputs!N52*Inputs!N$40*Inputs!N82</f>
        <v>97.716272801581837</v>
      </c>
      <c r="O15" s="97"/>
    </row>
    <row r="16" spans="1:22" s="10" customFormat="1" x14ac:dyDescent="0.3">
      <c r="A16" s="124" t="s">
        <v>98</v>
      </c>
      <c r="E16" s="98">
        <f>Inputs!E53*Inputs!E$40*Inputs!E83</f>
        <v>22</v>
      </c>
      <c r="F16" s="98">
        <f>Inputs!F53*Inputs!F$40*Inputs!F83</f>
        <v>27.07820848102752</v>
      </c>
      <c r="G16" s="98">
        <f>Inputs!G53*Inputs!G$40*Inputs!G83</f>
        <v>25.110595018561327</v>
      </c>
      <c r="H16" s="98">
        <f>Inputs!H53*Inputs!H$40*Inputs!H83</f>
        <v>23.349753544779805</v>
      </c>
      <c r="I16" s="98">
        <f>Inputs!I53*Inputs!I$40*Inputs!I83</f>
        <v>21.593903499527286</v>
      </c>
      <c r="J16" s="98">
        <f>Inputs!J53*Inputs!J$40*Inputs!J83</f>
        <v>20.024802084910601</v>
      </c>
      <c r="K16" s="98">
        <f>Inputs!K53*Inputs!K$40*Inputs!K83</f>
        <v>18.56971800159328</v>
      </c>
      <c r="L16" s="98">
        <f>Inputs!L53*Inputs!L$40*Inputs!L83</f>
        <v>17.267545369305491</v>
      </c>
      <c r="M16" s="98">
        <f>Inputs!M53*Inputs!M$40*Inputs!M83</f>
        <v>15.969063984482764</v>
      </c>
      <c r="N16" s="98">
        <f>Inputs!N53*Inputs!N$40*Inputs!N83</f>
        <v>14.808686432146997</v>
      </c>
      <c r="O16" s="97"/>
    </row>
    <row r="17" spans="1:15" x14ac:dyDescent="0.3">
      <c r="A17" s="43"/>
      <c r="E17" s="96">
        <f>SUM(E5:E16)</f>
        <v>1175.5758999565614</v>
      </c>
      <c r="F17" s="96">
        <f t="shared" ref="F17:N17" si="1">SUM(F5:F16)</f>
        <v>1487.1646921540739</v>
      </c>
      <c r="G17" s="96">
        <f t="shared" si="1"/>
        <v>1340.1358809077724</v>
      </c>
      <c r="H17" s="96">
        <f t="shared" si="1"/>
        <v>1223.7426354801855</v>
      </c>
      <c r="I17" s="96">
        <f t="shared" si="1"/>
        <v>1121.8286999361064</v>
      </c>
      <c r="J17" s="96">
        <f t="shared" si="1"/>
        <v>1037.3705083545608</v>
      </c>
      <c r="K17" s="96">
        <f t="shared" si="1"/>
        <v>962.82310465752346</v>
      </c>
      <c r="L17" s="96">
        <f t="shared" si="1"/>
        <v>896.38778356175533</v>
      </c>
      <c r="M17" s="96">
        <f t="shared" si="1"/>
        <v>832.4585306838037</v>
      </c>
      <c r="N17" s="96">
        <f t="shared" si="1"/>
        <v>772.16079157720333</v>
      </c>
      <c r="O17" s="92"/>
    </row>
    <row r="18" spans="1:15" x14ac:dyDescent="0.3">
      <c r="A18" s="44" t="s">
        <v>83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2"/>
    </row>
    <row r="19" spans="1:15" x14ac:dyDescent="0.3">
      <c r="A19" s="43" t="str">
        <f>Inputs!A56</f>
        <v>Keep the South Canyon Plant Full</v>
      </c>
      <c r="E19" s="96">
        <f>Inputs!E56*Inputs!E$40*Inputs!E86</f>
        <v>0</v>
      </c>
      <c r="F19" s="96">
        <f>Inputs!F56*Inputs!F$40*Inputs!F86</f>
        <v>0</v>
      </c>
      <c r="G19" s="96">
        <f>Inputs!G56*Inputs!G$40*Inputs!G86</f>
        <v>0</v>
      </c>
      <c r="H19" s="96">
        <f>Inputs!H56*Inputs!H$40*Inputs!H86</f>
        <v>0</v>
      </c>
      <c r="I19" s="96">
        <f>Inputs!I56*Inputs!I$40*Inputs!I86</f>
        <v>0</v>
      </c>
      <c r="J19" s="96">
        <f>Inputs!J56*Inputs!J$40*Inputs!J86</f>
        <v>0</v>
      </c>
      <c r="K19" s="96">
        <f>Inputs!K56*Inputs!K$40*Inputs!K86</f>
        <v>0</v>
      </c>
      <c r="L19" s="96">
        <f>Inputs!L56*Inputs!L$40*Inputs!L86</f>
        <v>0</v>
      </c>
      <c r="M19" s="96">
        <f>Inputs!M56*Inputs!M$40*Inputs!M86</f>
        <v>0</v>
      </c>
      <c r="N19" s="96">
        <f>Inputs!N56*Inputs!N$40*Inputs!N86</f>
        <v>0</v>
      </c>
      <c r="O19" s="92"/>
    </row>
    <row r="20" spans="1:15" s="2" customFormat="1" x14ac:dyDescent="0.3">
      <c r="A20" s="43" t="str">
        <f>Inputs!A57</f>
        <v>Crescendo - Badger Wash Entrada</v>
      </c>
      <c r="B20"/>
      <c r="C20"/>
      <c r="D20"/>
      <c r="E20" s="96">
        <f>Inputs!E57*Inputs!E$40*Inputs!E87</f>
        <v>0</v>
      </c>
      <c r="F20" s="96">
        <f>Inputs!F57*Inputs!F$40*Inputs!F87</f>
        <v>0</v>
      </c>
      <c r="G20" s="96">
        <f>Inputs!G57*Inputs!G$40*Inputs!G87</f>
        <v>0</v>
      </c>
      <c r="H20" s="96">
        <f>Inputs!H57*Inputs!H$40*Inputs!H87</f>
        <v>0</v>
      </c>
      <c r="I20" s="96">
        <f>Inputs!I57*Inputs!I$40*Inputs!I87</f>
        <v>0</v>
      </c>
      <c r="J20" s="96">
        <f>Inputs!J57*Inputs!J$40*Inputs!J87</f>
        <v>0</v>
      </c>
      <c r="K20" s="96">
        <f>Inputs!K57*Inputs!K$40*Inputs!K87</f>
        <v>0</v>
      </c>
      <c r="L20" s="96">
        <f>Inputs!L57*Inputs!L$40*Inputs!L87</f>
        <v>0</v>
      </c>
      <c r="M20" s="96">
        <f>Inputs!M57*Inputs!M$40*Inputs!M87</f>
        <v>0</v>
      </c>
      <c r="N20" s="96">
        <f>Inputs!N57*Inputs!N$40*Inputs!N87</f>
        <v>0</v>
      </c>
      <c r="O20" s="99"/>
    </row>
    <row r="21" spans="1:15" x14ac:dyDescent="0.3">
      <c r="A21" s="43" t="str">
        <f>Inputs!A58</f>
        <v>Crescendo - San Arroyo Entrada</v>
      </c>
      <c r="E21" s="96">
        <f>Inputs!E58*Inputs!E$40*Inputs!E88</f>
        <v>0</v>
      </c>
      <c r="F21" s="96">
        <f>Inputs!F58*Inputs!F$40*Inputs!F88</f>
        <v>0</v>
      </c>
      <c r="G21" s="96">
        <f>Inputs!G58*Inputs!G$40*Inputs!G88</f>
        <v>0</v>
      </c>
      <c r="H21" s="96">
        <f>Inputs!H58*Inputs!H$40*Inputs!H88</f>
        <v>0</v>
      </c>
      <c r="I21" s="96">
        <f>Inputs!I58*Inputs!I$40*Inputs!I88</f>
        <v>0</v>
      </c>
      <c r="J21" s="96">
        <f>Inputs!J58*Inputs!J$40*Inputs!J88</f>
        <v>0</v>
      </c>
      <c r="K21" s="96">
        <f>Inputs!K58*Inputs!K$40*Inputs!K88</f>
        <v>0</v>
      </c>
      <c r="L21" s="96">
        <f>Inputs!L58*Inputs!L$40*Inputs!L88</f>
        <v>0</v>
      </c>
      <c r="M21" s="96">
        <f>Inputs!M58*Inputs!M$40*Inputs!M88</f>
        <v>0</v>
      </c>
      <c r="N21" s="96">
        <f>Inputs!N58*Inputs!N$40*Inputs!N88</f>
        <v>0</v>
      </c>
      <c r="O21" s="92"/>
    </row>
    <row r="22" spans="1:15" x14ac:dyDescent="0.3">
      <c r="A22" s="43" t="str">
        <f>Inputs!A59</f>
        <v>Hallwood</v>
      </c>
      <c r="E22" s="96">
        <f>Inputs!E59*Inputs!E$40*Inputs!E89</f>
        <v>0</v>
      </c>
      <c r="F22" s="96">
        <f>Inputs!F59*Inputs!F$40*Inputs!F89</f>
        <v>0</v>
      </c>
      <c r="G22" s="96">
        <f>Inputs!G59*Inputs!G$40*Inputs!G89</f>
        <v>0</v>
      </c>
      <c r="H22" s="96">
        <f>Inputs!H59*Inputs!H$40*Inputs!H89</f>
        <v>0</v>
      </c>
      <c r="I22" s="96">
        <f>Inputs!I59*Inputs!I$40*Inputs!I89</f>
        <v>0</v>
      </c>
      <c r="J22" s="96">
        <f>Inputs!J59*Inputs!J$40*Inputs!J89</f>
        <v>0</v>
      </c>
      <c r="K22" s="96">
        <f>Inputs!K59*Inputs!K$40*Inputs!K89</f>
        <v>0</v>
      </c>
      <c r="L22" s="96">
        <f>Inputs!L59*Inputs!L$40*Inputs!L89</f>
        <v>0</v>
      </c>
      <c r="M22" s="96">
        <f>Inputs!M59*Inputs!M$40*Inputs!M89</f>
        <v>0</v>
      </c>
      <c r="N22" s="96">
        <f>Inputs!N59*Inputs!N$40*Inputs!N89</f>
        <v>0</v>
      </c>
      <c r="O22" s="92"/>
    </row>
    <row r="23" spans="1:15" x14ac:dyDescent="0.3">
      <c r="A23" s="43" t="str">
        <f>Inputs!A60</f>
        <v>Lone Mountain - Bar-X Entrada</v>
      </c>
      <c r="E23" s="96">
        <f>Inputs!E60*Inputs!E$40*Inputs!E90</f>
        <v>0</v>
      </c>
      <c r="F23" s="96">
        <f>Inputs!F60*Inputs!F$40*Inputs!F90</f>
        <v>0</v>
      </c>
      <c r="G23" s="96">
        <f>Inputs!G60*Inputs!G$40*Inputs!G90</f>
        <v>0</v>
      </c>
      <c r="H23" s="96">
        <f>Inputs!H60*Inputs!H$40*Inputs!H90</f>
        <v>0</v>
      </c>
      <c r="I23" s="96">
        <f>Inputs!I60*Inputs!I$40*Inputs!I90</f>
        <v>0</v>
      </c>
      <c r="J23" s="96">
        <f>Inputs!J60*Inputs!J$40*Inputs!J90</f>
        <v>0</v>
      </c>
      <c r="K23" s="96">
        <f>Inputs!K60*Inputs!K$40*Inputs!K90</f>
        <v>0</v>
      </c>
      <c r="L23" s="96">
        <f>Inputs!L60*Inputs!L$40*Inputs!L90</f>
        <v>0</v>
      </c>
      <c r="M23" s="96">
        <f>Inputs!M60*Inputs!M$40*Inputs!M90</f>
        <v>0</v>
      </c>
      <c r="N23" s="96">
        <f>Inputs!N60*Inputs!N$40*Inputs!N90</f>
        <v>0</v>
      </c>
      <c r="O23" s="92"/>
    </row>
    <row r="24" spans="1:15" x14ac:dyDescent="0.3">
      <c r="A24" s="43" t="str">
        <f>Inputs!A61</f>
        <v>National Fuels</v>
      </c>
      <c r="E24" s="96">
        <f>Inputs!E61*Inputs!E$40*Inputs!E91</f>
        <v>0</v>
      </c>
      <c r="F24" s="96">
        <f>Inputs!F61*Inputs!F$40*Inputs!F91</f>
        <v>0</v>
      </c>
      <c r="G24" s="96">
        <f>Inputs!G61*Inputs!G$40*Inputs!G91</f>
        <v>0</v>
      </c>
      <c r="H24" s="96">
        <f>Inputs!H61*Inputs!H$40*Inputs!H91</f>
        <v>0</v>
      </c>
      <c r="I24" s="96">
        <f>Inputs!I61*Inputs!I$40*Inputs!I91</f>
        <v>0</v>
      </c>
      <c r="J24" s="96">
        <f>Inputs!J61*Inputs!J$40*Inputs!J91</f>
        <v>0</v>
      </c>
      <c r="K24" s="96">
        <f>Inputs!K61*Inputs!K$40*Inputs!K91</f>
        <v>0</v>
      </c>
      <c r="L24" s="96">
        <f>Inputs!L61*Inputs!L$40*Inputs!L91</f>
        <v>0</v>
      </c>
      <c r="M24" s="96">
        <f>Inputs!M61*Inputs!M$40*Inputs!M91</f>
        <v>0</v>
      </c>
      <c r="N24" s="96">
        <f>Inputs!N61*Inputs!N$40*Inputs!N91</f>
        <v>0</v>
      </c>
      <c r="O24" s="92"/>
    </row>
    <row r="25" spans="1:15" x14ac:dyDescent="0.3">
      <c r="A25" s="43" t="str">
        <f>Inputs!A62</f>
        <v>Northstar</v>
      </c>
      <c r="E25" s="96">
        <f>Inputs!E62*Inputs!E$40*Inputs!E92</f>
        <v>0</v>
      </c>
      <c r="F25" s="96">
        <f>Inputs!F62*Inputs!F$40*Inputs!F92</f>
        <v>0</v>
      </c>
      <c r="G25" s="96">
        <f>Inputs!G62*Inputs!G$40*Inputs!G92</f>
        <v>0</v>
      </c>
      <c r="H25" s="96">
        <f>Inputs!H62*Inputs!H$40*Inputs!H92</f>
        <v>0</v>
      </c>
      <c r="I25" s="96">
        <f>Inputs!I62*Inputs!I$40*Inputs!I92</f>
        <v>0</v>
      </c>
      <c r="J25" s="96">
        <f>Inputs!J62*Inputs!J$40*Inputs!J92</f>
        <v>0</v>
      </c>
      <c r="K25" s="96">
        <f>Inputs!K62*Inputs!K$40*Inputs!K92</f>
        <v>0</v>
      </c>
      <c r="L25" s="96">
        <f>Inputs!L62*Inputs!L$40*Inputs!L92</f>
        <v>0</v>
      </c>
      <c r="M25" s="96">
        <f>Inputs!M62*Inputs!M$40*Inputs!M92</f>
        <v>0</v>
      </c>
      <c r="N25" s="96">
        <f>Inputs!N62*Inputs!N$40*Inputs!N92</f>
        <v>0</v>
      </c>
      <c r="O25" s="92"/>
    </row>
    <row r="26" spans="1:15" x14ac:dyDescent="0.3">
      <c r="A26" s="43" t="str">
        <f>Inputs!A63</f>
        <v>Tom Brown - South Canyon Entrada</v>
      </c>
      <c r="E26" s="96">
        <f>Inputs!E63*Inputs!E$40*Inputs!E93</f>
        <v>0</v>
      </c>
      <c r="F26" s="96">
        <f>Inputs!F63*Inputs!F$40*Inputs!F93</f>
        <v>0</v>
      </c>
      <c r="G26" s="96">
        <f>Inputs!G63*Inputs!G$40*Inputs!G93</f>
        <v>0</v>
      </c>
      <c r="H26" s="96">
        <f>Inputs!H63*Inputs!H$40*Inputs!H93</f>
        <v>0</v>
      </c>
      <c r="I26" s="96">
        <f>Inputs!I63*Inputs!I$40*Inputs!I93</f>
        <v>0</v>
      </c>
      <c r="J26" s="96">
        <f>Inputs!J63*Inputs!J$40*Inputs!J93</f>
        <v>0</v>
      </c>
      <c r="K26" s="96">
        <f>Inputs!K63*Inputs!K$40*Inputs!K93</f>
        <v>0</v>
      </c>
      <c r="L26" s="96">
        <f>Inputs!L63*Inputs!L$40*Inputs!L93</f>
        <v>0</v>
      </c>
      <c r="M26" s="96">
        <f>Inputs!M63*Inputs!M$40*Inputs!M93</f>
        <v>0</v>
      </c>
      <c r="N26" s="96">
        <f>Inputs!N63*Inputs!N$40*Inputs!N93</f>
        <v>0</v>
      </c>
      <c r="O26" s="92"/>
    </row>
    <row r="27" spans="1:15" x14ac:dyDescent="0.3">
      <c r="A27" s="43" t="str">
        <f>Inputs!A64</f>
        <v>Trend Oil</v>
      </c>
      <c r="E27" s="98">
        <f>Inputs!E64*Inputs!E$40*Inputs!E94</f>
        <v>0</v>
      </c>
      <c r="F27" s="98">
        <f>Inputs!F64*Inputs!F$40*Inputs!F94</f>
        <v>0</v>
      </c>
      <c r="G27" s="98">
        <f>Inputs!G64*Inputs!G$40*Inputs!G94</f>
        <v>0</v>
      </c>
      <c r="H27" s="98">
        <f>Inputs!H64*Inputs!H$40*Inputs!H94</f>
        <v>0</v>
      </c>
      <c r="I27" s="98">
        <f>Inputs!I64*Inputs!I$40*Inputs!I94</f>
        <v>0</v>
      </c>
      <c r="J27" s="98">
        <f>Inputs!J64*Inputs!J$40*Inputs!J94</f>
        <v>0</v>
      </c>
      <c r="K27" s="98">
        <f>Inputs!K64*Inputs!K$40*Inputs!K94</f>
        <v>0</v>
      </c>
      <c r="L27" s="98">
        <f>Inputs!L64*Inputs!L$40*Inputs!L94</f>
        <v>0</v>
      </c>
      <c r="M27" s="98">
        <f>Inputs!M64*Inputs!M$40*Inputs!M94</f>
        <v>0</v>
      </c>
      <c r="N27" s="98">
        <f>Inputs!N64*Inputs!N$40*Inputs!N94</f>
        <v>0</v>
      </c>
      <c r="O27" s="92"/>
    </row>
    <row r="28" spans="1:15" x14ac:dyDescent="0.3">
      <c r="E28" s="96">
        <f t="shared" ref="E28:N28" si="2">SUM(E19:E27)</f>
        <v>0</v>
      </c>
      <c r="F28" s="96">
        <f t="shared" si="2"/>
        <v>0</v>
      </c>
      <c r="G28" s="96">
        <f t="shared" si="2"/>
        <v>0</v>
      </c>
      <c r="H28" s="96">
        <f t="shared" si="2"/>
        <v>0</v>
      </c>
      <c r="I28" s="96">
        <f t="shared" si="2"/>
        <v>0</v>
      </c>
      <c r="J28" s="96">
        <f t="shared" si="2"/>
        <v>0</v>
      </c>
      <c r="K28" s="96">
        <f t="shared" si="2"/>
        <v>0</v>
      </c>
      <c r="L28" s="96">
        <f t="shared" si="2"/>
        <v>0</v>
      </c>
      <c r="M28" s="96">
        <f t="shared" si="2"/>
        <v>0</v>
      </c>
      <c r="N28" s="96">
        <f t="shared" si="2"/>
        <v>0</v>
      </c>
      <c r="O28" s="92"/>
    </row>
    <row r="29" spans="1:15" ht="3" customHeight="1" x14ac:dyDescent="0.3"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2"/>
    </row>
    <row r="30" spans="1:15" x14ac:dyDescent="0.3">
      <c r="A30" s="89" t="s">
        <v>100</v>
      </c>
      <c r="E30" s="96">
        <f>-Inputs!$D$103*Inputs!E40/365/1000</f>
        <v>-45.205479452054796</v>
      </c>
      <c r="F30" s="96">
        <f>-Inputs!$D$103*Inputs!F40/365/1000</f>
        <v>-60</v>
      </c>
      <c r="G30" s="96">
        <f>-Inputs!$D$103*Inputs!G40/365/1000</f>
        <v>-60</v>
      </c>
      <c r="H30" s="96">
        <f>-Inputs!$D$103*Inputs!H40/365/1000</f>
        <v>-60.164383561643838</v>
      </c>
      <c r="I30" s="96">
        <f>-Inputs!$D$103*Inputs!I40/365/1000</f>
        <v>-60</v>
      </c>
      <c r="J30" s="96">
        <f>-Inputs!$D$103*Inputs!J40/365/1000</f>
        <v>-60</v>
      </c>
      <c r="K30" s="96">
        <f>-Inputs!$D$103*Inputs!K40/365/1000</f>
        <v>-60</v>
      </c>
      <c r="L30" s="96">
        <f>-Inputs!$D$103*Inputs!L40/365/1000</f>
        <v>-60.164383561643838</v>
      </c>
      <c r="M30" s="96">
        <f>-Inputs!$D$103*Inputs!M40/365/1000</f>
        <v>-60</v>
      </c>
      <c r="N30" s="96">
        <f>-Inputs!$D$103*Inputs!N40/365/1000</f>
        <v>-60</v>
      </c>
      <c r="O30" s="92"/>
    </row>
    <row r="31" spans="1:15" ht="4.5" customHeight="1" x14ac:dyDescent="0.3"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2"/>
    </row>
    <row r="32" spans="1:15" s="24" customFormat="1" ht="12" customHeight="1" x14ac:dyDescent="0.3">
      <c r="A32" s="89" t="s">
        <v>34</v>
      </c>
      <c r="B32" s="90"/>
      <c r="C32" s="90"/>
      <c r="D32" s="90"/>
      <c r="E32" s="100">
        <f>E17+E28+E30</f>
        <v>1130.3704205045067</v>
      </c>
      <c r="F32" s="100">
        <f t="shared" ref="F32:N32" si="3">F17+F28+F30</f>
        <v>1427.1646921540739</v>
      </c>
      <c r="G32" s="100">
        <f t="shared" si="3"/>
        <v>1280.1358809077724</v>
      </c>
      <c r="H32" s="100">
        <f t="shared" si="3"/>
        <v>1163.5782519185416</v>
      </c>
      <c r="I32" s="100">
        <f t="shared" si="3"/>
        <v>1061.8286999361064</v>
      </c>
      <c r="J32" s="100">
        <f t="shared" si="3"/>
        <v>977.3705083545608</v>
      </c>
      <c r="K32" s="100">
        <f t="shared" si="3"/>
        <v>902.82310465752346</v>
      </c>
      <c r="L32" s="100">
        <f t="shared" si="3"/>
        <v>836.2234000001115</v>
      </c>
      <c r="M32" s="100">
        <f t="shared" si="3"/>
        <v>772.4585306838037</v>
      </c>
      <c r="N32" s="100">
        <f t="shared" si="3"/>
        <v>712.16079157720333</v>
      </c>
      <c r="O32" s="101"/>
    </row>
    <row r="33" spans="1:15" ht="3" customHeight="1" x14ac:dyDescent="0.3">
      <c r="A33" s="90"/>
      <c r="B33" s="90"/>
      <c r="C33" s="90"/>
      <c r="D33" s="90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92"/>
    </row>
    <row r="34" spans="1:15" x14ac:dyDescent="0.3">
      <c r="A34" s="89" t="s">
        <v>70</v>
      </c>
      <c r="B34" s="90"/>
      <c r="C34" s="90"/>
      <c r="D34" s="90"/>
      <c r="E34" s="100">
        <f>IF(Inputs!$C$8=1,('Gas Plant - Crescendo'!E88+'Gas Plant - D&amp;G'!E88+'Gas Plant - Hallwood'!E88+'Gas Plant - Northstar'!E88+'Gas Plant - Tom Brown'!E88)*Inputs!E40,(('Gas Plant - Crescendo'!E88+'Gas Plant - Hallwood'!E88+'Gas Plant - Tom Brown'!E88)*Inputs!E40)*Inputs!$G$7+'Gas Plant - D&amp;G'!E88*Inputs!E40+'Gas Plant - Northstar'!E88*Inputs!E40)</f>
        <v>664.03331748513347</v>
      </c>
      <c r="F34" s="100">
        <f>IF(Inputs!$C$8=1,('Gas Plant - Crescendo'!F88+'Gas Plant - D&amp;G'!F88+'Gas Plant - Hallwood'!F88+'Gas Plant - Northstar'!F88+'Gas Plant - Tom Brown'!F88)*Inputs!F40,(('Gas Plant - Crescendo'!F88+'Gas Plant - Hallwood'!F88+'Gas Plant - Northstar'!F88+'Gas Plant - Tom Brown'!F88)*Inputs!F40)*Inputs!$G$7+'Gas Plant - D&amp;G'!F88*Inputs!F40)</f>
        <v>676.2279236136801</v>
      </c>
      <c r="G34" s="100">
        <f>IF(Inputs!$C$8=1,('Gas Plant - Crescendo'!G88+'Gas Plant - D&amp;G'!G88+'Gas Plant - Hallwood'!G88+'Gas Plant - Northstar'!G88+'Gas Plant - Tom Brown'!G88)*Inputs!G40,(('Gas Plant - Crescendo'!G88+'Gas Plant - Hallwood'!G88+'Gas Plant - Northstar'!G88+'Gas Plant - Tom Brown'!G88)*Inputs!G40)*Inputs!$G$7+'Gas Plant - D&amp;G'!G88*Inputs!G40)</f>
        <v>550.47849520347768</v>
      </c>
      <c r="H34" s="100">
        <f>IF(Inputs!$C$8=1,('Gas Plant - Crescendo'!H88+'Gas Plant - D&amp;G'!H88+'Gas Plant - Hallwood'!H88+'Gas Plant - Northstar'!H88+'Gas Plant - Tom Brown'!H88)*Inputs!H40,(('Gas Plant - Crescendo'!H88+'Gas Plant - Hallwood'!H88+'Gas Plant - Northstar'!H88+'Gas Plant - Tom Brown'!H88)*Inputs!H40)*Inputs!$G$7+'Gas Plant - D&amp;G'!H88*Inputs!H40)</f>
        <v>485.4938308061075</v>
      </c>
      <c r="I34" s="100">
        <f>IF(Inputs!$C$8=1,('Gas Plant - Crescendo'!I88+'Gas Plant - D&amp;G'!I88+'Gas Plant - Hallwood'!I88+'Gas Plant - Northstar'!I88+'Gas Plant - Tom Brown'!I88)*Inputs!I40,(('Gas Plant - Crescendo'!I88+'Gas Plant - Hallwood'!I88+'Gas Plant - Northstar'!I88+'Gas Plant - Tom Brown'!I88)*Inputs!I40)*Inputs!$G$7+'Gas Plant - D&amp;G'!I88*Inputs!I40)</f>
        <v>433.17868752044058</v>
      </c>
      <c r="J34" s="100">
        <f>IF(Inputs!$C$8=1,('Gas Plant - Crescendo'!J88+'Gas Plant - D&amp;G'!J88+'Gas Plant - Hallwood'!J88+'Gas Plant - Northstar'!J88+'Gas Plant - Tom Brown'!J88)*Inputs!J40,(('Gas Plant - Crescendo'!J88+'Gas Plant - Hallwood'!J88+'Gas Plant - Northstar'!J88+'Gas Plant - Tom Brown'!J88)*Inputs!J40)*Inputs!$G$7+'Gas Plant - D&amp;G'!J88*Inputs!J40)</f>
        <v>392.51164816340884</v>
      </c>
      <c r="K34" s="100">
        <f>IF(Inputs!$C$8=1,('Gas Plant - Crescendo'!K88+'Gas Plant - D&amp;G'!K88+'Gas Plant - Hallwood'!K88+'Gas Plant - Northstar'!K88+'Gas Plant - Tom Brown'!K88)*Inputs!K40,(('Gas Plant - Crescendo'!K88+'Gas Plant - Hallwood'!K88+'Gas Plant - Northstar'!K88+'Gas Plant - Tom Brown'!K88)*Inputs!K40)*Inputs!$G$7+'Gas Plant - D&amp;G'!K88*Inputs!K40)</f>
        <v>351.13506986467689</v>
      </c>
      <c r="L34" s="100">
        <f>IF(Inputs!$C$8=1,('Gas Plant - Crescendo'!L88+'Gas Plant - D&amp;G'!L88+'Gas Plant - Hallwood'!L88+'Gas Plant - Northstar'!L88+'Gas Plant - Tom Brown'!L88)*Inputs!L40,(('Gas Plant - Crescendo'!L88+'Gas Plant - Hallwood'!L88+'Gas Plant - Northstar'!L88+'Gas Plant - Tom Brown'!L88)*Inputs!L40)*Inputs!$G$7+'Gas Plant - D&amp;G'!L88*Inputs!L40)</f>
        <v>327.60128512891998</v>
      </c>
      <c r="M34" s="100">
        <f>IF(Inputs!$C$8=1,('Gas Plant - Crescendo'!M88+'Gas Plant - D&amp;G'!M88+'Gas Plant - Hallwood'!M88+'Gas Plant - Northstar'!M88+'Gas Plant - Tom Brown'!M88)*Inputs!M40,(('Gas Plant - Crescendo'!M88+'Gas Plant - Hallwood'!M88+'Gas Plant - Northstar'!M88+'Gas Plant - Tom Brown'!M88)*Inputs!M40)*Inputs!$G$7+'Gas Plant - D&amp;G'!M88*Inputs!M40)</f>
        <v>306.41248692609838</v>
      </c>
      <c r="N34" s="100">
        <f>IF(Inputs!$C$8=1,('Gas Plant - Crescendo'!N88+'Gas Plant - D&amp;G'!N88+'Gas Plant - Hallwood'!N88+'Gas Plant - Northstar'!N88+'Gas Plant - Tom Brown'!N88)*Inputs!N40,(('Gas Plant - Crescendo'!N88+'Gas Plant - Hallwood'!N88+'Gas Plant - Northstar'!N88+'Gas Plant - Tom Brown'!N88)*Inputs!N40)*Inputs!$G$7+'Gas Plant - D&amp;G'!N88*Inputs!N40)</f>
        <v>283.40889177433769</v>
      </c>
      <c r="O34" s="92"/>
    </row>
    <row r="35" spans="1:15" ht="3" customHeight="1" x14ac:dyDescent="0.3"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1:15" s="20" customFormat="1" x14ac:dyDescent="0.3">
      <c r="A36" s="88" t="s">
        <v>78</v>
      </c>
      <c r="B36" s="88"/>
      <c r="C36" s="88"/>
      <c r="D36" s="88"/>
      <c r="E36" s="103">
        <f>E34+E32</f>
        <v>1794.4037379896401</v>
      </c>
      <c r="F36" s="103">
        <f t="shared" ref="F36:N36" si="4">F34+F32</f>
        <v>2103.3926157677543</v>
      </c>
      <c r="G36" s="103">
        <f t="shared" si="4"/>
        <v>1830.6143761112501</v>
      </c>
      <c r="H36" s="103">
        <f t="shared" si="4"/>
        <v>1649.0720827246491</v>
      </c>
      <c r="I36" s="103">
        <f t="shared" si="4"/>
        <v>1495.0073874565469</v>
      </c>
      <c r="J36" s="103">
        <f t="shared" si="4"/>
        <v>1369.8821565179696</v>
      </c>
      <c r="K36" s="103">
        <f t="shared" si="4"/>
        <v>1253.9581745222004</v>
      </c>
      <c r="L36" s="103">
        <f t="shared" si="4"/>
        <v>1163.8246851290314</v>
      </c>
      <c r="M36" s="103">
        <f t="shared" si="4"/>
        <v>1078.8710176099021</v>
      </c>
      <c r="N36" s="103">
        <f t="shared" si="4"/>
        <v>995.56968335154102</v>
      </c>
      <c r="O36" s="104"/>
    </row>
    <row r="37" spans="1:15" ht="5.25" customHeight="1" x14ac:dyDescent="0.3"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x14ac:dyDescent="0.3">
      <c r="A38" s="89" t="s">
        <v>81</v>
      </c>
      <c r="B38" s="90"/>
      <c r="C38" s="90"/>
      <c r="D38" s="90"/>
      <c r="E38" s="100">
        <f>IF(Inputs!$C$8=1,-('Gas Plant - Crescendo'!E51+'Gas Plant - D&amp;G'!E51+'Gas Plant - Hallwood'!E51+'Gas Plant - Northstar'!E51+'Gas Plant - Tom Brown'!E51)*Inputs!E40,-('Gas Plant - D&amp;G'!E51+'Gas Plant - Northstar'!E51)*Inputs!E40)</f>
        <v>-617.07551084079864</v>
      </c>
      <c r="F38" s="100">
        <f>IF(Inputs!$C$8=1,-('Gas Plant - Crescendo'!F51+'Gas Plant - D&amp;G'!F51+'Gas Plant - Hallwood'!F51+'Gas Plant - Northstar'!F51+'Gas Plant - Tom Brown'!F51)*Inputs!F40,-('Gas Plant - D&amp;G'!F51)*Inputs!F40)</f>
        <v>-547.20652453470109</v>
      </c>
      <c r="G38" s="100">
        <f>IF(Inputs!$C$8=1,-('Gas Plant - Crescendo'!G51+'Gas Plant - D&amp;G'!G51+'Gas Plant - Hallwood'!G51+'Gas Plant - Northstar'!G51+'Gas Plant - Tom Brown'!G51)*Inputs!G40,-('Gas Plant - D&amp;G'!G51)*Inputs!G40)</f>
        <v>-449.90656774545226</v>
      </c>
      <c r="H38" s="100">
        <f>IF(Inputs!$C$8=1,-('Gas Plant - Crescendo'!H51+'Gas Plant - D&amp;G'!H51+'Gas Plant - Hallwood'!H51+'Gas Plant - Northstar'!H51+'Gas Plant - Tom Brown'!H51)*Inputs!H40,-('Gas Plant - D&amp;G'!H51)*Inputs!H40)</f>
        <v>-390.12597739429106</v>
      </c>
      <c r="I38" s="100">
        <f>IF(Inputs!$C$8=1,-('Gas Plant - Crescendo'!I51+'Gas Plant - D&amp;G'!I51+'Gas Plant - Hallwood'!I51+'Gas Plant - Northstar'!I51+'Gas Plant - Tom Brown'!I51)*Inputs!I40,-('Gas Plant - D&amp;G'!I51)*Inputs!I40)</f>
        <v>-349.40961413209754</v>
      </c>
      <c r="J38" s="100">
        <f>IF(Inputs!$C$8=1,-('Gas Plant - Crescendo'!J51+'Gas Plant - D&amp;G'!J51+'Gas Plant - Hallwood'!J51+'Gas Plant - Northstar'!J51+'Gas Plant - Tom Brown'!J51)*Inputs!J40,-('Gas Plant - D&amp;G'!J51)*Inputs!J40)</f>
        <v>-319.82059173277918</v>
      </c>
      <c r="K38" s="100">
        <f>IF(Inputs!$C$8=1,-('Gas Plant - Crescendo'!K51+'Gas Plant - D&amp;G'!K51+'Gas Plant - Hallwood'!K51+'Gas Plant - Northstar'!K51+'Gas Plant - Tom Brown'!K51)*Inputs!K40,-('Gas Plant - D&amp;G'!K51)*Inputs!K40)</f>
        <v>-296.39913628956936</v>
      </c>
      <c r="L38" s="100">
        <f>IF(Inputs!$C$8=1,-('Gas Plant - Crescendo'!L51+'Gas Plant - D&amp;G'!L51+'Gas Plant - Hallwood'!L51+'Gas Plant - Northstar'!L51+'Gas Plant - Tom Brown'!L51)*Inputs!L40,-('Gas Plant - D&amp;G'!L51)*Inputs!L40)</f>
        <v>-275.92659913899661</v>
      </c>
      <c r="M38" s="100">
        <f>IF(Inputs!$C$8=1,-('Gas Plant - Crescendo'!M51+'Gas Plant - D&amp;G'!M51+'Gas Plant - Hallwood'!M51+'Gas Plant - Northstar'!M51+'Gas Plant - Tom Brown'!M51)*Inputs!M40,-('Gas Plant - D&amp;G'!M51)*Inputs!M40)</f>
        <v>-258.40731911048755</v>
      </c>
      <c r="N38" s="100">
        <f>IF(Inputs!$C$8=1,-('Gas Plant - Crescendo'!N51+'Gas Plant - D&amp;G'!N51+'Gas Plant - Hallwood'!N51+'Gas Plant - Northstar'!N51+'Gas Plant - Tom Brown'!N51)*Inputs!N40,-('Gas Plant - D&amp;G'!N51)*Inputs!N40)</f>
        <v>-240.0474702833574</v>
      </c>
      <c r="O38" s="92"/>
    </row>
    <row r="39" spans="1:15" ht="4.5" customHeight="1" x14ac:dyDescent="0.3"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</row>
    <row r="40" spans="1:15" s="20" customFormat="1" x14ac:dyDescent="0.3">
      <c r="A40" s="20" t="s">
        <v>84</v>
      </c>
      <c r="E40" s="104">
        <f>E36+E38</f>
        <v>1177.3282271488415</v>
      </c>
      <c r="F40" s="104">
        <f t="shared" ref="F40:N40" si="5">F36+F38</f>
        <v>1556.186091233053</v>
      </c>
      <c r="G40" s="104">
        <f t="shared" si="5"/>
        <v>1380.7078083657977</v>
      </c>
      <c r="H40" s="104">
        <f t="shared" si="5"/>
        <v>1258.946105330358</v>
      </c>
      <c r="I40" s="104">
        <f t="shared" si="5"/>
        <v>1145.5977733244495</v>
      </c>
      <c r="J40" s="104">
        <f t="shared" si="5"/>
        <v>1050.0615647851905</v>
      </c>
      <c r="K40" s="104">
        <f t="shared" si="5"/>
        <v>957.559038232631</v>
      </c>
      <c r="L40" s="104">
        <f t="shared" si="5"/>
        <v>887.89808599003482</v>
      </c>
      <c r="M40" s="104">
        <f t="shared" si="5"/>
        <v>820.46369849941448</v>
      </c>
      <c r="N40" s="104">
        <f t="shared" si="5"/>
        <v>755.52221306818365</v>
      </c>
      <c r="O40" s="104"/>
    </row>
    <row r="41" spans="1:15" ht="4.5" customHeight="1" x14ac:dyDescent="0.3"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</row>
    <row r="42" spans="1:15" x14ac:dyDescent="0.3">
      <c r="A42" s="3" t="s">
        <v>79</v>
      </c>
      <c r="E42" s="100">
        <f>((-OandM/1000-Inputs!E100/1000)*Inputs!E40/365)*(1+Inputs!$D$99)^(YEAR('Cash Flow'!E2)-YEAR('Cash Flow'!$E$2))</f>
        <v>-690.88942861700139</v>
      </c>
      <c r="F42" s="100">
        <f>((-OandM/1000-Inputs!F100/1000)*Inputs!F40/365)*(1+Inputs!$D$99)^(YEAR('Cash Flow'!F2)-YEAR('Cash Flow'!$E$2))</f>
        <v>-1075.1788482376053</v>
      </c>
      <c r="G42" s="100">
        <f>((-OandM/1000-Inputs!G100/1000)*Inputs!G40/365)*(1+Inputs!$D$99)^(YEAR('Cash Flow'!G2)-YEAR('Cash Flow'!$E$2))</f>
        <v>-1058.787409672841</v>
      </c>
      <c r="H42" s="100">
        <f>((-OandM/1000-Inputs!H100/1000)*Inputs!H40/365)*(1+Inputs!$D$99)^(YEAR('Cash Flow'!H2)-YEAR('Cash Flow'!$E$2))</f>
        <v>-1046.5472657693492</v>
      </c>
      <c r="I42" s="100">
        <f>((-OandM/1000-Inputs!I100/1000)*Inputs!I40/365)*(1+Inputs!$D$99)^(YEAR('Cash Flow'!I2)-YEAR('Cash Flow'!$E$2))</f>
        <v>-1029.0322980284611</v>
      </c>
      <c r="J42" s="100">
        <f>((-OandM/1000-Inputs!J100/1000)*Inputs!J40/365)*(1+Inputs!$D$99)^(YEAR('Cash Flow'!J2)-YEAR('Cash Flow'!$E$2))</f>
        <v>-1019.9829007836972</v>
      </c>
      <c r="K42" s="100">
        <f>((-OandM/1000-Inputs!K100/1000)*Inputs!K40/365)*(1+Inputs!$D$99)^(YEAR('Cash Flow'!K2)-YEAR('Cash Flow'!$E$2))</f>
        <v>-1013.7407891713482</v>
      </c>
      <c r="L42" s="100">
        <f>((-OandM/1000-Inputs!L100/1000)*Inputs!L40/365)*(1+Inputs!$D$99)^(YEAR('Cash Flow'!L2)-YEAR('Cash Flow'!$E$2))</f>
        <v>-1012.8497787001805</v>
      </c>
      <c r="M42" s="100">
        <f>((-OandM/1000-Inputs!M100/1000)*Inputs!M40/365)*(1+Inputs!$D$99)^(YEAR('Cash Flow'!M2)-YEAR('Cash Flow'!$E$2))</f>
        <v>-1005.9152161392697</v>
      </c>
      <c r="N42" s="100">
        <f>((-OandM/1000-Inputs!N100/1000)*Inputs!N40/365)*(1+Inputs!$D$99)^(YEAR('Cash Flow'!N2)-YEAR('Cash Flow'!$E$2))</f>
        <v>-1002.2808768490113</v>
      </c>
      <c r="O42" s="92"/>
    </row>
    <row r="43" spans="1:15" x14ac:dyDescent="0.3">
      <c r="A43" s="3" t="s">
        <v>80</v>
      </c>
      <c r="E43" s="132">
        <f>-GandA/1000*Inputs!E40/365</f>
        <v>-135.61643835616439</v>
      </c>
      <c r="F43" s="132">
        <f>-GandA/1000*Inputs!F40/365</f>
        <v>-180</v>
      </c>
      <c r="G43" s="132">
        <f>-GandA/1000*Inputs!G40/365</f>
        <v>-180</v>
      </c>
      <c r="H43" s="132">
        <f>-GandA/1000*Inputs!H40/365</f>
        <v>-180.49315068493149</v>
      </c>
      <c r="I43" s="132">
        <f>-GandA/1000*Inputs!I40/365</f>
        <v>-180</v>
      </c>
      <c r="J43" s="132">
        <f>-GandA/1000*Inputs!J40/365</f>
        <v>-180</v>
      </c>
      <c r="K43" s="132">
        <f>-GandA/1000*Inputs!K40/365</f>
        <v>-180</v>
      </c>
      <c r="L43" s="132">
        <f>-GandA/1000*Inputs!L40/365</f>
        <v>-180.49315068493149</v>
      </c>
      <c r="M43" s="132">
        <f>-GandA/1000*Inputs!M40/365</f>
        <v>-180</v>
      </c>
      <c r="N43" s="132">
        <f>-GandA/1000*Inputs!N40/365</f>
        <v>-180</v>
      </c>
      <c r="O43" s="92"/>
    </row>
    <row r="44" spans="1:15" x14ac:dyDescent="0.3">
      <c r="A44" s="3" t="s">
        <v>109</v>
      </c>
      <c r="E44" s="132">
        <f>-Inputs!$D$102/1000*Inputs!E40/365</f>
        <v>-86.643835616438352</v>
      </c>
      <c r="F44" s="132">
        <f>-Inputs!$D$102/1000*Inputs!F40/365</f>
        <v>-115</v>
      </c>
      <c r="G44" s="132">
        <f>-Inputs!$D$102/1000*Inputs!G40/365</f>
        <v>-115</v>
      </c>
      <c r="H44" s="132">
        <f>-Inputs!$D$102/1000*Inputs!H40/365</f>
        <v>-115.31506849315069</v>
      </c>
      <c r="I44" s="132">
        <f>-Inputs!$D$102/1000*Inputs!I40/365</f>
        <v>-115</v>
      </c>
      <c r="J44" s="132">
        <f>-Inputs!$D$102/1000*Inputs!J40/365</f>
        <v>-115</v>
      </c>
      <c r="K44" s="132">
        <f>-Inputs!$D$102/1000*Inputs!K40/365</f>
        <v>-115</v>
      </c>
      <c r="L44" s="132">
        <f>-Inputs!$D$102/1000*Inputs!L40/365</f>
        <v>-115.31506849315069</v>
      </c>
      <c r="M44" s="132">
        <f>-Inputs!$D$102/1000*Inputs!M40/365</f>
        <v>-115</v>
      </c>
      <c r="N44" s="132">
        <f>-Inputs!$D$102/1000*Inputs!N40/365</f>
        <v>-115</v>
      </c>
      <c r="O44" s="92"/>
    </row>
    <row r="45" spans="1:15" x14ac:dyDescent="0.3">
      <c r="A45" s="3" t="s">
        <v>120</v>
      </c>
      <c r="E45" s="105">
        <f>-Inputs!$D$104*'Cash Flow'!E34</f>
        <v>-26.561332699405341</v>
      </c>
      <c r="F45" s="105">
        <f>-Inputs!$D$104*'Cash Flow'!F34</f>
        <v>-27.049116944547205</v>
      </c>
      <c r="G45" s="105">
        <f>-Inputs!$D$104*'Cash Flow'!G34</f>
        <v>-22.019139808139109</v>
      </c>
      <c r="H45" s="105">
        <f>-Inputs!$D$104*'Cash Flow'!H34</f>
        <v>-19.4197532322443</v>
      </c>
      <c r="I45" s="105">
        <f>-Inputs!$D$104*'Cash Flow'!I34</f>
        <v>-17.327147500817624</v>
      </c>
      <c r="J45" s="105">
        <f>-Inputs!$D$104*'Cash Flow'!J34</f>
        <v>-15.700465926536355</v>
      </c>
      <c r="K45" s="105">
        <f>-Inputs!$D$104*'Cash Flow'!K34</f>
        <v>-14.045402794587076</v>
      </c>
      <c r="L45" s="105">
        <f>-Inputs!$D$104*'Cash Flow'!L34</f>
        <v>-13.104051405156799</v>
      </c>
      <c r="M45" s="105">
        <f>-Inputs!$D$104*'Cash Flow'!M34</f>
        <v>-12.256499477043935</v>
      </c>
      <c r="N45" s="105">
        <f>-Inputs!$D$104*'Cash Flow'!N34</f>
        <v>-11.336355670973507</v>
      </c>
      <c r="O45" s="92"/>
    </row>
    <row r="46" spans="1:15" x14ac:dyDescent="0.3">
      <c r="A46" s="3"/>
      <c r="E46" s="100">
        <f>SUM(E42:E45)</f>
        <v>-939.71103528900949</v>
      </c>
      <c r="F46" s="100">
        <f t="shared" ref="F46:N46" si="6">SUM(F42:F45)</f>
        <v>-1397.2279651821525</v>
      </c>
      <c r="G46" s="100">
        <f t="shared" si="6"/>
        <v>-1375.80654948098</v>
      </c>
      <c r="H46" s="100">
        <f t="shared" si="6"/>
        <v>-1361.7752381796756</v>
      </c>
      <c r="I46" s="100">
        <f t="shared" si="6"/>
        <v>-1341.3594455292787</v>
      </c>
      <c r="J46" s="100">
        <f t="shared" si="6"/>
        <v>-1330.6833667102335</v>
      </c>
      <c r="K46" s="100">
        <f t="shared" si="6"/>
        <v>-1322.7861919659354</v>
      </c>
      <c r="L46" s="100">
        <f t="shared" si="6"/>
        <v>-1321.7620492834194</v>
      </c>
      <c r="M46" s="100">
        <f t="shared" si="6"/>
        <v>-1313.1717156163136</v>
      </c>
      <c r="N46" s="100">
        <f t="shared" si="6"/>
        <v>-1308.6172325199848</v>
      </c>
      <c r="O46" s="92"/>
    </row>
    <row r="47" spans="1:15" ht="5.25" customHeight="1" x14ac:dyDescent="0.3"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</row>
    <row r="48" spans="1:15" s="20" customFormat="1" x14ac:dyDescent="0.3">
      <c r="A48" s="88" t="s">
        <v>85</v>
      </c>
      <c r="B48" s="88"/>
      <c r="C48" s="88"/>
      <c r="D48" s="88"/>
      <c r="E48" s="103">
        <f>E40+E46</f>
        <v>237.61719185983202</v>
      </c>
      <c r="F48" s="103">
        <f t="shared" ref="F48:N48" si="7">F40+F46</f>
        <v>158.95812605090055</v>
      </c>
      <c r="G48" s="103">
        <f t="shared" si="7"/>
        <v>4.9012588848177074</v>
      </c>
      <c r="H48" s="103">
        <f t="shared" si="7"/>
        <v>-102.8291328493176</v>
      </c>
      <c r="I48" s="103">
        <f t="shared" si="7"/>
        <v>-195.76167220482921</v>
      </c>
      <c r="J48" s="103">
        <f t="shared" si="7"/>
        <v>-280.62180192504297</v>
      </c>
      <c r="K48" s="103">
        <f t="shared" si="7"/>
        <v>-365.22715373330436</v>
      </c>
      <c r="L48" s="103">
        <f t="shared" si="7"/>
        <v>-433.86396329338459</v>
      </c>
      <c r="M48" s="103">
        <f t="shared" si="7"/>
        <v>-492.7080171168991</v>
      </c>
      <c r="N48" s="103">
        <f t="shared" si="7"/>
        <v>-553.09501945180114</v>
      </c>
      <c r="O48" s="104"/>
    </row>
    <row r="49" spans="1:15" ht="4.5" customHeight="1" x14ac:dyDescent="0.3"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x14ac:dyDescent="0.3">
      <c r="A50" s="3" t="s">
        <v>86</v>
      </c>
      <c r="E50" s="100">
        <f>-Inputs!E111/1000</f>
        <v>0</v>
      </c>
      <c r="F50" s="100">
        <f>Inputs!F111</f>
        <v>0</v>
      </c>
      <c r="G50" s="100">
        <f>Inputs!G111</f>
        <v>0</v>
      </c>
      <c r="H50" s="100">
        <f>Inputs!H111</f>
        <v>0</v>
      </c>
      <c r="I50" s="100">
        <f>Inputs!I111</f>
        <v>0</v>
      </c>
      <c r="J50" s="100">
        <f>Inputs!J111</f>
        <v>0</v>
      </c>
      <c r="K50" s="100">
        <f>Inputs!K111</f>
        <v>0</v>
      </c>
      <c r="L50" s="100">
        <f>Inputs!L111</f>
        <v>0</v>
      </c>
      <c r="M50" s="100">
        <f>Inputs!M111</f>
        <v>0</v>
      </c>
      <c r="N50" s="100">
        <f>Inputs!N111</f>
        <v>0</v>
      </c>
      <c r="O50" s="106" t="s">
        <v>91</v>
      </c>
    </row>
    <row r="51" spans="1:15" ht="4.5" customHeight="1" x14ac:dyDescent="0.3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07"/>
    </row>
    <row r="52" spans="1:15" s="20" customFormat="1" x14ac:dyDescent="0.3">
      <c r="A52" s="88" t="s">
        <v>87</v>
      </c>
      <c r="B52" s="88"/>
      <c r="C52" s="88"/>
      <c r="D52" s="88"/>
      <c r="E52" s="103">
        <f>E48+E50</f>
        <v>237.61719185983202</v>
      </c>
      <c r="F52" s="103">
        <f t="shared" ref="F52:N52" si="8">F48+F50</f>
        <v>158.95812605090055</v>
      </c>
      <c r="G52" s="103">
        <f t="shared" si="8"/>
        <v>4.9012588848177074</v>
      </c>
      <c r="H52" s="103">
        <f t="shared" si="8"/>
        <v>-102.8291328493176</v>
      </c>
      <c r="I52" s="103">
        <f t="shared" si="8"/>
        <v>-195.76167220482921</v>
      </c>
      <c r="J52" s="103">
        <f t="shared" si="8"/>
        <v>-280.62180192504297</v>
      </c>
      <c r="K52" s="103">
        <f t="shared" si="8"/>
        <v>-365.22715373330436</v>
      </c>
      <c r="L52" s="103">
        <f t="shared" si="8"/>
        <v>-433.86396329338459</v>
      </c>
      <c r="M52" s="103">
        <f t="shared" si="8"/>
        <v>-492.7080171168991</v>
      </c>
      <c r="N52" s="103">
        <f t="shared" si="8"/>
        <v>-553.09501945180114</v>
      </c>
      <c r="O52" s="108">
        <f>MAX(0,N52*(1/(Discount_Rate+Inputs!$I$3)))</f>
        <v>0</v>
      </c>
    </row>
    <row r="53" spans="1:15" x14ac:dyDescent="0.3">
      <c r="O53" s="116"/>
    </row>
    <row r="54" spans="1:15" x14ac:dyDescent="0.3">
      <c r="E54" s="110"/>
      <c r="F54" s="110"/>
      <c r="G54" s="110"/>
      <c r="H54" s="110"/>
    </row>
    <row r="55" spans="1:15" ht="15.6" x14ac:dyDescent="0.3">
      <c r="E55" s="110"/>
      <c r="F55" s="111" t="s">
        <v>93</v>
      </c>
      <c r="G55" s="112">
        <f ca="1">SUMPRODUCT(E3:O3,E52:O52)</f>
        <v>-500.33241162117019</v>
      </c>
      <c r="H55" s="110"/>
    </row>
    <row r="56" spans="1:15" x14ac:dyDescent="0.3">
      <c r="E56" s="110"/>
      <c r="F56" s="113" t="s">
        <v>94</v>
      </c>
      <c r="G56" s="114">
        <f ca="1">ValDate</f>
        <v>36878</v>
      </c>
      <c r="H56" s="110"/>
    </row>
    <row r="57" spans="1:15" x14ac:dyDescent="0.3">
      <c r="E57" s="110"/>
      <c r="F57" s="113" t="s">
        <v>95</v>
      </c>
      <c r="G57" s="115">
        <f>Discount_Rate</f>
        <v>0.15</v>
      </c>
      <c r="H57" s="110"/>
    </row>
    <row r="58" spans="1:15" x14ac:dyDescent="0.3">
      <c r="E58" s="110"/>
      <c r="F58" s="110"/>
      <c r="G58" s="110"/>
      <c r="H58" s="110"/>
    </row>
    <row r="61" spans="1:15" x14ac:dyDescent="0.3">
      <c r="E61" s="92"/>
      <c r="F61" s="92"/>
      <c r="G61" s="92"/>
      <c r="H61" s="92"/>
      <c r="I61" s="92"/>
      <c r="J61" s="92"/>
      <c r="K61" s="92"/>
      <c r="L61" s="92"/>
      <c r="M61" s="92"/>
      <c r="N61" s="92"/>
    </row>
  </sheetData>
  <pageMargins left="0.75" right="0.75" top="1" bottom="1" header="0.5" footer="0.5"/>
  <pageSetup scale="71" orientation="landscape" r:id="rId1"/>
  <headerFooter alignWithMargins="0">
    <oddHeader>&amp;CWildhorse South Valuation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Notes</vt:lpstr>
      <vt:lpstr>Inputs</vt:lpstr>
      <vt:lpstr>Curves</vt:lpstr>
      <vt:lpstr>Gas Plant - Crescendo</vt:lpstr>
      <vt:lpstr>Gas Plant - D&amp;G</vt:lpstr>
      <vt:lpstr>Gas Plant - Hallwood</vt:lpstr>
      <vt:lpstr>Gas Plant - Northstar</vt:lpstr>
      <vt:lpstr>Gas Plant - Tom Brown</vt:lpstr>
      <vt:lpstr>Cash Flow</vt:lpstr>
      <vt:lpstr>Discount_Rate</vt:lpstr>
      <vt:lpstr>GandA</vt:lpstr>
      <vt:lpstr>OandM</vt:lpstr>
      <vt:lpstr>'Cash Flow'!Print_Area</vt:lpstr>
      <vt:lpstr>Inputs!Print_Area</vt:lpstr>
      <vt:lpstr>Sale_Date</vt:lpstr>
      <vt:lpstr>ValDate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2000-12-19T00:44:46Z</cp:lastPrinted>
  <dcterms:created xsi:type="dcterms:W3CDTF">2000-12-11T13:01:53Z</dcterms:created>
  <dcterms:modified xsi:type="dcterms:W3CDTF">2023-09-10T15:49:39Z</dcterms:modified>
</cp:coreProperties>
</file>