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328"/>
  </bookViews>
  <sheets>
    <sheet name="Volumes" sheetId="1" r:id="rId1"/>
    <sheet name="Prices" sheetId="2" r:id="rId2"/>
    <sheet name="Sheet3" sheetId="3" r:id="rId3"/>
  </sheets>
  <definedNames>
    <definedName name="_xlnm.Print_Area" localSheetId="1">Prices!$A$1:$F$39</definedName>
    <definedName name="_xlnm.Print_Area" localSheetId="0">Volumes!$A$1:$AA$54</definedName>
  </definedNames>
  <calcPr calcId="92512"/>
</workbook>
</file>

<file path=xl/calcChain.xml><?xml version="1.0" encoding="utf-8"?>
<calcChain xmlns="http://schemas.openxmlformats.org/spreadsheetml/2006/main">
  <c r="C3" i="2" l="1"/>
  <c r="F3" i="2"/>
  <c r="C4" i="2"/>
  <c r="F4" i="2"/>
  <c r="C5" i="2"/>
  <c r="F5" i="2"/>
  <c r="C6" i="2"/>
  <c r="F6" i="2"/>
  <c r="C7" i="2"/>
  <c r="F7" i="2"/>
  <c r="C8" i="2"/>
  <c r="F8" i="2"/>
  <c r="C9" i="2"/>
  <c r="F9" i="2"/>
  <c r="C10" i="2"/>
  <c r="F10" i="2"/>
  <c r="C11" i="2"/>
  <c r="F11" i="2"/>
  <c r="C12" i="2"/>
  <c r="F12" i="2"/>
  <c r="C13" i="2"/>
  <c r="F13" i="2"/>
  <c r="C14" i="2"/>
  <c r="F14" i="2"/>
  <c r="C15" i="2"/>
  <c r="F15" i="2"/>
  <c r="C16" i="2"/>
  <c r="F16" i="2"/>
  <c r="C17" i="2"/>
  <c r="F17" i="2"/>
  <c r="C18" i="2"/>
  <c r="F18" i="2"/>
  <c r="C19" i="2"/>
  <c r="F19" i="2"/>
  <c r="C20" i="2"/>
  <c r="F20" i="2"/>
  <c r="C21" i="2"/>
  <c r="F21" i="2"/>
  <c r="C22" i="2"/>
  <c r="F22" i="2"/>
  <c r="C23" i="2"/>
  <c r="F23" i="2"/>
  <c r="C24" i="2"/>
  <c r="F24" i="2"/>
  <c r="C25" i="2"/>
  <c r="F25" i="2"/>
  <c r="C26" i="2"/>
  <c r="F26" i="2"/>
  <c r="C27" i="2"/>
  <c r="F27" i="2"/>
  <c r="C28" i="2"/>
  <c r="F28" i="2"/>
  <c r="C29" i="2"/>
  <c r="F29" i="2"/>
  <c r="C30" i="2"/>
  <c r="F30" i="2"/>
  <c r="C31" i="2"/>
  <c r="F31" i="2"/>
  <c r="C32" i="2"/>
  <c r="F32" i="2"/>
  <c r="B34" i="2"/>
  <c r="E34" i="2"/>
  <c r="B38" i="2"/>
  <c r="E38" i="2"/>
  <c r="E9" i="1"/>
  <c r="I9" i="1"/>
  <c r="K9" i="1"/>
  <c r="M9" i="1"/>
  <c r="N9" i="1"/>
  <c r="O9" i="1"/>
  <c r="S9" i="1"/>
  <c r="T9" i="1"/>
  <c r="U9" i="1"/>
  <c r="Z9" i="1"/>
  <c r="AA9" i="1"/>
  <c r="E10" i="1"/>
  <c r="I10" i="1"/>
  <c r="K10" i="1"/>
  <c r="M10" i="1"/>
  <c r="N10" i="1"/>
  <c r="O10" i="1"/>
  <c r="T10" i="1"/>
  <c r="U10" i="1"/>
  <c r="Z10" i="1"/>
  <c r="AA10" i="1"/>
  <c r="E11" i="1"/>
  <c r="I11" i="1"/>
  <c r="K11" i="1"/>
  <c r="M11" i="1"/>
  <c r="N11" i="1"/>
  <c r="O11" i="1"/>
  <c r="T11" i="1"/>
  <c r="U11" i="1"/>
  <c r="Z11" i="1"/>
  <c r="AA11" i="1"/>
  <c r="E12" i="1"/>
  <c r="I12" i="1"/>
  <c r="K12" i="1"/>
  <c r="M12" i="1"/>
  <c r="N12" i="1"/>
  <c r="O12" i="1"/>
  <c r="T12" i="1"/>
  <c r="U12" i="1"/>
  <c r="Z12" i="1"/>
  <c r="AA12" i="1"/>
  <c r="E13" i="1"/>
  <c r="I13" i="1"/>
  <c r="K13" i="1"/>
  <c r="M13" i="1"/>
  <c r="N13" i="1"/>
  <c r="O13" i="1"/>
  <c r="T13" i="1"/>
  <c r="U13" i="1"/>
  <c r="Z13" i="1"/>
  <c r="AA13" i="1"/>
  <c r="E14" i="1"/>
  <c r="I14" i="1"/>
  <c r="K14" i="1"/>
  <c r="M14" i="1"/>
  <c r="N14" i="1"/>
  <c r="O14" i="1"/>
  <c r="T14" i="1"/>
  <c r="U14" i="1"/>
  <c r="Z14" i="1"/>
  <c r="AA14" i="1"/>
  <c r="E15" i="1"/>
  <c r="I15" i="1"/>
  <c r="K15" i="1"/>
  <c r="M15" i="1"/>
  <c r="N15" i="1"/>
  <c r="O15" i="1"/>
  <c r="T15" i="1"/>
  <c r="U15" i="1"/>
  <c r="Z15" i="1"/>
  <c r="AA15" i="1"/>
  <c r="E16" i="1"/>
  <c r="I16" i="1"/>
  <c r="K16" i="1"/>
  <c r="M16" i="1"/>
  <c r="N16" i="1"/>
  <c r="O16" i="1"/>
  <c r="T16" i="1"/>
  <c r="U16" i="1"/>
  <c r="Z16" i="1"/>
  <c r="AA16" i="1"/>
  <c r="E17" i="1"/>
  <c r="I17" i="1"/>
  <c r="K17" i="1"/>
  <c r="M17" i="1"/>
  <c r="N17" i="1"/>
  <c r="O17" i="1"/>
  <c r="T17" i="1"/>
  <c r="U17" i="1"/>
  <c r="Z17" i="1"/>
  <c r="AA17" i="1"/>
  <c r="E18" i="1"/>
  <c r="I18" i="1"/>
  <c r="K18" i="1"/>
  <c r="M18" i="1"/>
  <c r="N18" i="1"/>
  <c r="O18" i="1"/>
  <c r="T18" i="1"/>
  <c r="U18" i="1"/>
  <c r="Z18" i="1"/>
  <c r="AA18" i="1"/>
  <c r="E19" i="1"/>
  <c r="I19" i="1"/>
  <c r="K19" i="1"/>
  <c r="M19" i="1"/>
  <c r="N19" i="1"/>
  <c r="O19" i="1"/>
  <c r="T19" i="1"/>
  <c r="U19" i="1"/>
  <c r="Z19" i="1"/>
  <c r="AA19" i="1"/>
  <c r="E20" i="1"/>
  <c r="I20" i="1"/>
  <c r="K20" i="1"/>
  <c r="M20" i="1"/>
  <c r="N20" i="1"/>
  <c r="O20" i="1"/>
  <c r="T20" i="1"/>
  <c r="U20" i="1"/>
  <c r="Z20" i="1"/>
  <c r="AA20" i="1"/>
  <c r="E21" i="1"/>
  <c r="I21" i="1"/>
  <c r="K21" i="1"/>
  <c r="M21" i="1"/>
  <c r="N21" i="1"/>
  <c r="O21" i="1"/>
  <c r="T21" i="1"/>
  <c r="U21" i="1"/>
  <c r="Z21" i="1"/>
  <c r="AA21" i="1"/>
  <c r="E22" i="1"/>
  <c r="I22" i="1"/>
  <c r="K22" i="1"/>
  <c r="M22" i="1"/>
  <c r="N22" i="1"/>
  <c r="O22" i="1"/>
  <c r="T22" i="1"/>
  <c r="U22" i="1"/>
  <c r="Z22" i="1"/>
  <c r="AA22" i="1"/>
  <c r="E23" i="1"/>
  <c r="I23" i="1"/>
  <c r="K23" i="1"/>
  <c r="M23" i="1"/>
  <c r="N23" i="1"/>
  <c r="O23" i="1"/>
  <c r="T23" i="1"/>
  <c r="U23" i="1"/>
  <c r="Z23" i="1"/>
  <c r="AA23" i="1"/>
  <c r="E24" i="1"/>
  <c r="I24" i="1"/>
  <c r="K24" i="1"/>
  <c r="M24" i="1"/>
  <c r="N24" i="1"/>
  <c r="O24" i="1"/>
  <c r="T24" i="1"/>
  <c r="U24" i="1"/>
  <c r="Z24" i="1"/>
  <c r="AA24" i="1"/>
  <c r="E25" i="1"/>
  <c r="I25" i="1"/>
  <c r="K25" i="1"/>
  <c r="M25" i="1"/>
  <c r="N25" i="1"/>
  <c r="O25" i="1"/>
  <c r="T25" i="1"/>
  <c r="U25" i="1"/>
  <c r="Z25" i="1"/>
  <c r="AA25" i="1"/>
  <c r="E26" i="1"/>
  <c r="I26" i="1"/>
  <c r="K26" i="1"/>
  <c r="M26" i="1"/>
  <c r="N26" i="1"/>
  <c r="O26" i="1"/>
  <c r="T26" i="1"/>
  <c r="U26" i="1"/>
  <c r="Z26" i="1"/>
  <c r="AA26" i="1"/>
  <c r="E27" i="1"/>
  <c r="I27" i="1"/>
  <c r="K27" i="1"/>
  <c r="M27" i="1"/>
  <c r="N27" i="1"/>
  <c r="O27" i="1"/>
  <c r="T27" i="1"/>
  <c r="U27" i="1"/>
  <c r="Z27" i="1"/>
  <c r="AA27" i="1"/>
  <c r="E28" i="1"/>
  <c r="I28" i="1"/>
  <c r="K28" i="1"/>
  <c r="M28" i="1"/>
  <c r="N28" i="1"/>
  <c r="O28" i="1"/>
  <c r="T28" i="1"/>
  <c r="U28" i="1"/>
  <c r="Z28" i="1"/>
  <c r="AA28" i="1"/>
  <c r="E29" i="1"/>
  <c r="I29" i="1"/>
  <c r="K29" i="1"/>
  <c r="M29" i="1"/>
  <c r="N29" i="1"/>
  <c r="O29" i="1"/>
  <c r="T29" i="1"/>
  <c r="U29" i="1"/>
  <c r="Z29" i="1"/>
  <c r="AA29" i="1"/>
  <c r="E30" i="1"/>
  <c r="I30" i="1"/>
  <c r="K30" i="1"/>
  <c r="M30" i="1"/>
  <c r="N30" i="1"/>
  <c r="O30" i="1"/>
  <c r="T30" i="1"/>
  <c r="U30" i="1"/>
  <c r="Z30" i="1"/>
  <c r="AA30" i="1"/>
  <c r="E31" i="1"/>
  <c r="I31" i="1"/>
  <c r="K31" i="1"/>
  <c r="M31" i="1"/>
  <c r="N31" i="1"/>
  <c r="O31" i="1"/>
  <c r="T31" i="1"/>
  <c r="U31" i="1"/>
  <c r="Z31" i="1"/>
  <c r="AA31" i="1"/>
  <c r="E32" i="1"/>
  <c r="I32" i="1"/>
  <c r="K32" i="1"/>
  <c r="M32" i="1"/>
  <c r="N32" i="1"/>
  <c r="O32" i="1"/>
  <c r="T32" i="1"/>
  <c r="U32" i="1"/>
  <c r="Z32" i="1"/>
  <c r="AA32" i="1"/>
  <c r="E33" i="1"/>
  <c r="I33" i="1"/>
  <c r="K33" i="1"/>
  <c r="M33" i="1"/>
  <c r="N33" i="1"/>
  <c r="O33" i="1"/>
  <c r="T33" i="1"/>
  <c r="U33" i="1"/>
  <c r="Z33" i="1"/>
  <c r="AA33" i="1"/>
  <c r="E34" i="1"/>
  <c r="I34" i="1"/>
  <c r="K34" i="1"/>
  <c r="M34" i="1"/>
  <c r="N34" i="1"/>
  <c r="O34" i="1"/>
  <c r="T34" i="1"/>
  <c r="U34" i="1"/>
  <c r="Z34" i="1"/>
  <c r="AA34" i="1"/>
  <c r="E35" i="1"/>
  <c r="I35" i="1"/>
  <c r="K35" i="1"/>
  <c r="M35" i="1"/>
  <c r="N35" i="1"/>
  <c r="O35" i="1"/>
  <c r="T35" i="1"/>
  <c r="U35" i="1"/>
  <c r="Z35" i="1"/>
  <c r="AA35" i="1"/>
  <c r="E36" i="1"/>
  <c r="I36" i="1"/>
  <c r="K36" i="1"/>
  <c r="M36" i="1"/>
  <c r="N36" i="1"/>
  <c r="O36" i="1"/>
  <c r="T36" i="1"/>
  <c r="U36" i="1"/>
  <c r="Z36" i="1"/>
  <c r="AA36" i="1"/>
  <c r="E37" i="1"/>
  <c r="I37" i="1"/>
  <c r="K37" i="1"/>
  <c r="M37" i="1"/>
  <c r="N37" i="1"/>
  <c r="O37" i="1"/>
  <c r="T37" i="1"/>
  <c r="U37" i="1"/>
  <c r="Z37" i="1"/>
  <c r="AA37" i="1"/>
  <c r="E38" i="1"/>
  <c r="I38" i="1"/>
  <c r="K38" i="1"/>
  <c r="M38" i="1"/>
  <c r="N38" i="1"/>
  <c r="O38" i="1"/>
  <c r="T38" i="1"/>
  <c r="U38" i="1"/>
  <c r="Z38" i="1"/>
  <c r="AA38" i="1"/>
  <c r="I39" i="1"/>
  <c r="K39" i="1"/>
  <c r="S39" i="1"/>
  <c r="Z39" i="1"/>
  <c r="AA39" i="1"/>
  <c r="B40" i="1"/>
  <c r="C40" i="1"/>
  <c r="D40" i="1"/>
  <c r="E40" i="1"/>
  <c r="G40" i="1"/>
  <c r="H40" i="1"/>
  <c r="I40" i="1"/>
  <c r="K40" i="1"/>
  <c r="M40" i="1"/>
  <c r="N40" i="1"/>
  <c r="O40" i="1"/>
  <c r="Q40" i="1"/>
  <c r="S40" i="1"/>
  <c r="U40" i="1"/>
  <c r="AA40" i="1"/>
  <c r="D43" i="1"/>
  <c r="G43" i="1"/>
  <c r="AA43" i="1"/>
  <c r="D46" i="1"/>
  <c r="AA46" i="1"/>
  <c r="AA51" i="1"/>
</calcChain>
</file>

<file path=xl/sharedStrings.xml><?xml version="1.0" encoding="utf-8"?>
<sst xmlns="http://schemas.openxmlformats.org/spreadsheetml/2006/main" count="55" uniqueCount="38">
  <si>
    <t>#6780</t>
  </si>
  <si>
    <t>OPL</t>
  </si>
  <si>
    <t>Deal #:</t>
  </si>
  <si>
    <t>Meter#:</t>
  </si>
  <si>
    <t>HPL</t>
  </si>
  <si>
    <t>Pipe:</t>
  </si>
  <si>
    <t>Buyback</t>
  </si>
  <si>
    <t>Katy Deliveries</t>
  </si>
  <si>
    <t>Waha Deliveries</t>
  </si>
  <si>
    <t>Total Less Buyback</t>
  </si>
  <si>
    <t>Guadalupe Power Partners LP</t>
  </si>
  <si>
    <t>Katy Hub</t>
  </si>
  <si>
    <t>Waha Hub</t>
  </si>
  <si>
    <t>Average</t>
  </si>
  <si>
    <t>Contract</t>
  </si>
  <si>
    <t>Price</t>
  </si>
  <si>
    <t>WAHA</t>
  </si>
  <si>
    <t>KATY</t>
  </si>
  <si>
    <t>Plus $0.02</t>
  </si>
  <si>
    <t>Plus $.02</t>
  </si>
  <si>
    <t>at a HPL Point HPL receives a $.015 charge per mmbtu</t>
  </si>
  <si>
    <t>Amount</t>
  </si>
  <si>
    <t>Transport Charge</t>
  </si>
  <si>
    <t>TOTAL DAILY</t>
  </si>
  <si>
    <t>FLOW</t>
  </si>
  <si>
    <t>PRICE</t>
  </si>
  <si>
    <t>AMOUNT</t>
  </si>
  <si>
    <t>VOLUME</t>
  </si>
  <si>
    <t>BASELOAD</t>
  </si>
  <si>
    <t>JUNE 2001</t>
  </si>
  <si>
    <t>BASE LOAD GAS FOR THE MONTH OF JUNE 2001</t>
  </si>
  <si>
    <t>SPOT VOLUME</t>
  </si>
  <si>
    <t>TOTAL FLOW</t>
  </si>
  <si>
    <t>OASIS</t>
  </si>
  <si>
    <t>Choose WAHA GDP.DA Index for June 2001 Price so for all volumes received delivered</t>
  </si>
  <si>
    <t>Total Amount on 7-25-01</t>
  </si>
  <si>
    <t>TOTAL VOL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</si>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</sst>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_(&quot;$&quot;* #,##0.0000_);_(&quot;$&quot;* \(#,##0.0000\);_(&quot;$&quot;* &quot;-&quot;????_);_(@_)"/>
    <numFmt numFmtId="169" formatCode="_(* #,##0_);_(* \(#,##0\);_(* &quot;-&quot;??_);_(@_)"/>
    <numFmt numFmtId="171" formatCode="_(&quot;$&quot;* #,##0.0000_);_(&quot;$&quot;* \(#,##0.00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6"/>
      <name val="Comic Sans MS"/>
      <family val="4"/>
    </font>
    <font>
      <b/>
      <sz val="10"/>
      <name val="Comic Sans MS"/>
      <family val="4"/>
    </font>
    <font>
      <sz val="10"/>
      <name val="Comic Sans MS"/>
      <family val="4"/>
    </font>
    <font>
      <sz val="16"/>
      <name val="Comic Sans MS"/>
      <family val="4"/>
    </font>
    <font>
      <sz val="12"/>
      <name val="Comic Sans MS"/>
      <family val="4"/>
    </font>
    <font>
      <b/>
      <sz val="10"/>
      <color indexed="10"/>
      <name val="Comic Sans MS"/>
      <family val="4"/>
    </font>
    <font>
      <b/>
      <sz val="10"/>
      <color indexed="12"/>
      <name val="Comic Sans MS"/>
      <family val="4"/>
    </font>
    <font>
      <b/>
      <sz val="14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14" fontId="2" fillId="0" borderId="0" xfId="0" quotePrefix="1" applyNumberFormat="1" applyFont="1" applyAlignment="1">
      <alignment horizontal="left"/>
    </xf>
    <xf numFmtId="14" fontId="2" fillId="0" borderId="0" xfId="0" quotePrefix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38" fontId="4" fillId="0" borderId="3" xfId="0" applyNumberFormat="1" applyFont="1" applyBorder="1"/>
    <xf numFmtId="38" fontId="4" fillId="0" borderId="4" xfId="0" applyNumberFormat="1" applyFont="1" applyBorder="1"/>
    <xf numFmtId="38" fontId="4" fillId="2" borderId="5" xfId="0" applyNumberFormat="1" applyFont="1" applyFill="1" applyBorder="1"/>
    <xf numFmtId="0" fontId="4" fillId="2" borderId="0" xfId="0" applyFont="1" applyFill="1"/>
    <xf numFmtId="38" fontId="4" fillId="0" borderId="0" xfId="0" applyNumberFormat="1" applyFont="1"/>
    <xf numFmtId="38" fontId="4" fillId="0" borderId="6" xfId="0" applyNumberFormat="1" applyFont="1" applyBorder="1"/>
    <xf numFmtId="38" fontId="4" fillId="0" borderId="7" xfId="0" applyNumberFormat="1" applyFont="1" applyBorder="1"/>
    <xf numFmtId="38" fontId="4" fillId="0" borderId="8" xfId="0" applyNumberFormat="1" applyFont="1" applyBorder="1"/>
    <xf numFmtId="44" fontId="4" fillId="0" borderId="0" xfId="2" applyFont="1"/>
    <xf numFmtId="0" fontId="7" fillId="0" borderId="0" xfId="0" applyFont="1"/>
    <xf numFmtId="165" fontId="4" fillId="0" borderId="0" xfId="0" applyNumberFormat="1" applyFont="1"/>
    <xf numFmtId="44" fontId="4" fillId="0" borderId="0" xfId="1" applyNumberFormat="1" applyFont="1"/>
    <xf numFmtId="44" fontId="4" fillId="0" borderId="0" xfId="0" applyNumberFormat="1" applyFont="1"/>
    <xf numFmtId="44" fontId="4" fillId="0" borderId="9" xfId="1" applyNumberFormat="1" applyFont="1" applyBorder="1"/>
    <xf numFmtId="38" fontId="4" fillId="0" borderId="10" xfId="0" applyNumberFormat="1" applyFont="1" applyBorder="1"/>
    <xf numFmtId="0" fontId="4" fillId="0" borderId="11" xfId="0" applyFont="1" applyBorder="1"/>
    <xf numFmtId="0" fontId="3" fillId="0" borderId="0" xfId="0" applyFont="1" applyAlignment="1">
      <alignment horizontal="right"/>
    </xf>
    <xf numFmtId="44" fontId="3" fillId="0" borderId="0" xfId="0" applyNumberFormat="1" applyFont="1"/>
    <xf numFmtId="0" fontId="3" fillId="0" borderId="0" xfId="0" applyFont="1"/>
    <xf numFmtId="44" fontId="3" fillId="0" borderId="12" xfId="0" applyNumberFormat="1" applyFont="1" applyBorder="1"/>
    <xf numFmtId="38" fontId="4" fillId="0" borderId="0" xfId="0" applyNumberFormat="1" applyFont="1" applyBorder="1"/>
    <xf numFmtId="169" fontId="8" fillId="0" borderId="13" xfId="1" applyNumberFormat="1" applyFont="1" applyBorder="1"/>
    <xf numFmtId="0" fontId="8" fillId="0" borderId="14" xfId="0" applyFont="1" applyBorder="1" applyAlignment="1">
      <alignment horizontal="center"/>
    </xf>
    <xf numFmtId="171" fontId="4" fillId="0" borderId="0" xfId="2" applyNumberFormat="1" applyFont="1"/>
    <xf numFmtId="38" fontId="4" fillId="0" borderId="15" xfId="0" applyNumberFormat="1" applyFont="1" applyBorder="1"/>
    <xf numFmtId="44" fontId="4" fillId="0" borderId="15" xfId="2" applyFont="1" applyBorder="1"/>
    <xf numFmtId="171" fontId="4" fillId="0" borderId="15" xfId="2" applyNumberFormat="1" applyFont="1" applyBorder="1"/>
    <xf numFmtId="0" fontId="9" fillId="0" borderId="0" xfId="0" applyFont="1" applyAlignment="1">
      <alignment horizontal="left"/>
    </xf>
    <xf numFmtId="38" fontId="4" fillId="0" borderId="16" xfId="0" applyNumberFormat="1" applyFont="1" applyBorder="1"/>
    <xf numFmtId="38" fontId="4" fillId="0" borderId="1" xfId="0" applyNumberFormat="1" applyFont="1" applyBorder="1"/>
    <xf numFmtId="0" fontId="8" fillId="0" borderId="0" xfId="0" applyFont="1" applyBorder="1" applyAlignment="1">
      <alignment horizontal="center"/>
    </xf>
    <xf numFmtId="38" fontId="4" fillId="0" borderId="5" xfId="0" applyNumberFormat="1" applyFont="1" applyBorder="1"/>
    <xf numFmtId="0" fontId="4" fillId="0" borderId="0" xfId="0" applyFont="1" applyBorder="1"/>
    <xf numFmtId="40" fontId="4" fillId="0" borderId="0" xfId="0" applyNumberFormat="1" applyFont="1" applyBorder="1"/>
    <xf numFmtId="44" fontId="3" fillId="0" borderId="0" xfId="0" applyNumberFormat="1" applyFont="1" applyBorder="1"/>
    <xf numFmtId="0" fontId="3" fillId="0" borderId="1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1" xfId="0" applyNumberFormat="1" applyFont="1" applyBorder="1"/>
    <xf numFmtId="165" fontId="3" fillId="0" borderId="12" xfId="0" applyNumberFormat="1" applyFont="1" applyBorder="1"/>
    <xf numFmtId="0" fontId="3" fillId="0" borderId="12" xfId="0" applyFont="1" applyBorder="1"/>
    <xf numFmtId="38" fontId="4" fillId="3" borderId="3" xfId="0" applyNumberFormat="1" applyFont="1" applyFill="1" applyBorder="1"/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9"/>
  <sheetViews>
    <sheetView tabSelected="1" zoomScale="85" workbookViewId="0">
      <selection activeCell="K16" sqref="K16"/>
    </sheetView>
  </sheetViews>
  <sheetFormatPr defaultColWidth="9.109375" defaultRowHeight="16.2" x14ac:dyDescent="0.4"/>
  <cols>
    <col min="1" max="1" width="8.88671875" style="3" customWidth="1"/>
    <col min="2" max="3" width="14.109375" style="3" customWidth="1"/>
    <col min="4" max="5" width="15.109375" style="3" customWidth="1"/>
    <col min="6" max="6" width="3" style="3" customWidth="1"/>
    <col min="7" max="7" width="15.6640625" style="3" customWidth="1"/>
    <col min="8" max="8" width="11.6640625" style="3" customWidth="1"/>
    <col min="9" max="9" width="14.5546875" style="3" customWidth="1"/>
    <col min="10" max="10" width="2.44140625" style="3" customWidth="1"/>
    <col min="11" max="11" width="15" style="3" customWidth="1"/>
    <col min="12" max="12" width="2.33203125" style="3" customWidth="1"/>
    <col min="13" max="14" width="13.44140625" style="3" customWidth="1"/>
    <col min="15" max="15" width="18" style="3" customWidth="1"/>
    <col min="16" max="16" width="3.33203125" style="3" customWidth="1"/>
    <col min="17" max="17" width="13.6640625" style="3" customWidth="1"/>
    <col min="18" max="18" width="2.109375" style="3" customWidth="1"/>
    <col min="19" max="19" width="15.5546875" style="3" bestFit="1" customWidth="1"/>
    <col min="20" max="21" width="15.5546875" style="3" customWidth="1"/>
    <col min="22" max="22" width="2.88671875" style="3" customWidth="1"/>
    <col min="23" max="25" width="15.5546875" style="3" customWidth="1"/>
    <col min="26" max="26" width="17.109375" style="3" customWidth="1"/>
    <col min="27" max="27" width="17.88671875" style="3" customWidth="1"/>
    <col min="28" max="16384" width="9.109375" style="3"/>
  </cols>
  <sheetData>
    <row r="1" spans="1:27" ht="25.2" x14ac:dyDescent="0.6">
      <c r="A1" s="1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25.2" x14ac:dyDescent="0.6">
      <c r="A2" s="4" t="s">
        <v>29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7" ht="25.8" thickBot="1" x14ac:dyDescent="0.6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7" ht="17.399999999999999" thickBot="1" x14ac:dyDescent="0.5">
      <c r="A4" s="20" t="s">
        <v>30</v>
      </c>
      <c r="G4" s="32">
        <v>20000</v>
      </c>
    </row>
    <row r="5" spans="1:27" ht="21" x14ac:dyDescent="0.5">
      <c r="A5" s="20"/>
      <c r="Q5" s="3" t="s">
        <v>6</v>
      </c>
      <c r="S5" s="53" t="s">
        <v>4</v>
      </c>
      <c r="T5" s="53"/>
      <c r="U5" s="53"/>
      <c r="W5" s="53" t="s">
        <v>33</v>
      </c>
      <c r="X5" s="53"/>
      <c r="Y5" s="53"/>
    </row>
    <row r="6" spans="1:27" ht="21" x14ac:dyDescent="0.5">
      <c r="A6" s="3" t="s">
        <v>2</v>
      </c>
      <c r="B6" s="33">
        <v>819592</v>
      </c>
      <c r="C6" s="33">
        <v>819594</v>
      </c>
      <c r="D6" s="33"/>
      <c r="E6" s="41"/>
      <c r="G6" s="33"/>
      <c r="H6" s="33"/>
      <c r="I6" s="41"/>
      <c r="N6" s="38" t="s">
        <v>28</v>
      </c>
      <c r="Q6" s="8"/>
      <c r="S6" s="52" t="s">
        <v>31</v>
      </c>
      <c r="T6" s="52"/>
      <c r="U6" s="52"/>
      <c r="W6" s="52" t="s">
        <v>31</v>
      </c>
      <c r="X6" s="52"/>
      <c r="Y6" s="52"/>
    </row>
    <row r="7" spans="1:27" x14ac:dyDescent="0.4">
      <c r="A7" s="3" t="s">
        <v>5</v>
      </c>
      <c r="B7" s="7" t="s">
        <v>4</v>
      </c>
      <c r="C7" s="7" t="s">
        <v>4</v>
      </c>
      <c r="D7" s="7" t="s">
        <v>4</v>
      </c>
      <c r="E7" s="7" t="s">
        <v>32</v>
      </c>
      <c r="F7" s="7"/>
      <c r="G7" s="7" t="s">
        <v>1</v>
      </c>
      <c r="H7" s="7" t="s">
        <v>1</v>
      </c>
      <c r="I7" s="7" t="s">
        <v>32</v>
      </c>
      <c r="K7" s="7" t="s">
        <v>23</v>
      </c>
    </row>
    <row r="8" spans="1:27" ht="16.8" thickBot="1" x14ac:dyDescent="0.45">
      <c r="A8" s="3" t="s">
        <v>3</v>
      </c>
      <c r="B8" s="9" t="s">
        <v>0</v>
      </c>
      <c r="C8" s="9" t="s">
        <v>0</v>
      </c>
      <c r="D8" s="9" t="s">
        <v>0</v>
      </c>
      <c r="E8" s="9" t="s">
        <v>17</v>
      </c>
      <c r="F8" s="9"/>
      <c r="G8" s="9"/>
      <c r="H8" s="9"/>
      <c r="I8" s="9" t="s">
        <v>33</v>
      </c>
      <c r="K8" s="9" t="s">
        <v>24</v>
      </c>
      <c r="M8" s="9" t="s">
        <v>27</v>
      </c>
      <c r="N8" s="9" t="s">
        <v>25</v>
      </c>
      <c r="O8" s="9" t="s">
        <v>26</v>
      </c>
      <c r="Q8" s="3" t="s">
        <v>0</v>
      </c>
      <c r="S8" s="9" t="s">
        <v>37</v>
      </c>
      <c r="T8" s="9" t="s">
        <v>25</v>
      </c>
      <c r="U8" s="9" t="s">
        <v>26</v>
      </c>
      <c r="V8" s="9"/>
      <c r="W8" s="9" t="s">
        <v>36</v>
      </c>
      <c r="X8" s="9" t="s">
        <v>25</v>
      </c>
      <c r="Y8" s="9" t="s">
        <v>26</v>
      </c>
      <c r="Z8" s="9" t="s">
        <v>15</v>
      </c>
      <c r="AA8" s="9" t="s">
        <v>21</v>
      </c>
    </row>
    <row r="9" spans="1:27" x14ac:dyDescent="0.4">
      <c r="A9" s="10">
        <v>1</v>
      </c>
      <c r="B9" s="11">
        <v>20000</v>
      </c>
      <c r="C9" s="51">
        <v>50000</v>
      </c>
      <c r="D9" s="11">
        <v>0</v>
      </c>
      <c r="E9" s="42">
        <f>+B9+C9+D9</f>
        <v>70000</v>
      </c>
      <c r="F9" s="13"/>
      <c r="G9" s="12">
        <v>0</v>
      </c>
      <c r="H9" s="12">
        <v>0</v>
      </c>
      <c r="I9" s="31">
        <f>+G9+H9</f>
        <v>0</v>
      </c>
      <c r="J9" s="14"/>
      <c r="K9" s="15">
        <f>+E9+I9</f>
        <v>70000</v>
      </c>
      <c r="L9" s="14"/>
      <c r="M9" s="15">
        <f>IF($G$4&gt;0,$G$4,0)</f>
        <v>20000</v>
      </c>
      <c r="N9" s="34">
        <f>+Prices!$E$38</f>
        <v>3.6318000000000001</v>
      </c>
      <c r="O9" s="19">
        <f>+N9*M9</f>
        <v>72636</v>
      </c>
      <c r="P9" s="14"/>
      <c r="Q9" s="16">
        <v>0</v>
      </c>
      <c r="S9" s="15">
        <f>+K9-M9</f>
        <v>50000</v>
      </c>
      <c r="T9" s="34">
        <f>+Prices!F3</f>
        <v>3.65</v>
      </c>
      <c r="U9" s="19">
        <f>+T9*S9</f>
        <v>182500</v>
      </c>
      <c r="V9" s="14"/>
      <c r="W9" s="15"/>
      <c r="X9" s="15"/>
      <c r="Y9" s="15"/>
      <c r="Z9" s="21">
        <f>+Prices!F3</f>
        <v>3.65</v>
      </c>
      <c r="AA9" s="22">
        <f>ROUND(Z9*S9,2)</f>
        <v>182500</v>
      </c>
    </row>
    <row r="10" spans="1:27" x14ac:dyDescent="0.4">
      <c r="A10" s="10">
        <v>2</v>
      </c>
      <c r="B10" s="11">
        <v>20000</v>
      </c>
      <c r="C10" s="51">
        <v>48000</v>
      </c>
      <c r="D10" s="11">
        <v>0</v>
      </c>
      <c r="E10" s="42">
        <f t="shared" ref="E10:E38" si="0">+B10+C10+D10</f>
        <v>68000</v>
      </c>
      <c r="F10" s="13"/>
      <c r="G10" s="12">
        <v>0</v>
      </c>
      <c r="H10" s="12">
        <v>0</v>
      </c>
      <c r="I10" s="31">
        <f>+G10+H10</f>
        <v>0</v>
      </c>
      <c r="J10" s="14"/>
      <c r="K10" s="15">
        <f t="shared" ref="K10:K38" si="1">+E10+I10</f>
        <v>68000</v>
      </c>
      <c r="L10" s="14"/>
      <c r="M10" s="15">
        <f t="shared" ref="M10:M38" si="2">IF($G$4&gt;0,$G$4,0)</f>
        <v>20000</v>
      </c>
      <c r="N10" s="34">
        <f>+Prices!$E$38</f>
        <v>3.6318000000000001</v>
      </c>
      <c r="O10" s="19">
        <f t="shared" ref="O10:O38" si="3">+N10*M10</f>
        <v>72636</v>
      </c>
      <c r="P10" s="14"/>
      <c r="Q10" s="17">
        <v>0</v>
      </c>
      <c r="S10" s="15">
        <v>48000</v>
      </c>
      <c r="T10" s="34">
        <f>+Prices!F4</f>
        <v>3.57</v>
      </c>
      <c r="U10" s="19">
        <f t="shared" ref="U10:U38" si="4">+T10*S10</f>
        <v>171360</v>
      </c>
      <c r="V10" s="14"/>
      <c r="W10" s="15"/>
      <c r="X10" s="15"/>
      <c r="Y10" s="15"/>
      <c r="Z10" s="21">
        <f>+Prices!F4</f>
        <v>3.57</v>
      </c>
      <c r="AA10" s="23">
        <f>ROUND((Z10*S10),2)</f>
        <v>171360</v>
      </c>
    </row>
    <row r="11" spans="1:27" x14ac:dyDescent="0.4">
      <c r="A11" s="10">
        <v>3</v>
      </c>
      <c r="B11" s="11">
        <v>20000</v>
      </c>
      <c r="C11" s="51">
        <v>48000</v>
      </c>
      <c r="D11" s="11">
        <v>0</v>
      </c>
      <c r="E11" s="42">
        <f t="shared" si="0"/>
        <v>68000</v>
      </c>
      <c r="F11" s="13"/>
      <c r="G11" s="12">
        <v>0</v>
      </c>
      <c r="H11" s="12">
        <v>0</v>
      </c>
      <c r="I11" s="31">
        <f>+G11+H11</f>
        <v>0</v>
      </c>
      <c r="J11" s="14"/>
      <c r="K11" s="15">
        <f t="shared" si="1"/>
        <v>68000</v>
      </c>
      <c r="L11" s="14"/>
      <c r="M11" s="15">
        <f t="shared" si="2"/>
        <v>20000</v>
      </c>
      <c r="N11" s="34">
        <f>+Prices!$E$38</f>
        <v>3.6318000000000001</v>
      </c>
      <c r="O11" s="19">
        <f t="shared" si="3"/>
        <v>72636</v>
      </c>
      <c r="P11" s="14"/>
      <c r="Q11" s="17">
        <v>0</v>
      </c>
      <c r="S11" s="15">
        <v>48000</v>
      </c>
      <c r="T11" s="34">
        <f>+Prices!F5</f>
        <v>3.57</v>
      </c>
      <c r="U11" s="19">
        <f t="shared" si="4"/>
        <v>171360</v>
      </c>
      <c r="V11" s="14"/>
      <c r="W11" s="15"/>
      <c r="X11" s="15"/>
      <c r="Y11" s="15"/>
      <c r="Z11" s="21">
        <f>+Prices!F5</f>
        <v>3.57</v>
      </c>
      <c r="AA11" s="22">
        <f>ROUND(Z11*S11,2)</f>
        <v>171360</v>
      </c>
    </row>
    <row r="12" spans="1:27" x14ac:dyDescent="0.4">
      <c r="A12" s="10">
        <v>4</v>
      </c>
      <c r="B12" s="11">
        <v>20000</v>
      </c>
      <c r="C12" s="51">
        <v>48000</v>
      </c>
      <c r="D12" s="11">
        <v>0</v>
      </c>
      <c r="E12" s="42">
        <f t="shared" si="0"/>
        <v>68000</v>
      </c>
      <c r="F12" s="13"/>
      <c r="G12" s="12">
        <v>0</v>
      </c>
      <c r="H12" s="12">
        <v>0</v>
      </c>
      <c r="I12" s="31">
        <f t="shared" ref="I12:I32" si="5">+G12+H12</f>
        <v>0</v>
      </c>
      <c r="J12" s="14"/>
      <c r="K12" s="15">
        <f t="shared" si="1"/>
        <v>68000</v>
      </c>
      <c r="L12" s="14"/>
      <c r="M12" s="15">
        <f t="shared" si="2"/>
        <v>20000</v>
      </c>
      <c r="N12" s="34">
        <f>+Prices!$E$38</f>
        <v>3.6318000000000001</v>
      </c>
      <c r="O12" s="19">
        <f t="shared" si="3"/>
        <v>72636</v>
      </c>
      <c r="P12" s="14"/>
      <c r="Q12" s="17">
        <v>0</v>
      </c>
      <c r="S12" s="15">
        <v>48000</v>
      </c>
      <c r="T12" s="34">
        <f>+Prices!F6</f>
        <v>3.57</v>
      </c>
      <c r="U12" s="19">
        <f t="shared" si="4"/>
        <v>171360</v>
      </c>
      <c r="V12" s="14"/>
      <c r="W12" s="15"/>
      <c r="X12" s="15"/>
      <c r="Y12" s="15"/>
      <c r="Z12" s="21">
        <f>+Prices!F6</f>
        <v>3.57</v>
      </c>
      <c r="AA12" s="23">
        <f>ROUND((Z12*S12),2)</f>
        <v>171360</v>
      </c>
    </row>
    <row r="13" spans="1:27" x14ac:dyDescent="0.4">
      <c r="A13" s="10">
        <v>5</v>
      </c>
      <c r="B13" s="11">
        <v>20000</v>
      </c>
      <c r="C13" s="51">
        <v>48000</v>
      </c>
      <c r="D13" s="11">
        <v>0</v>
      </c>
      <c r="E13" s="42">
        <f t="shared" si="0"/>
        <v>68000</v>
      </c>
      <c r="F13" s="13"/>
      <c r="G13" s="12">
        <v>0</v>
      </c>
      <c r="H13" s="12">
        <v>0</v>
      </c>
      <c r="I13" s="31">
        <f t="shared" si="5"/>
        <v>0</v>
      </c>
      <c r="J13" s="14"/>
      <c r="K13" s="15">
        <f t="shared" si="1"/>
        <v>68000</v>
      </c>
      <c r="L13" s="14"/>
      <c r="M13" s="15">
        <f t="shared" si="2"/>
        <v>20000</v>
      </c>
      <c r="N13" s="34">
        <f>+Prices!$E$38</f>
        <v>3.6318000000000001</v>
      </c>
      <c r="O13" s="19">
        <f t="shared" si="3"/>
        <v>72636</v>
      </c>
      <c r="P13" s="14"/>
      <c r="Q13" s="17">
        <v>0</v>
      </c>
      <c r="S13" s="15">
        <v>48000</v>
      </c>
      <c r="T13" s="34">
        <f>+Prices!F7</f>
        <v>3.9</v>
      </c>
      <c r="U13" s="19">
        <f t="shared" si="4"/>
        <v>187200</v>
      </c>
      <c r="V13" s="14"/>
      <c r="W13" s="15"/>
      <c r="X13" s="15"/>
      <c r="Y13" s="15"/>
      <c r="Z13" s="21">
        <f>+Prices!F7</f>
        <v>3.9</v>
      </c>
      <c r="AA13" s="22">
        <f>ROUND(Z13*S13,2)</f>
        <v>187200</v>
      </c>
    </row>
    <row r="14" spans="1:27" x14ac:dyDescent="0.4">
      <c r="A14" s="10">
        <v>6</v>
      </c>
      <c r="B14" s="11">
        <v>20000</v>
      </c>
      <c r="C14" s="51">
        <v>48000</v>
      </c>
      <c r="D14" s="11">
        <v>0</v>
      </c>
      <c r="E14" s="42">
        <f t="shared" si="0"/>
        <v>68000</v>
      </c>
      <c r="F14" s="13"/>
      <c r="G14" s="12">
        <v>0</v>
      </c>
      <c r="H14" s="12">
        <v>0</v>
      </c>
      <c r="I14" s="31">
        <f t="shared" si="5"/>
        <v>0</v>
      </c>
      <c r="J14" s="14"/>
      <c r="K14" s="15">
        <f t="shared" si="1"/>
        <v>68000</v>
      </c>
      <c r="L14" s="14"/>
      <c r="M14" s="15">
        <f t="shared" si="2"/>
        <v>20000</v>
      </c>
      <c r="N14" s="34">
        <f>+Prices!$E$38</f>
        <v>3.6318000000000001</v>
      </c>
      <c r="O14" s="19">
        <f t="shared" si="3"/>
        <v>72636</v>
      </c>
      <c r="P14" s="14"/>
      <c r="Q14" s="17">
        <v>0</v>
      </c>
      <c r="S14" s="15">
        <v>48000</v>
      </c>
      <c r="T14" s="34">
        <f>+Prices!F8</f>
        <v>4.01</v>
      </c>
      <c r="U14" s="19">
        <f t="shared" si="4"/>
        <v>192480</v>
      </c>
      <c r="V14" s="14"/>
      <c r="W14" s="15"/>
      <c r="X14" s="15"/>
      <c r="Y14" s="15"/>
      <c r="Z14" s="21">
        <f>+Prices!F8</f>
        <v>4.01</v>
      </c>
      <c r="AA14" s="23">
        <f>ROUND((Z14*S14),2)</f>
        <v>192480</v>
      </c>
    </row>
    <row r="15" spans="1:27" x14ac:dyDescent="0.4">
      <c r="A15" s="10">
        <v>7</v>
      </c>
      <c r="B15" s="11">
        <v>20000</v>
      </c>
      <c r="C15" s="51">
        <v>43000</v>
      </c>
      <c r="D15" s="11">
        <v>0</v>
      </c>
      <c r="E15" s="42">
        <f t="shared" si="0"/>
        <v>63000</v>
      </c>
      <c r="F15" s="13"/>
      <c r="G15" s="12">
        <v>0</v>
      </c>
      <c r="H15" s="12">
        <v>0</v>
      </c>
      <c r="I15" s="31">
        <f t="shared" si="5"/>
        <v>0</v>
      </c>
      <c r="J15" s="14"/>
      <c r="K15" s="15">
        <f t="shared" si="1"/>
        <v>63000</v>
      </c>
      <c r="L15" s="14"/>
      <c r="M15" s="15">
        <f t="shared" si="2"/>
        <v>20000</v>
      </c>
      <c r="N15" s="34">
        <f>+Prices!$E$38</f>
        <v>3.6318000000000001</v>
      </c>
      <c r="O15" s="19">
        <f t="shared" si="3"/>
        <v>72636</v>
      </c>
      <c r="P15" s="14"/>
      <c r="Q15" s="17">
        <v>0</v>
      </c>
      <c r="S15" s="15">
        <v>43000</v>
      </c>
      <c r="T15" s="34">
        <f>+Prices!F9</f>
        <v>3.6850000000000001</v>
      </c>
      <c r="U15" s="19">
        <f t="shared" si="4"/>
        <v>158455</v>
      </c>
      <c r="V15" s="14"/>
      <c r="W15" s="15"/>
      <c r="X15" s="15"/>
      <c r="Y15" s="15"/>
      <c r="Z15" s="21">
        <f>+Prices!F9</f>
        <v>3.6850000000000001</v>
      </c>
      <c r="AA15" s="22">
        <f>ROUND(Z15*S15,2)</f>
        <v>158455</v>
      </c>
    </row>
    <row r="16" spans="1:27" x14ac:dyDescent="0.4">
      <c r="A16" s="10">
        <v>8</v>
      </c>
      <c r="B16" s="11">
        <v>20000</v>
      </c>
      <c r="C16" s="51">
        <v>23000</v>
      </c>
      <c r="D16" s="11">
        <v>0</v>
      </c>
      <c r="E16" s="42">
        <f t="shared" si="0"/>
        <v>43000</v>
      </c>
      <c r="F16" s="13"/>
      <c r="G16" s="12">
        <v>0</v>
      </c>
      <c r="H16" s="12">
        <v>0</v>
      </c>
      <c r="I16" s="31">
        <f t="shared" si="5"/>
        <v>0</v>
      </c>
      <c r="J16" s="14"/>
      <c r="K16" s="15">
        <f t="shared" si="1"/>
        <v>43000</v>
      </c>
      <c r="L16" s="14"/>
      <c r="M16" s="15">
        <f t="shared" si="2"/>
        <v>20000</v>
      </c>
      <c r="N16" s="34">
        <f>+Prices!$E$38</f>
        <v>3.6318000000000001</v>
      </c>
      <c r="O16" s="19">
        <f t="shared" si="3"/>
        <v>72636</v>
      </c>
      <c r="P16" s="14"/>
      <c r="Q16" s="17">
        <v>0</v>
      </c>
      <c r="S16" s="15">
        <v>23000</v>
      </c>
      <c r="T16" s="34">
        <f>+Prices!F10</f>
        <v>3.55</v>
      </c>
      <c r="U16" s="19">
        <f t="shared" si="4"/>
        <v>81650</v>
      </c>
      <c r="V16" s="14"/>
      <c r="W16" s="15"/>
      <c r="X16" s="15"/>
      <c r="Y16" s="15"/>
      <c r="Z16" s="21">
        <f>+Prices!F10</f>
        <v>3.55</v>
      </c>
      <c r="AA16" s="23">
        <f>ROUND((Z16*S16),2)</f>
        <v>81650</v>
      </c>
    </row>
    <row r="17" spans="1:27" x14ac:dyDescent="0.4">
      <c r="A17" s="10">
        <v>9</v>
      </c>
      <c r="B17" s="11">
        <v>20000</v>
      </c>
      <c r="C17" s="51">
        <v>18000</v>
      </c>
      <c r="D17" s="11">
        <v>0</v>
      </c>
      <c r="E17" s="42">
        <f t="shared" si="0"/>
        <v>38000</v>
      </c>
      <c r="F17" s="13"/>
      <c r="G17" s="12">
        <v>0</v>
      </c>
      <c r="H17" s="12">
        <v>0</v>
      </c>
      <c r="I17" s="31">
        <f t="shared" si="5"/>
        <v>0</v>
      </c>
      <c r="J17" s="14"/>
      <c r="K17" s="15">
        <f t="shared" si="1"/>
        <v>38000</v>
      </c>
      <c r="L17" s="14"/>
      <c r="M17" s="15">
        <f t="shared" si="2"/>
        <v>20000</v>
      </c>
      <c r="N17" s="34">
        <f>+Prices!$E$38</f>
        <v>3.6318000000000001</v>
      </c>
      <c r="O17" s="19">
        <f t="shared" si="3"/>
        <v>72636</v>
      </c>
      <c r="P17" s="14"/>
      <c r="Q17" s="17">
        <v>0</v>
      </c>
      <c r="S17" s="15">
        <v>18000</v>
      </c>
      <c r="T17" s="34">
        <f>+Prices!F11</f>
        <v>3.38</v>
      </c>
      <c r="U17" s="19">
        <f t="shared" si="4"/>
        <v>60840</v>
      </c>
      <c r="V17" s="14"/>
      <c r="W17" s="15"/>
      <c r="X17" s="15"/>
      <c r="Y17" s="15"/>
      <c r="Z17" s="21">
        <f>+Prices!F11</f>
        <v>3.38</v>
      </c>
      <c r="AA17" s="22">
        <f>ROUND(Z17*S17,2)</f>
        <v>60840</v>
      </c>
    </row>
    <row r="18" spans="1:27" x14ac:dyDescent="0.4">
      <c r="A18" s="10">
        <v>10</v>
      </c>
      <c r="B18" s="11">
        <v>20000</v>
      </c>
      <c r="C18" s="51">
        <v>18000</v>
      </c>
      <c r="D18" s="11">
        <v>0</v>
      </c>
      <c r="E18" s="42">
        <f t="shared" si="0"/>
        <v>38000</v>
      </c>
      <c r="F18" s="13"/>
      <c r="G18" s="12">
        <v>0</v>
      </c>
      <c r="H18" s="12">
        <v>0</v>
      </c>
      <c r="I18" s="31">
        <f t="shared" si="5"/>
        <v>0</v>
      </c>
      <c r="J18" s="14"/>
      <c r="K18" s="15">
        <f t="shared" si="1"/>
        <v>38000</v>
      </c>
      <c r="L18" s="14"/>
      <c r="M18" s="15">
        <f t="shared" si="2"/>
        <v>20000</v>
      </c>
      <c r="N18" s="34">
        <f>+Prices!$E$38</f>
        <v>3.6318000000000001</v>
      </c>
      <c r="O18" s="19">
        <f t="shared" si="3"/>
        <v>72636</v>
      </c>
      <c r="P18" s="14"/>
      <c r="Q18" s="17">
        <v>0</v>
      </c>
      <c r="S18" s="15">
        <v>18000</v>
      </c>
      <c r="T18" s="34">
        <f>+Prices!F12</f>
        <v>3.38</v>
      </c>
      <c r="U18" s="19">
        <f t="shared" si="4"/>
        <v>60840</v>
      </c>
      <c r="V18" s="14"/>
      <c r="W18" s="15"/>
      <c r="X18" s="15"/>
      <c r="Y18" s="15"/>
      <c r="Z18" s="21">
        <f>+Prices!F12</f>
        <v>3.38</v>
      </c>
      <c r="AA18" s="23">
        <f>ROUND((Z18*S18),2)</f>
        <v>60840</v>
      </c>
    </row>
    <row r="19" spans="1:27" x14ac:dyDescent="0.4">
      <c r="A19" s="10">
        <v>11</v>
      </c>
      <c r="B19" s="11">
        <v>20000</v>
      </c>
      <c r="C19" s="51">
        <v>18000</v>
      </c>
      <c r="D19" s="11">
        <v>0</v>
      </c>
      <c r="E19" s="42">
        <f t="shared" si="0"/>
        <v>38000</v>
      </c>
      <c r="F19" s="13"/>
      <c r="G19" s="12">
        <v>0</v>
      </c>
      <c r="H19" s="12">
        <v>0</v>
      </c>
      <c r="I19" s="31">
        <f t="shared" si="5"/>
        <v>0</v>
      </c>
      <c r="J19" s="14"/>
      <c r="K19" s="15">
        <f t="shared" si="1"/>
        <v>38000</v>
      </c>
      <c r="L19" s="14"/>
      <c r="M19" s="15">
        <f t="shared" si="2"/>
        <v>20000</v>
      </c>
      <c r="N19" s="34">
        <f>+Prices!$E$38</f>
        <v>3.6318000000000001</v>
      </c>
      <c r="O19" s="19">
        <f t="shared" si="3"/>
        <v>72636</v>
      </c>
      <c r="P19" s="14"/>
      <c r="Q19" s="17">
        <v>0</v>
      </c>
      <c r="S19" s="15">
        <v>18000</v>
      </c>
      <c r="T19" s="34">
        <f>+Prices!F13</f>
        <v>3.38</v>
      </c>
      <c r="U19" s="19">
        <f t="shared" si="4"/>
        <v>60840</v>
      </c>
      <c r="V19" s="14"/>
      <c r="W19" s="15"/>
      <c r="X19" s="15"/>
      <c r="Y19" s="15"/>
      <c r="Z19" s="21">
        <f>+Prices!F13</f>
        <v>3.38</v>
      </c>
      <c r="AA19" s="22">
        <f>ROUND(Z19*S19,2)</f>
        <v>60840</v>
      </c>
    </row>
    <row r="20" spans="1:27" x14ac:dyDescent="0.4">
      <c r="A20" s="10">
        <v>12</v>
      </c>
      <c r="B20" s="11">
        <v>20000</v>
      </c>
      <c r="C20" s="51">
        <v>25000</v>
      </c>
      <c r="D20" s="11">
        <v>0</v>
      </c>
      <c r="E20" s="42">
        <f t="shared" si="0"/>
        <v>45000</v>
      </c>
      <c r="F20" s="13"/>
      <c r="G20" s="12">
        <v>0</v>
      </c>
      <c r="H20" s="12">
        <v>0</v>
      </c>
      <c r="I20" s="31">
        <f t="shared" si="5"/>
        <v>0</v>
      </c>
      <c r="J20" s="14"/>
      <c r="K20" s="15">
        <f t="shared" si="1"/>
        <v>45000</v>
      </c>
      <c r="L20" s="14"/>
      <c r="M20" s="15">
        <f t="shared" si="2"/>
        <v>20000</v>
      </c>
      <c r="N20" s="34">
        <f>+Prices!$E$38</f>
        <v>3.6318000000000001</v>
      </c>
      <c r="O20" s="19">
        <f t="shared" si="3"/>
        <v>72636</v>
      </c>
      <c r="P20" s="14"/>
      <c r="Q20" s="17">
        <v>0</v>
      </c>
      <c r="S20" s="15">
        <v>25000</v>
      </c>
      <c r="T20" s="34">
        <f>+Prices!F14</f>
        <v>3.7250000000000001</v>
      </c>
      <c r="U20" s="19">
        <f t="shared" si="4"/>
        <v>93125</v>
      </c>
      <c r="V20" s="14"/>
      <c r="W20" s="15"/>
      <c r="X20" s="15"/>
      <c r="Y20" s="15"/>
      <c r="Z20" s="21">
        <f>+Prices!F14</f>
        <v>3.7250000000000001</v>
      </c>
      <c r="AA20" s="23">
        <f>ROUND((Z20*S20),2)</f>
        <v>93125</v>
      </c>
    </row>
    <row r="21" spans="1:27" x14ac:dyDescent="0.4">
      <c r="A21" s="10">
        <v>13</v>
      </c>
      <c r="B21" s="11">
        <v>20000</v>
      </c>
      <c r="C21" s="51">
        <v>45000</v>
      </c>
      <c r="D21" s="11">
        <v>0</v>
      </c>
      <c r="E21" s="42">
        <f t="shared" si="0"/>
        <v>65000</v>
      </c>
      <c r="F21" s="13"/>
      <c r="G21" s="12">
        <v>0</v>
      </c>
      <c r="H21" s="12">
        <v>0</v>
      </c>
      <c r="I21" s="31">
        <f t="shared" si="5"/>
        <v>0</v>
      </c>
      <c r="J21" s="14"/>
      <c r="K21" s="15">
        <f t="shared" si="1"/>
        <v>65000</v>
      </c>
      <c r="L21" s="14"/>
      <c r="M21" s="15">
        <f t="shared" si="2"/>
        <v>20000</v>
      </c>
      <c r="N21" s="34">
        <f>+Prices!$E$38</f>
        <v>3.6318000000000001</v>
      </c>
      <c r="O21" s="19">
        <f t="shared" si="3"/>
        <v>72636</v>
      </c>
      <c r="P21" s="14"/>
      <c r="Q21" s="17">
        <v>0</v>
      </c>
      <c r="S21" s="15">
        <v>45000</v>
      </c>
      <c r="T21" s="34">
        <f>+Prices!F15</f>
        <v>3.9350000000000001</v>
      </c>
      <c r="U21" s="19">
        <f t="shared" si="4"/>
        <v>177075</v>
      </c>
      <c r="V21" s="14"/>
      <c r="W21" s="15"/>
      <c r="X21" s="15"/>
      <c r="Y21" s="15"/>
      <c r="Z21" s="21">
        <f>+Prices!F15</f>
        <v>3.9350000000000001</v>
      </c>
      <c r="AA21" s="22">
        <f>ROUND(Z21*S21,2)</f>
        <v>177075</v>
      </c>
    </row>
    <row r="22" spans="1:27" x14ac:dyDescent="0.4">
      <c r="A22" s="10">
        <v>14</v>
      </c>
      <c r="B22" s="11">
        <v>20000</v>
      </c>
      <c r="C22" s="51">
        <v>45000</v>
      </c>
      <c r="D22" s="11">
        <v>0</v>
      </c>
      <c r="E22" s="42">
        <f t="shared" si="0"/>
        <v>65000</v>
      </c>
      <c r="F22" s="13"/>
      <c r="G22" s="12">
        <v>0</v>
      </c>
      <c r="H22" s="12">
        <v>0</v>
      </c>
      <c r="I22" s="31">
        <f t="shared" si="5"/>
        <v>0</v>
      </c>
      <c r="J22" s="14"/>
      <c r="K22" s="15">
        <f t="shared" si="1"/>
        <v>65000</v>
      </c>
      <c r="L22" s="14"/>
      <c r="M22" s="15">
        <f t="shared" si="2"/>
        <v>20000</v>
      </c>
      <c r="N22" s="34">
        <f>+Prices!$E$38</f>
        <v>3.6318000000000001</v>
      </c>
      <c r="O22" s="19">
        <f t="shared" si="3"/>
        <v>72636</v>
      </c>
      <c r="P22" s="14"/>
      <c r="Q22" s="17">
        <v>0</v>
      </c>
      <c r="S22" s="15">
        <v>45000</v>
      </c>
      <c r="T22" s="34">
        <f>+Prices!F16</f>
        <v>4.1749999999999998</v>
      </c>
      <c r="U22" s="19">
        <f t="shared" si="4"/>
        <v>187875</v>
      </c>
      <c r="V22" s="14"/>
      <c r="W22" s="15"/>
      <c r="X22" s="15"/>
      <c r="Y22" s="15"/>
      <c r="Z22" s="21">
        <f>+Prices!F16</f>
        <v>4.1749999999999998</v>
      </c>
      <c r="AA22" s="23">
        <f>ROUND((Z22*S22),2)</f>
        <v>187875</v>
      </c>
    </row>
    <row r="23" spans="1:27" x14ac:dyDescent="0.4">
      <c r="A23" s="10">
        <v>15</v>
      </c>
      <c r="B23" s="11">
        <v>20000</v>
      </c>
      <c r="C23" s="51">
        <v>30000</v>
      </c>
      <c r="D23" s="11">
        <v>0</v>
      </c>
      <c r="E23" s="42">
        <f t="shared" si="0"/>
        <v>50000</v>
      </c>
      <c r="F23" s="13"/>
      <c r="G23" s="12">
        <v>0</v>
      </c>
      <c r="H23" s="12">
        <v>0</v>
      </c>
      <c r="I23" s="31">
        <f t="shared" si="5"/>
        <v>0</v>
      </c>
      <c r="J23" s="14"/>
      <c r="K23" s="15">
        <f t="shared" si="1"/>
        <v>50000</v>
      </c>
      <c r="L23" s="14"/>
      <c r="M23" s="15">
        <f t="shared" si="2"/>
        <v>20000</v>
      </c>
      <c r="N23" s="34">
        <f>+Prices!$E$38</f>
        <v>3.6318000000000001</v>
      </c>
      <c r="O23" s="19">
        <f t="shared" si="3"/>
        <v>72636</v>
      </c>
      <c r="P23" s="14"/>
      <c r="Q23" s="17">
        <v>0</v>
      </c>
      <c r="S23" s="15">
        <v>30000</v>
      </c>
      <c r="T23" s="34">
        <f>+Prices!F17</f>
        <v>3.8450000000000002</v>
      </c>
      <c r="U23" s="19">
        <f t="shared" si="4"/>
        <v>115350</v>
      </c>
      <c r="V23" s="14"/>
      <c r="W23" s="15"/>
      <c r="X23" s="15"/>
      <c r="Y23" s="15"/>
      <c r="Z23" s="21">
        <f>+Prices!F17</f>
        <v>3.8450000000000002</v>
      </c>
      <c r="AA23" s="22">
        <f>ROUND(Z23*S23,2)</f>
        <v>115350</v>
      </c>
    </row>
    <row r="24" spans="1:27" x14ac:dyDescent="0.4">
      <c r="A24" s="10">
        <v>16</v>
      </c>
      <c r="B24" s="11">
        <v>20000</v>
      </c>
      <c r="C24" s="51">
        <v>30000</v>
      </c>
      <c r="D24" s="11">
        <v>0</v>
      </c>
      <c r="E24" s="42">
        <f t="shared" si="0"/>
        <v>50000</v>
      </c>
      <c r="F24" s="13"/>
      <c r="G24" s="12">
        <v>0</v>
      </c>
      <c r="H24" s="12">
        <v>0</v>
      </c>
      <c r="I24" s="31">
        <f t="shared" si="5"/>
        <v>0</v>
      </c>
      <c r="J24" s="14"/>
      <c r="K24" s="15">
        <f t="shared" si="1"/>
        <v>50000</v>
      </c>
      <c r="L24" s="14"/>
      <c r="M24" s="15">
        <f t="shared" si="2"/>
        <v>20000</v>
      </c>
      <c r="N24" s="34">
        <f>+Prices!$E$38</f>
        <v>3.6318000000000001</v>
      </c>
      <c r="O24" s="19">
        <f t="shared" si="3"/>
        <v>72636</v>
      </c>
      <c r="P24" s="14"/>
      <c r="Q24" s="17">
        <v>0</v>
      </c>
      <c r="S24" s="15">
        <v>30000</v>
      </c>
      <c r="T24" s="34">
        <f>+Prices!F18</f>
        <v>3.7050000000000001</v>
      </c>
      <c r="U24" s="19">
        <f t="shared" si="4"/>
        <v>111150</v>
      </c>
      <c r="V24" s="14"/>
      <c r="W24" s="15"/>
      <c r="X24" s="15"/>
      <c r="Y24" s="15"/>
      <c r="Z24" s="21">
        <f>+Prices!F18</f>
        <v>3.7050000000000001</v>
      </c>
      <c r="AA24" s="23">
        <f>ROUND((Z24*S24),2)</f>
        <v>111150</v>
      </c>
    </row>
    <row r="25" spans="1:27" x14ac:dyDescent="0.4">
      <c r="A25" s="10">
        <v>17</v>
      </c>
      <c r="B25" s="11">
        <v>20000</v>
      </c>
      <c r="C25" s="51">
        <v>30000</v>
      </c>
      <c r="D25" s="11">
        <v>0</v>
      </c>
      <c r="E25" s="42">
        <f t="shared" si="0"/>
        <v>50000</v>
      </c>
      <c r="F25" s="13"/>
      <c r="G25" s="12">
        <v>0</v>
      </c>
      <c r="H25" s="12">
        <v>0</v>
      </c>
      <c r="I25" s="31">
        <f t="shared" si="5"/>
        <v>0</v>
      </c>
      <c r="J25" s="14"/>
      <c r="K25" s="15">
        <f t="shared" si="1"/>
        <v>50000</v>
      </c>
      <c r="L25" s="14"/>
      <c r="M25" s="15">
        <f t="shared" si="2"/>
        <v>20000</v>
      </c>
      <c r="N25" s="34">
        <f>+Prices!$E$38</f>
        <v>3.6318000000000001</v>
      </c>
      <c r="O25" s="19">
        <f t="shared" si="3"/>
        <v>72636</v>
      </c>
      <c r="P25" s="14"/>
      <c r="Q25" s="17">
        <v>0</v>
      </c>
      <c r="S25" s="15">
        <v>30000</v>
      </c>
      <c r="T25" s="34">
        <f>+Prices!F19</f>
        <v>3.7050000000000001</v>
      </c>
      <c r="U25" s="19">
        <f t="shared" si="4"/>
        <v>111150</v>
      </c>
      <c r="V25" s="14"/>
      <c r="W25" s="15"/>
      <c r="X25" s="15"/>
      <c r="Y25" s="15"/>
      <c r="Z25" s="21">
        <f>+Prices!F19</f>
        <v>3.7050000000000001</v>
      </c>
      <c r="AA25" s="22">
        <f>ROUND(Z25*S25,2)</f>
        <v>111150</v>
      </c>
    </row>
    <row r="26" spans="1:27" x14ac:dyDescent="0.4">
      <c r="A26" s="10">
        <v>18</v>
      </c>
      <c r="B26" s="11">
        <v>20000</v>
      </c>
      <c r="C26" s="51">
        <v>30000</v>
      </c>
      <c r="D26" s="11">
        <v>0</v>
      </c>
      <c r="E26" s="42">
        <f t="shared" si="0"/>
        <v>50000</v>
      </c>
      <c r="F26" s="13"/>
      <c r="G26" s="12">
        <v>0</v>
      </c>
      <c r="H26" s="12">
        <v>0</v>
      </c>
      <c r="I26" s="31">
        <f t="shared" si="5"/>
        <v>0</v>
      </c>
      <c r="J26" s="14"/>
      <c r="K26" s="15">
        <f t="shared" si="1"/>
        <v>50000</v>
      </c>
      <c r="L26" s="14"/>
      <c r="M26" s="15">
        <f t="shared" si="2"/>
        <v>20000</v>
      </c>
      <c r="N26" s="34">
        <f>+Prices!$E$38</f>
        <v>3.6318000000000001</v>
      </c>
      <c r="O26" s="19">
        <f t="shared" si="3"/>
        <v>72636</v>
      </c>
      <c r="P26" s="14"/>
      <c r="Q26" s="17">
        <v>0</v>
      </c>
      <c r="S26" s="15">
        <v>30000</v>
      </c>
      <c r="T26" s="34">
        <f>+Prices!F20</f>
        <v>3.7050000000000001</v>
      </c>
      <c r="U26" s="19">
        <f t="shared" si="4"/>
        <v>111150</v>
      </c>
      <c r="V26" s="14"/>
      <c r="W26" s="15"/>
      <c r="X26" s="15"/>
      <c r="Y26" s="15"/>
      <c r="Z26" s="21">
        <f>+Prices!F20</f>
        <v>3.7050000000000001</v>
      </c>
      <c r="AA26" s="23">
        <f>ROUND((Z26*S26),2)</f>
        <v>111150</v>
      </c>
    </row>
    <row r="27" spans="1:27" x14ac:dyDescent="0.4">
      <c r="A27" s="10">
        <v>19</v>
      </c>
      <c r="B27" s="11">
        <v>20000</v>
      </c>
      <c r="C27" s="51">
        <v>20000</v>
      </c>
      <c r="D27" s="11">
        <v>0</v>
      </c>
      <c r="E27" s="42">
        <f t="shared" si="0"/>
        <v>40000</v>
      </c>
      <c r="F27" s="13"/>
      <c r="G27" s="12">
        <v>0</v>
      </c>
      <c r="H27" s="12">
        <v>0</v>
      </c>
      <c r="I27" s="31">
        <f t="shared" si="5"/>
        <v>0</v>
      </c>
      <c r="J27" s="14"/>
      <c r="K27" s="15">
        <f t="shared" si="1"/>
        <v>40000</v>
      </c>
      <c r="L27" s="14"/>
      <c r="M27" s="15">
        <f t="shared" si="2"/>
        <v>20000</v>
      </c>
      <c r="N27" s="34">
        <f>+Prices!$E$38</f>
        <v>3.6318000000000001</v>
      </c>
      <c r="O27" s="19">
        <f t="shared" si="3"/>
        <v>72636</v>
      </c>
      <c r="P27" s="14"/>
      <c r="Q27" s="17">
        <v>0</v>
      </c>
      <c r="S27" s="15">
        <v>20000</v>
      </c>
      <c r="T27" s="34">
        <f>+Prices!F21</f>
        <v>3.8650000000000002</v>
      </c>
      <c r="U27" s="19">
        <f t="shared" si="4"/>
        <v>77300</v>
      </c>
      <c r="V27" s="14"/>
      <c r="W27" s="15"/>
      <c r="X27" s="15"/>
      <c r="Y27" s="15"/>
      <c r="Z27" s="21">
        <f>+Prices!F21</f>
        <v>3.8650000000000002</v>
      </c>
      <c r="AA27" s="22">
        <f>ROUND(Z27*S27,2)</f>
        <v>77300</v>
      </c>
    </row>
    <row r="28" spans="1:27" x14ac:dyDescent="0.4">
      <c r="A28" s="10">
        <v>20</v>
      </c>
      <c r="B28" s="11">
        <v>20000</v>
      </c>
      <c r="C28" s="51">
        <v>15000</v>
      </c>
      <c r="D28" s="11">
        <v>0</v>
      </c>
      <c r="E28" s="42">
        <f t="shared" si="0"/>
        <v>35000</v>
      </c>
      <c r="F28" s="13"/>
      <c r="G28" s="12">
        <v>0</v>
      </c>
      <c r="H28" s="12">
        <v>0</v>
      </c>
      <c r="I28" s="31">
        <f t="shared" si="5"/>
        <v>0</v>
      </c>
      <c r="J28" s="14"/>
      <c r="K28" s="15">
        <f t="shared" si="1"/>
        <v>35000</v>
      </c>
      <c r="L28" s="14"/>
      <c r="M28" s="15">
        <f t="shared" si="2"/>
        <v>20000</v>
      </c>
      <c r="N28" s="34">
        <f>+Prices!$E$38</f>
        <v>3.6318000000000001</v>
      </c>
      <c r="O28" s="19">
        <f t="shared" si="3"/>
        <v>72636</v>
      </c>
      <c r="P28" s="14"/>
      <c r="Q28" s="17">
        <v>0</v>
      </c>
      <c r="S28" s="15">
        <v>15000</v>
      </c>
      <c r="T28" s="34">
        <f>+Prices!F22</f>
        <v>3.9649999999999999</v>
      </c>
      <c r="U28" s="19">
        <f t="shared" si="4"/>
        <v>59475</v>
      </c>
      <c r="V28" s="14"/>
      <c r="W28" s="15"/>
      <c r="X28" s="15"/>
      <c r="Y28" s="15"/>
      <c r="Z28" s="21">
        <f>+Prices!F22</f>
        <v>3.9649999999999999</v>
      </c>
      <c r="AA28" s="23">
        <f>ROUND((Z28*S28),2)</f>
        <v>59475</v>
      </c>
    </row>
    <row r="29" spans="1:27" x14ac:dyDescent="0.4">
      <c r="A29" s="10">
        <v>21</v>
      </c>
      <c r="B29" s="11">
        <v>20000</v>
      </c>
      <c r="C29" s="51">
        <v>10000</v>
      </c>
      <c r="D29" s="11">
        <v>0</v>
      </c>
      <c r="E29" s="42">
        <f t="shared" si="0"/>
        <v>30000</v>
      </c>
      <c r="F29" s="13"/>
      <c r="G29" s="12">
        <v>0</v>
      </c>
      <c r="H29" s="12">
        <v>0</v>
      </c>
      <c r="I29" s="31">
        <f t="shared" si="5"/>
        <v>0</v>
      </c>
      <c r="J29" s="14"/>
      <c r="K29" s="15">
        <f t="shared" si="1"/>
        <v>30000</v>
      </c>
      <c r="L29" s="14"/>
      <c r="M29" s="15">
        <f t="shared" si="2"/>
        <v>20000</v>
      </c>
      <c r="N29" s="34">
        <f>+Prices!$E$38</f>
        <v>3.6318000000000001</v>
      </c>
      <c r="O29" s="19">
        <f t="shared" si="3"/>
        <v>72636</v>
      </c>
      <c r="P29" s="14"/>
      <c r="Q29" s="17">
        <v>0</v>
      </c>
      <c r="S29" s="15">
        <v>10000</v>
      </c>
      <c r="T29" s="34">
        <f>+Prices!F23</f>
        <v>3.835</v>
      </c>
      <c r="U29" s="19">
        <f t="shared" si="4"/>
        <v>38350</v>
      </c>
      <c r="V29" s="14"/>
      <c r="W29" s="15"/>
      <c r="X29" s="15"/>
      <c r="Y29" s="15"/>
      <c r="Z29" s="21">
        <f>+Prices!F23</f>
        <v>3.835</v>
      </c>
      <c r="AA29" s="22">
        <f>ROUND(Z29*S29,2)</f>
        <v>38350</v>
      </c>
    </row>
    <row r="30" spans="1:27" x14ac:dyDescent="0.4">
      <c r="A30" s="10">
        <v>22</v>
      </c>
      <c r="B30" s="11">
        <v>20000</v>
      </c>
      <c r="C30" s="51">
        <v>5000</v>
      </c>
      <c r="D30" s="11">
        <v>0</v>
      </c>
      <c r="E30" s="42">
        <f t="shared" si="0"/>
        <v>25000</v>
      </c>
      <c r="F30" s="13"/>
      <c r="G30" s="12">
        <v>0</v>
      </c>
      <c r="H30" s="12">
        <v>0</v>
      </c>
      <c r="I30" s="31">
        <f t="shared" si="5"/>
        <v>0</v>
      </c>
      <c r="J30" s="14"/>
      <c r="K30" s="15">
        <f t="shared" si="1"/>
        <v>25000</v>
      </c>
      <c r="L30" s="14"/>
      <c r="M30" s="15">
        <f t="shared" si="2"/>
        <v>20000</v>
      </c>
      <c r="N30" s="34">
        <f>+Prices!$E$38</f>
        <v>3.6318000000000001</v>
      </c>
      <c r="O30" s="19">
        <f t="shared" si="3"/>
        <v>72636</v>
      </c>
      <c r="P30" s="14"/>
      <c r="Q30" s="17">
        <v>0</v>
      </c>
      <c r="S30" s="15">
        <v>5000</v>
      </c>
      <c r="T30" s="34">
        <f>+Prices!F24</f>
        <v>3.6350000000000002</v>
      </c>
      <c r="U30" s="19">
        <f t="shared" si="4"/>
        <v>18175</v>
      </c>
      <c r="V30" s="14"/>
      <c r="W30" s="15"/>
      <c r="X30" s="15"/>
      <c r="Y30" s="15"/>
      <c r="Z30" s="21">
        <f>+Prices!F24</f>
        <v>3.6350000000000002</v>
      </c>
      <c r="AA30" s="23">
        <f>ROUND((Z30*S30),2)</f>
        <v>18175</v>
      </c>
    </row>
    <row r="31" spans="1:27" x14ac:dyDescent="0.4">
      <c r="A31" s="10">
        <v>23</v>
      </c>
      <c r="B31" s="11">
        <v>20000</v>
      </c>
      <c r="C31" s="51">
        <v>20000</v>
      </c>
      <c r="D31" s="11">
        <v>0</v>
      </c>
      <c r="E31" s="42">
        <f t="shared" si="0"/>
        <v>40000</v>
      </c>
      <c r="F31" s="13"/>
      <c r="G31" s="12">
        <v>0</v>
      </c>
      <c r="H31" s="12">
        <v>0</v>
      </c>
      <c r="I31" s="31">
        <f t="shared" si="5"/>
        <v>0</v>
      </c>
      <c r="J31" s="14"/>
      <c r="K31" s="15">
        <f t="shared" si="1"/>
        <v>40000</v>
      </c>
      <c r="L31" s="14"/>
      <c r="M31" s="15">
        <f t="shared" si="2"/>
        <v>20000</v>
      </c>
      <c r="N31" s="34">
        <f>+Prices!$E$38</f>
        <v>3.6318000000000001</v>
      </c>
      <c r="O31" s="19">
        <f t="shared" si="3"/>
        <v>72636</v>
      </c>
      <c r="P31" s="14"/>
      <c r="Q31" s="17">
        <v>0</v>
      </c>
      <c r="S31" s="15">
        <v>20000</v>
      </c>
      <c r="T31" s="34">
        <f>+Prices!F25</f>
        <v>3.54</v>
      </c>
      <c r="U31" s="19">
        <f t="shared" si="4"/>
        <v>70800</v>
      </c>
      <c r="V31" s="14"/>
      <c r="W31" s="15"/>
      <c r="X31" s="15"/>
      <c r="Y31" s="15"/>
      <c r="Z31" s="21">
        <f>+Prices!F25</f>
        <v>3.54</v>
      </c>
      <c r="AA31" s="22">
        <f>ROUND(Z31*S31,2)</f>
        <v>70800</v>
      </c>
    </row>
    <row r="32" spans="1:27" x14ac:dyDescent="0.4">
      <c r="A32" s="10">
        <v>24</v>
      </c>
      <c r="B32" s="11">
        <v>20000</v>
      </c>
      <c r="C32" s="51">
        <v>20000</v>
      </c>
      <c r="D32" s="11">
        <v>0</v>
      </c>
      <c r="E32" s="42">
        <f t="shared" si="0"/>
        <v>40000</v>
      </c>
      <c r="F32" s="13"/>
      <c r="G32" s="12">
        <v>0</v>
      </c>
      <c r="H32" s="12">
        <v>0</v>
      </c>
      <c r="I32" s="31">
        <f t="shared" si="5"/>
        <v>0</v>
      </c>
      <c r="J32" s="14"/>
      <c r="K32" s="15">
        <f t="shared" si="1"/>
        <v>40000</v>
      </c>
      <c r="L32" s="14"/>
      <c r="M32" s="15">
        <f t="shared" si="2"/>
        <v>20000</v>
      </c>
      <c r="N32" s="34">
        <f>+Prices!$E$38</f>
        <v>3.6318000000000001</v>
      </c>
      <c r="O32" s="19">
        <f t="shared" si="3"/>
        <v>72636</v>
      </c>
      <c r="P32" s="14"/>
      <c r="Q32" s="17">
        <v>0</v>
      </c>
      <c r="S32" s="15">
        <v>20000</v>
      </c>
      <c r="T32" s="34">
        <f>+Prices!F26</f>
        <v>3.54</v>
      </c>
      <c r="U32" s="19">
        <f t="shared" si="4"/>
        <v>70800</v>
      </c>
      <c r="V32" s="14"/>
      <c r="W32" s="15"/>
      <c r="X32" s="15"/>
      <c r="Y32" s="15"/>
      <c r="Z32" s="21">
        <f>+Prices!F26</f>
        <v>3.54</v>
      </c>
      <c r="AA32" s="23">
        <f>ROUND((Z32*S32),2)</f>
        <v>70800</v>
      </c>
    </row>
    <row r="33" spans="1:27" x14ac:dyDescent="0.4">
      <c r="A33" s="10">
        <v>25</v>
      </c>
      <c r="B33" s="11">
        <v>20000</v>
      </c>
      <c r="C33" s="51">
        <v>20000</v>
      </c>
      <c r="D33" s="11">
        <v>0</v>
      </c>
      <c r="E33" s="42">
        <f t="shared" si="0"/>
        <v>40000</v>
      </c>
      <c r="F33" s="13"/>
      <c r="G33" s="12">
        <v>0</v>
      </c>
      <c r="H33" s="12">
        <v>0</v>
      </c>
      <c r="I33" s="31">
        <f t="shared" ref="I33:I39" si="6">+G33+H33</f>
        <v>0</v>
      </c>
      <c r="J33" s="14"/>
      <c r="K33" s="15">
        <f t="shared" si="1"/>
        <v>40000</v>
      </c>
      <c r="L33" s="14"/>
      <c r="M33" s="15">
        <f t="shared" si="2"/>
        <v>20000</v>
      </c>
      <c r="N33" s="34">
        <f>+Prices!$E$38</f>
        <v>3.6318000000000001</v>
      </c>
      <c r="O33" s="19">
        <f t="shared" si="3"/>
        <v>72636</v>
      </c>
      <c r="P33" s="14"/>
      <c r="Q33" s="17">
        <v>0</v>
      </c>
      <c r="S33" s="15">
        <v>20000</v>
      </c>
      <c r="T33" s="34">
        <f>+Prices!F27</f>
        <v>3.54</v>
      </c>
      <c r="U33" s="19">
        <f t="shared" si="4"/>
        <v>70800</v>
      </c>
      <c r="V33" s="14"/>
      <c r="W33" s="15"/>
      <c r="X33" s="15"/>
      <c r="Y33" s="15"/>
      <c r="Z33" s="21">
        <f>+Prices!F27</f>
        <v>3.54</v>
      </c>
      <c r="AA33" s="22">
        <f>ROUND(Z33*S33,2)</f>
        <v>70800</v>
      </c>
    </row>
    <row r="34" spans="1:27" x14ac:dyDescent="0.4">
      <c r="A34" s="10">
        <v>26</v>
      </c>
      <c r="B34" s="11">
        <v>20000</v>
      </c>
      <c r="C34" s="51">
        <v>10000</v>
      </c>
      <c r="D34" s="11">
        <v>0</v>
      </c>
      <c r="E34" s="42">
        <f t="shared" si="0"/>
        <v>30000</v>
      </c>
      <c r="F34" s="13"/>
      <c r="G34" s="12">
        <v>0</v>
      </c>
      <c r="H34" s="12">
        <v>0</v>
      </c>
      <c r="I34" s="31">
        <f t="shared" si="6"/>
        <v>0</v>
      </c>
      <c r="J34" s="14"/>
      <c r="K34" s="15">
        <f t="shared" si="1"/>
        <v>30000</v>
      </c>
      <c r="L34" s="14"/>
      <c r="M34" s="15">
        <f t="shared" si="2"/>
        <v>20000</v>
      </c>
      <c r="N34" s="34">
        <f>+Prices!$E$38</f>
        <v>3.6318000000000001</v>
      </c>
      <c r="O34" s="19">
        <f t="shared" si="3"/>
        <v>72636</v>
      </c>
      <c r="P34" s="14"/>
      <c r="Q34" s="17">
        <v>0</v>
      </c>
      <c r="S34" s="15">
        <v>10000</v>
      </c>
      <c r="T34" s="34">
        <f>+Prices!F28</f>
        <v>3.5550000000000002</v>
      </c>
      <c r="U34" s="19">
        <f t="shared" si="4"/>
        <v>35550</v>
      </c>
      <c r="V34" s="14"/>
      <c r="W34" s="15"/>
      <c r="X34" s="15"/>
      <c r="Y34" s="15"/>
      <c r="Z34" s="21">
        <f>+Prices!F28</f>
        <v>3.5550000000000002</v>
      </c>
      <c r="AA34" s="23">
        <f>ROUND((Z34*S34),2)</f>
        <v>35550</v>
      </c>
    </row>
    <row r="35" spans="1:27" x14ac:dyDescent="0.4">
      <c r="A35" s="10">
        <v>27</v>
      </c>
      <c r="B35" s="11">
        <v>20000</v>
      </c>
      <c r="C35" s="51">
        <v>25000</v>
      </c>
      <c r="D35" s="11">
        <v>0</v>
      </c>
      <c r="E35" s="42">
        <f t="shared" si="0"/>
        <v>45000</v>
      </c>
      <c r="F35" s="13"/>
      <c r="G35" s="12">
        <v>0</v>
      </c>
      <c r="H35" s="12">
        <v>0</v>
      </c>
      <c r="I35" s="31">
        <f t="shared" si="6"/>
        <v>0</v>
      </c>
      <c r="J35" s="14"/>
      <c r="K35" s="15">
        <f t="shared" si="1"/>
        <v>45000</v>
      </c>
      <c r="L35" s="14"/>
      <c r="M35" s="15">
        <f t="shared" si="2"/>
        <v>20000</v>
      </c>
      <c r="N35" s="34">
        <f>+Prices!$E$38</f>
        <v>3.6318000000000001</v>
      </c>
      <c r="O35" s="19">
        <f t="shared" si="3"/>
        <v>72636</v>
      </c>
      <c r="P35" s="14"/>
      <c r="Q35" s="17">
        <v>0</v>
      </c>
      <c r="S35" s="15">
        <v>25000</v>
      </c>
      <c r="T35" s="34">
        <f>+Prices!F29</f>
        <v>3.42</v>
      </c>
      <c r="U35" s="19">
        <f t="shared" si="4"/>
        <v>85500</v>
      </c>
      <c r="V35" s="14"/>
      <c r="W35" s="15"/>
      <c r="X35" s="15"/>
      <c r="Y35" s="15"/>
      <c r="Z35" s="21">
        <f>+Prices!F29</f>
        <v>3.42</v>
      </c>
      <c r="AA35" s="22">
        <f>ROUND(Z35*S35,2)</f>
        <v>85500</v>
      </c>
    </row>
    <row r="36" spans="1:27" x14ac:dyDescent="0.4">
      <c r="A36" s="10">
        <v>28</v>
      </c>
      <c r="B36" s="11">
        <v>20000</v>
      </c>
      <c r="C36" s="51">
        <v>15000</v>
      </c>
      <c r="D36" s="11">
        <v>0</v>
      </c>
      <c r="E36" s="42">
        <f t="shared" si="0"/>
        <v>35000</v>
      </c>
      <c r="F36" s="13"/>
      <c r="G36" s="12">
        <v>0</v>
      </c>
      <c r="H36" s="12">
        <v>0</v>
      </c>
      <c r="I36" s="31">
        <f t="shared" si="6"/>
        <v>0</v>
      </c>
      <c r="J36" s="14"/>
      <c r="K36" s="15">
        <f t="shared" si="1"/>
        <v>35000</v>
      </c>
      <c r="L36" s="14"/>
      <c r="M36" s="15">
        <f t="shared" si="2"/>
        <v>20000</v>
      </c>
      <c r="N36" s="34">
        <f>+Prices!$E$38</f>
        <v>3.6318000000000001</v>
      </c>
      <c r="O36" s="19">
        <f t="shared" si="3"/>
        <v>72636</v>
      </c>
      <c r="P36" s="14"/>
      <c r="Q36" s="17">
        <v>0</v>
      </c>
      <c r="S36" s="15">
        <v>15000</v>
      </c>
      <c r="T36" s="34">
        <f>+Prices!F30</f>
        <v>3.35</v>
      </c>
      <c r="U36" s="19">
        <f t="shared" si="4"/>
        <v>50250</v>
      </c>
      <c r="V36" s="14"/>
      <c r="W36" s="15"/>
      <c r="X36" s="15"/>
      <c r="Y36" s="15"/>
      <c r="Z36" s="21">
        <f>+Prices!F30</f>
        <v>3.35</v>
      </c>
      <c r="AA36" s="23">
        <f>ROUND((Z36*S36),2)</f>
        <v>50250</v>
      </c>
    </row>
    <row r="37" spans="1:27" x14ac:dyDescent="0.4">
      <c r="A37" s="10">
        <v>29</v>
      </c>
      <c r="B37" s="11">
        <v>20000</v>
      </c>
      <c r="C37" s="51">
        <v>40000</v>
      </c>
      <c r="D37" s="11">
        <v>0</v>
      </c>
      <c r="E37" s="42">
        <f t="shared" si="0"/>
        <v>60000</v>
      </c>
      <c r="F37" s="13"/>
      <c r="G37" s="12">
        <v>0</v>
      </c>
      <c r="H37" s="12">
        <v>0</v>
      </c>
      <c r="I37" s="31">
        <f t="shared" si="6"/>
        <v>0</v>
      </c>
      <c r="J37" s="14"/>
      <c r="K37" s="15">
        <f t="shared" si="1"/>
        <v>60000</v>
      </c>
      <c r="L37" s="14"/>
      <c r="M37" s="15">
        <f t="shared" si="2"/>
        <v>20000</v>
      </c>
      <c r="N37" s="34">
        <f>+Prices!$E$38</f>
        <v>3.6318000000000001</v>
      </c>
      <c r="O37" s="19">
        <f t="shared" si="3"/>
        <v>72636</v>
      </c>
      <c r="P37" s="14"/>
      <c r="Q37" s="17">
        <v>0</v>
      </c>
      <c r="S37" s="15">
        <v>40000</v>
      </c>
      <c r="T37" s="34">
        <f>+Prices!F31</f>
        <v>3.1350000000000002</v>
      </c>
      <c r="U37" s="19">
        <f t="shared" si="4"/>
        <v>125400.00000000001</v>
      </c>
      <c r="V37" s="14"/>
      <c r="W37" s="15"/>
      <c r="X37" s="15"/>
      <c r="Y37" s="15"/>
      <c r="Z37" s="21">
        <f>+Prices!F31</f>
        <v>3.1350000000000002</v>
      </c>
      <c r="AA37" s="22">
        <f>ROUND(Z37*S37,2)</f>
        <v>125400</v>
      </c>
    </row>
    <row r="38" spans="1:27" x14ac:dyDescent="0.4">
      <c r="A38" s="10">
        <v>30</v>
      </c>
      <c r="B38" s="11">
        <v>20000</v>
      </c>
      <c r="C38" s="51">
        <v>30000</v>
      </c>
      <c r="D38" s="11">
        <v>0</v>
      </c>
      <c r="E38" s="42">
        <f t="shared" si="0"/>
        <v>50000</v>
      </c>
      <c r="F38" s="13"/>
      <c r="G38" s="12">
        <v>0</v>
      </c>
      <c r="H38" s="12">
        <v>0</v>
      </c>
      <c r="I38" s="31">
        <f t="shared" si="6"/>
        <v>0</v>
      </c>
      <c r="J38" s="14"/>
      <c r="K38" s="15">
        <f t="shared" si="1"/>
        <v>50000</v>
      </c>
      <c r="L38" s="14"/>
      <c r="M38" s="15">
        <f t="shared" si="2"/>
        <v>20000</v>
      </c>
      <c r="N38" s="34">
        <f>+Prices!$E$38</f>
        <v>3.6318000000000001</v>
      </c>
      <c r="O38" s="19">
        <f t="shared" si="3"/>
        <v>72636</v>
      </c>
      <c r="P38" s="14"/>
      <c r="Q38" s="17">
        <v>0</v>
      </c>
      <c r="S38" s="15">
        <v>30000</v>
      </c>
      <c r="T38" s="34">
        <f>+Prices!F32</f>
        <v>3.1350000000000002</v>
      </c>
      <c r="U38" s="19">
        <f t="shared" si="4"/>
        <v>94050</v>
      </c>
      <c r="V38" s="14"/>
      <c r="W38" s="15"/>
      <c r="X38" s="15"/>
      <c r="Y38" s="15"/>
      <c r="Z38" s="21">
        <f>+Prices!F32</f>
        <v>3.1350000000000002</v>
      </c>
      <c r="AA38" s="23">
        <f>ROUND((Z38*S38),2)</f>
        <v>94050</v>
      </c>
    </row>
    <row r="39" spans="1:27" ht="16.8" thickBot="1" x14ac:dyDescent="0.45">
      <c r="A39" s="10">
        <v>31</v>
      </c>
      <c r="B39" s="11">
        <v>0</v>
      </c>
      <c r="C39" s="51"/>
      <c r="D39" s="12">
        <v>0</v>
      </c>
      <c r="E39" s="42"/>
      <c r="F39" s="13"/>
      <c r="G39" s="12">
        <v>0</v>
      </c>
      <c r="H39" s="12">
        <v>0</v>
      </c>
      <c r="I39" s="31">
        <f t="shared" si="6"/>
        <v>0</v>
      </c>
      <c r="J39" s="14"/>
      <c r="K39" s="15">
        <f>SUM(B39:H39)</f>
        <v>0</v>
      </c>
      <c r="L39" s="14"/>
      <c r="M39" s="15"/>
      <c r="N39" s="15"/>
      <c r="O39" s="15"/>
      <c r="P39" s="14"/>
      <c r="Q39" s="17">
        <v>0</v>
      </c>
      <c r="S39" s="40">
        <f>K39-Q39</f>
        <v>0</v>
      </c>
      <c r="T39" s="40"/>
      <c r="U39" s="40"/>
      <c r="V39" s="14"/>
      <c r="W39" s="15"/>
      <c r="X39" s="15"/>
      <c r="Y39" s="15"/>
      <c r="Z39" s="21">
        <f>+Prices!F33</f>
        <v>0</v>
      </c>
      <c r="AA39" s="24">
        <f>ROUND(Z39*S39,2)</f>
        <v>0</v>
      </c>
    </row>
    <row r="40" spans="1:27" ht="16.8" thickBot="1" x14ac:dyDescent="0.45">
      <c r="B40" s="18">
        <f>SUM(B9:B39)</f>
        <v>600000</v>
      </c>
      <c r="C40" s="18">
        <f>SUM(C9:C39)</f>
        <v>875000</v>
      </c>
      <c r="D40" s="18">
        <f>SUM(D9:D39)</f>
        <v>0</v>
      </c>
      <c r="E40" s="18">
        <f>SUM(E9:E38)</f>
        <v>1475000</v>
      </c>
      <c r="F40" s="18"/>
      <c r="G40" s="18">
        <f>SUM(G9:G39)</f>
        <v>0</v>
      </c>
      <c r="H40" s="18">
        <f>SUM(H9:H39)</f>
        <v>0</v>
      </c>
      <c r="I40" s="18">
        <f>SUM(I9:I39)</f>
        <v>0</v>
      </c>
      <c r="J40" s="14"/>
      <c r="K40" s="15">
        <f>SUM(I40+E40)</f>
        <v>1475000</v>
      </c>
      <c r="L40" s="14"/>
      <c r="M40" s="35">
        <f>SUM(M9:M39)</f>
        <v>600000</v>
      </c>
      <c r="N40" s="37">
        <f>+Prices!E38</f>
        <v>3.6318000000000001</v>
      </c>
      <c r="O40" s="36">
        <f>SUM(O9:O38)</f>
        <v>2179080</v>
      </c>
      <c r="P40" s="14"/>
      <c r="Q40" s="18">
        <f>SUM(Q9:Q38)</f>
        <v>0</v>
      </c>
      <c r="S40" s="39">
        <f>SUM(S9:S39)</f>
        <v>875000</v>
      </c>
      <c r="T40" s="31"/>
      <c r="U40" s="44">
        <f>SUM(U9:U39)</f>
        <v>3202210</v>
      </c>
      <c r="V40" s="31"/>
      <c r="W40" s="31"/>
      <c r="X40" s="31"/>
      <c r="Y40" s="31"/>
      <c r="AA40" s="23">
        <f>SUM(AA9:AA39)+O40</f>
        <v>5381290</v>
      </c>
    </row>
    <row r="41" spans="1:27" ht="16.8" thickTop="1" x14ac:dyDescent="0.4">
      <c r="S41" s="3" t="s">
        <v>9</v>
      </c>
    </row>
    <row r="43" spans="1:27" ht="16.8" x14ac:dyDescent="0.45">
      <c r="D43" s="25">
        <f>+D40+B40+C40</f>
        <v>1475000</v>
      </c>
      <c r="E43" s="31"/>
      <c r="G43" s="25" t="e">
        <f>+G40+H40+#REF!+#REF!</f>
        <v>#REF!</v>
      </c>
      <c r="K43" s="15"/>
      <c r="L43" s="15"/>
      <c r="M43" s="15"/>
      <c r="N43" s="15"/>
      <c r="O43" s="15"/>
      <c r="P43" s="15"/>
      <c r="Z43" s="27" t="s">
        <v>22</v>
      </c>
      <c r="AA43" s="28">
        <f>+D46</f>
        <v>22125</v>
      </c>
    </row>
    <row r="44" spans="1:27" ht="16.8" x14ac:dyDescent="0.45">
      <c r="D44" s="26" t="s">
        <v>7</v>
      </c>
      <c r="E44" s="43"/>
      <c r="G44" s="26" t="s">
        <v>8</v>
      </c>
      <c r="Z44" s="29"/>
      <c r="AA44" s="29"/>
    </row>
    <row r="45" spans="1:27" ht="16.8" x14ac:dyDescent="0.45">
      <c r="Z45" s="29"/>
      <c r="AA45" s="29"/>
    </row>
    <row r="46" spans="1:27" ht="17.399999999999999" thickBot="1" x14ac:dyDescent="0.5">
      <c r="D46" s="19">
        <f>+D43*0.015</f>
        <v>22125</v>
      </c>
      <c r="E46" s="19"/>
      <c r="G46" s="3" t="s">
        <v>22</v>
      </c>
      <c r="Z46" s="27" t="s">
        <v>35</v>
      </c>
      <c r="AA46" s="30">
        <f>+AA43+AA40</f>
        <v>5403415</v>
      </c>
    </row>
    <row r="47" spans="1:27" ht="16.8" thickTop="1" x14ac:dyDescent="0.4"/>
    <row r="48" spans="1:27" ht="16.8" x14ac:dyDescent="0.45">
      <c r="G48" s="3" t="s">
        <v>34</v>
      </c>
      <c r="AA48" s="45">
        <v>-5263.92</v>
      </c>
    </row>
    <row r="49" spans="7:27" ht="16.8" x14ac:dyDescent="0.45">
      <c r="G49" s="3" t="s">
        <v>20</v>
      </c>
      <c r="AA49" s="45">
        <v>-502121.26</v>
      </c>
    </row>
    <row r="50" spans="7:27" x14ac:dyDescent="0.4">
      <c r="AA50" s="43"/>
    </row>
    <row r="51" spans="7:27" ht="16.8" x14ac:dyDescent="0.45">
      <c r="AA51" s="28">
        <f>SUM(AA46:AA49)</f>
        <v>4896029.82</v>
      </c>
    </row>
    <row r="53" spans="7:27" ht="16.8" x14ac:dyDescent="0.45">
      <c r="AA53" s="28"/>
    </row>
    <row r="55" spans="7:27" ht="16.8" x14ac:dyDescent="0.45">
      <c r="AA55" s="28"/>
    </row>
    <row r="59" spans="7:27" x14ac:dyDescent="0.4">
      <c r="AA59" s="23"/>
    </row>
  </sheetData>
  <mergeCells count="4">
    <mergeCell ref="S6:U6"/>
    <mergeCell ref="W6:Y6"/>
    <mergeCell ref="S5:U5"/>
    <mergeCell ref="W5:Y5"/>
  </mergeCells>
  <phoneticPr fontId="0" type="noConversion"/>
  <pageMargins left="0.75" right="0.75" top="1" bottom="1" header="0.5" footer="0.5"/>
  <pageSetup scale="3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zoomScale="85" workbookViewId="0">
      <selection activeCell="E14" sqref="E14"/>
    </sheetView>
  </sheetViews>
  <sheetFormatPr defaultColWidth="9.109375" defaultRowHeight="16.2" x14ac:dyDescent="0.4"/>
  <cols>
    <col min="1" max="1" width="12" style="3" customWidth="1"/>
    <col min="2" max="3" width="12.5546875" style="3" customWidth="1"/>
    <col min="4" max="4" width="2.88671875" style="3" customWidth="1"/>
    <col min="5" max="5" width="11.5546875" style="3" customWidth="1"/>
    <col min="6" max="6" width="14.33203125" style="3" customWidth="1"/>
    <col min="7" max="16384" width="9.109375" style="3"/>
  </cols>
  <sheetData>
    <row r="2" spans="1:6" ht="17.399999999999999" thickBot="1" x14ac:dyDescent="0.5">
      <c r="B2" s="46" t="s">
        <v>11</v>
      </c>
      <c r="C2" s="46" t="s">
        <v>19</v>
      </c>
      <c r="D2" s="46"/>
      <c r="E2" s="46" t="s">
        <v>12</v>
      </c>
      <c r="F2" s="46" t="s">
        <v>18</v>
      </c>
    </row>
    <row r="3" spans="1:6" x14ac:dyDescent="0.4">
      <c r="A3" s="47">
        <v>37043</v>
      </c>
      <c r="B3" s="21">
        <v>3.83</v>
      </c>
      <c r="C3" s="21">
        <f>+B3+0.02</f>
        <v>3.85</v>
      </c>
      <c r="D3" s="21"/>
      <c r="E3" s="21">
        <v>3.63</v>
      </c>
      <c r="F3" s="21">
        <f>+E3+0.02</f>
        <v>3.65</v>
      </c>
    </row>
    <row r="4" spans="1:6" x14ac:dyDescent="0.4">
      <c r="A4" s="47">
        <v>37044</v>
      </c>
      <c r="B4" s="21">
        <v>3.7250000000000001</v>
      </c>
      <c r="C4" s="21">
        <f t="shared" ref="C4:C32" si="0">+B4+0.02</f>
        <v>3.7450000000000001</v>
      </c>
      <c r="D4" s="21"/>
      <c r="E4" s="21">
        <v>3.55</v>
      </c>
      <c r="F4" s="21">
        <f t="shared" ref="F4:F32" si="1">+E4+0.02</f>
        <v>3.57</v>
      </c>
    </row>
    <row r="5" spans="1:6" x14ac:dyDescent="0.4">
      <c r="A5" s="47">
        <v>37045</v>
      </c>
      <c r="B5" s="21">
        <v>3.7250000000000001</v>
      </c>
      <c r="C5" s="21">
        <f t="shared" si="0"/>
        <v>3.7450000000000001</v>
      </c>
      <c r="D5" s="21"/>
      <c r="E5" s="21">
        <v>3.55</v>
      </c>
      <c r="F5" s="21">
        <f t="shared" si="1"/>
        <v>3.57</v>
      </c>
    </row>
    <row r="6" spans="1:6" x14ac:dyDescent="0.4">
      <c r="A6" s="47">
        <v>37046</v>
      </c>
      <c r="B6" s="21">
        <v>3.7250000000000001</v>
      </c>
      <c r="C6" s="21">
        <f t="shared" si="0"/>
        <v>3.7450000000000001</v>
      </c>
      <c r="D6" s="21"/>
      <c r="E6" s="21">
        <v>3.55</v>
      </c>
      <c r="F6" s="21">
        <f t="shared" si="1"/>
        <v>3.57</v>
      </c>
    </row>
    <row r="7" spans="1:6" x14ac:dyDescent="0.4">
      <c r="A7" s="47">
        <v>37047</v>
      </c>
      <c r="B7" s="21">
        <v>3.9649999999999999</v>
      </c>
      <c r="C7" s="21">
        <f t="shared" si="0"/>
        <v>3.9849999999999999</v>
      </c>
      <c r="D7" s="21"/>
      <c r="E7" s="21">
        <v>3.88</v>
      </c>
      <c r="F7" s="21">
        <f t="shared" si="1"/>
        <v>3.9</v>
      </c>
    </row>
    <row r="8" spans="1:6" x14ac:dyDescent="0.4">
      <c r="A8" s="47">
        <v>37048</v>
      </c>
      <c r="B8" s="21">
        <v>4.0350000000000001</v>
      </c>
      <c r="C8" s="21">
        <f t="shared" si="0"/>
        <v>4.0549999999999997</v>
      </c>
      <c r="D8" s="21"/>
      <c r="E8" s="21">
        <v>3.99</v>
      </c>
      <c r="F8" s="21">
        <f t="shared" si="1"/>
        <v>4.01</v>
      </c>
    </row>
    <row r="9" spans="1:6" x14ac:dyDescent="0.4">
      <c r="A9" s="47">
        <v>37049</v>
      </c>
      <c r="B9" s="21">
        <v>3.76</v>
      </c>
      <c r="C9" s="21">
        <f t="shared" si="0"/>
        <v>3.78</v>
      </c>
      <c r="D9" s="21"/>
      <c r="E9" s="21">
        <v>3.665</v>
      </c>
      <c r="F9" s="21">
        <f t="shared" si="1"/>
        <v>3.6850000000000001</v>
      </c>
    </row>
    <row r="10" spans="1:6" x14ac:dyDescent="0.4">
      <c r="A10" s="47">
        <v>37050</v>
      </c>
      <c r="B10" s="21">
        <v>3.6549999999999998</v>
      </c>
      <c r="C10" s="21">
        <f t="shared" si="0"/>
        <v>3.6749999999999998</v>
      </c>
      <c r="D10" s="21"/>
      <c r="E10" s="21">
        <v>3.53</v>
      </c>
      <c r="F10" s="21">
        <f t="shared" si="1"/>
        <v>3.55</v>
      </c>
    </row>
    <row r="11" spans="1:6" x14ac:dyDescent="0.4">
      <c r="A11" s="47">
        <v>37051</v>
      </c>
      <c r="B11" s="21">
        <v>3.585</v>
      </c>
      <c r="C11" s="21">
        <f t="shared" si="0"/>
        <v>3.605</v>
      </c>
      <c r="D11" s="21"/>
      <c r="E11" s="21">
        <v>3.36</v>
      </c>
      <c r="F11" s="21">
        <f t="shared" si="1"/>
        <v>3.38</v>
      </c>
    </row>
    <row r="12" spans="1:6" x14ac:dyDescent="0.4">
      <c r="A12" s="47">
        <v>37052</v>
      </c>
      <c r="B12" s="21">
        <v>3.585</v>
      </c>
      <c r="C12" s="21">
        <f t="shared" si="0"/>
        <v>3.605</v>
      </c>
      <c r="D12" s="21"/>
      <c r="E12" s="21">
        <v>3.36</v>
      </c>
      <c r="F12" s="21">
        <f t="shared" si="1"/>
        <v>3.38</v>
      </c>
    </row>
    <row r="13" spans="1:6" x14ac:dyDescent="0.4">
      <c r="A13" s="47">
        <v>37053</v>
      </c>
      <c r="B13" s="21">
        <v>3.585</v>
      </c>
      <c r="C13" s="21">
        <f t="shared" si="0"/>
        <v>3.605</v>
      </c>
      <c r="D13" s="21"/>
      <c r="E13" s="21">
        <v>3.36</v>
      </c>
      <c r="F13" s="21">
        <f t="shared" si="1"/>
        <v>3.38</v>
      </c>
    </row>
    <row r="14" spans="1:6" x14ac:dyDescent="0.4">
      <c r="A14" s="47">
        <v>37054</v>
      </c>
      <c r="B14" s="21">
        <v>3.8450000000000002</v>
      </c>
      <c r="C14" s="21">
        <f t="shared" si="0"/>
        <v>3.8650000000000002</v>
      </c>
      <c r="D14" s="21"/>
      <c r="E14" s="21">
        <v>3.7050000000000001</v>
      </c>
      <c r="F14" s="21">
        <f t="shared" si="1"/>
        <v>3.7250000000000001</v>
      </c>
    </row>
    <row r="15" spans="1:6" x14ac:dyDescent="0.4">
      <c r="A15" s="47">
        <v>37055</v>
      </c>
      <c r="B15" s="21">
        <v>4.0449999999999999</v>
      </c>
      <c r="C15" s="21">
        <f t="shared" si="0"/>
        <v>4.0649999999999995</v>
      </c>
      <c r="D15" s="21"/>
      <c r="E15" s="21">
        <v>3.915</v>
      </c>
      <c r="F15" s="21">
        <f t="shared" si="1"/>
        <v>3.9350000000000001</v>
      </c>
    </row>
    <row r="16" spans="1:6" x14ac:dyDescent="0.4">
      <c r="A16" s="47">
        <v>37056</v>
      </c>
      <c r="B16" s="21">
        <v>4.22</v>
      </c>
      <c r="C16" s="21">
        <f t="shared" si="0"/>
        <v>4.2399999999999993</v>
      </c>
      <c r="D16" s="21"/>
      <c r="E16" s="21">
        <v>4.1550000000000002</v>
      </c>
      <c r="F16" s="21">
        <f t="shared" si="1"/>
        <v>4.1749999999999998</v>
      </c>
    </row>
    <row r="17" spans="1:6" x14ac:dyDescent="0.4">
      <c r="A17" s="47">
        <v>37057</v>
      </c>
      <c r="B17" s="21">
        <v>3.915</v>
      </c>
      <c r="C17" s="21">
        <f t="shared" si="0"/>
        <v>3.9350000000000001</v>
      </c>
      <c r="D17" s="21"/>
      <c r="E17" s="21">
        <v>3.8250000000000002</v>
      </c>
      <c r="F17" s="21">
        <f t="shared" si="1"/>
        <v>3.8450000000000002</v>
      </c>
    </row>
    <row r="18" spans="1:6" x14ac:dyDescent="0.4">
      <c r="A18" s="47">
        <v>37058</v>
      </c>
      <c r="B18" s="21">
        <v>3.8250000000000002</v>
      </c>
      <c r="C18" s="21">
        <f t="shared" si="0"/>
        <v>3.8450000000000002</v>
      </c>
      <c r="D18" s="21"/>
      <c r="E18" s="21">
        <v>3.6850000000000001</v>
      </c>
      <c r="F18" s="21">
        <f t="shared" si="1"/>
        <v>3.7050000000000001</v>
      </c>
    </row>
    <row r="19" spans="1:6" x14ac:dyDescent="0.4">
      <c r="A19" s="47">
        <v>37059</v>
      </c>
      <c r="B19" s="21">
        <v>3.8250000000000002</v>
      </c>
      <c r="C19" s="21">
        <f t="shared" si="0"/>
        <v>3.8450000000000002</v>
      </c>
      <c r="D19" s="21"/>
      <c r="E19" s="21">
        <v>3.6850000000000001</v>
      </c>
      <c r="F19" s="21">
        <f t="shared" si="1"/>
        <v>3.7050000000000001</v>
      </c>
    </row>
    <row r="20" spans="1:6" x14ac:dyDescent="0.4">
      <c r="A20" s="47">
        <v>37060</v>
      </c>
      <c r="B20" s="21">
        <v>3.8250000000000002</v>
      </c>
      <c r="C20" s="21">
        <f t="shared" si="0"/>
        <v>3.8450000000000002</v>
      </c>
      <c r="D20" s="21"/>
      <c r="E20" s="21">
        <v>3.6850000000000001</v>
      </c>
      <c r="F20" s="21">
        <f t="shared" si="1"/>
        <v>3.7050000000000001</v>
      </c>
    </row>
    <row r="21" spans="1:6" x14ac:dyDescent="0.4">
      <c r="A21" s="47">
        <v>37061</v>
      </c>
      <c r="B21" s="21">
        <v>3.91</v>
      </c>
      <c r="C21" s="21">
        <f t="shared" si="0"/>
        <v>3.93</v>
      </c>
      <c r="D21" s="21"/>
      <c r="E21" s="21">
        <v>3.8450000000000002</v>
      </c>
      <c r="F21" s="21">
        <f t="shared" si="1"/>
        <v>3.8650000000000002</v>
      </c>
    </row>
    <row r="22" spans="1:6" x14ac:dyDescent="0.4">
      <c r="A22" s="47">
        <v>37062</v>
      </c>
      <c r="B22" s="21">
        <v>3.98</v>
      </c>
      <c r="C22" s="21">
        <f t="shared" si="0"/>
        <v>4</v>
      </c>
      <c r="D22" s="21"/>
      <c r="E22" s="21">
        <v>3.9449999999999998</v>
      </c>
      <c r="F22" s="21">
        <f t="shared" si="1"/>
        <v>3.9649999999999999</v>
      </c>
    </row>
    <row r="23" spans="1:6" x14ac:dyDescent="0.4">
      <c r="A23" s="47">
        <v>37063</v>
      </c>
      <c r="B23" s="21">
        <v>3.855</v>
      </c>
      <c r="C23" s="21">
        <f t="shared" si="0"/>
        <v>3.875</v>
      </c>
      <c r="D23" s="21"/>
      <c r="E23" s="21">
        <v>3.8149999999999999</v>
      </c>
      <c r="F23" s="21">
        <f t="shared" si="1"/>
        <v>3.835</v>
      </c>
    </row>
    <row r="24" spans="1:6" x14ac:dyDescent="0.4">
      <c r="A24" s="47">
        <v>37064</v>
      </c>
      <c r="B24" s="21">
        <v>3.68</v>
      </c>
      <c r="C24" s="21">
        <f t="shared" si="0"/>
        <v>3.7</v>
      </c>
      <c r="D24" s="21"/>
      <c r="E24" s="21">
        <v>3.6150000000000002</v>
      </c>
      <c r="F24" s="21">
        <f t="shared" si="1"/>
        <v>3.6350000000000002</v>
      </c>
    </row>
    <row r="25" spans="1:6" x14ac:dyDescent="0.4">
      <c r="A25" s="47">
        <v>37065</v>
      </c>
      <c r="B25" s="21">
        <v>3.645</v>
      </c>
      <c r="C25" s="21">
        <f t="shared" si="0"/>
        <v>3.665</v>
      </c>
      <c r="D25" s="21"/>
      <c r="E25" s="21">
        <v>3.52</v>
      </c>
      <c r="F25" s="21">
        <f t="shared" si="1"/>
        <v>3.54</v>
      </c>
    </row>
    <row r="26" spans="1:6" x14ac:dyDescent="0.4">
      <c r="A26" s="47">
        <v>37066</v>
      </c>
      <c r="B26" s="21">
        <v>3.645</v>
      </c>
      <c r="C26" s="21">
        <f t="shared" si="0"/>
        <v>3.665</v>
      </c>
      <c r="D26" s="21"/>
      <c r="E26" s="21">
        <v>3.52</v>
      </c>
      <c r="F26" s="21">
        <f t="shared" si="1"/>
        <v>3.54</v>
      </c>
    </row>
    <row r="27" spans="1:6" x14ac:dyDescent="0.4">
      <c r="A27" s="47">
        <v>37067</v>
      </c>
      <c r="B27" s="21">
        <v>3.645</v>
      </c>
      <c r="C27" s="21">
        <f t="shared" si="0"/>
        <v>3.665</v>
      </c>
      <c r="D27" s="21"/>
      <c r="E27" s="21">
        <v>3.52</v>
      </c>
      <c r="F27" s="21">
        <f t="shared" si="1"/>
        <v>3.54</v>
      </c>
    </row>
    <row r="28" spans="1:6" x14ac:dyDescent="0.4">
      <c r="A28" s="47">
        <v>37068</v>
      </c>
      <c r="B28" s="21">
        <v>3.5750000000000002</v>
      </c>
      <c r="C28" s="21">
        <f t="shared" si="0"/>
        <v>3.5950000000000002</v>
      </c>
      <c r="D28" s="21"/>
      <c r="E28" s="21">
        <v>3.5350000000000001</v>
      </c>
      <c r="F28" s="21">
        <f t="shared" si="1"/>
        <v>3.5550000000000002</v>
      </c>
    </row>
    <row r="29" spans="1:6" x14ac:dyDescent="0.4">
      <c r="A29" s="47">
        <v>37069</v>
      </c>
      <c r="B29" s="21">
        <v>3.45</v>
      </c>
      <c r="C29" s="21">
        <f t="shared" si="0"/>
        <v>3.47</v>
      </c>
      <c r="D29" s="21"/>
      <c r="E29" s="21">
        <v>3.4</v>
      </c>
      <c r="F29" s="21">
        <f t="shared" si="1"/>
        <v>3.42</v>
      </c>
    </row>
    <row r="30" spans="1:6" x14ac:dyDescent="0.4">
      <c r="A30" s="47">
        <v>37070</v>
      </c>
      <c r="B30" s="21">
        <v>3.41</v>
      </c>
      <c r="C30" s="21">
        <f t="shared" si="0"/>
        <v>3.43</v>
      </c>
      <c r="D30" s="21"/>
      <c r="E30" s="21">
        <v>3.33</v>
      </c>
      <c r="F30" s="21">
        <f t="shared" si="1"/>
        <v>3.35</v>
      </c>
    </row>
    <row r="31" spans="1:6" x14ac:dyDescent="0.4">
      <c r="A31" s="47">
        <v>37071</v>
      </c>
      <c r="B31" s="21">
        <v>3.2349999999999999</v>
      </c>
      <c r="C31" s="21">
        <f t="shared" si="0"/>
        <v>3.2549999999999999</v>
      </c>
      <c r="D31" s="21"/>
      <c r="E31" s="21">
        <v>3.1150000000000002</v>
      </c>
      <c r="F31" s="21">
        <f t="shared" si="1"/>
        <v>3.1350000000000002</v>
      </c>
    </row>
    <row r="32" spans="1:6" x14ac:dyDescent="0.4">
      <c r="A32" s="47">
        <v>37072</v>
      </c>
      <c r="B32" s="21">
        <v>3.2349999999999999</v>
      </c>
      <c r="C32" s="21">
        <f t="shared" si="0"/>
        <v>3.2549999999999999</v>
      </c>
      <c r="D32" s="21"/>
      <c r="E32" s="21">
        <v>3.1150000000000002</v>
      </c>
      <c r="F32" s="21">
        <f t="shared" si="1"/>
        <v>3.1350000000000002</v>
      </c>
    </row>
    <row r="33" spans="1:6" ht="16.8" thickBot="1" x14ac:dyDescent="0.45">
      <c r="A33" s="47"/>
      <c r="B33" s="48"/>
      <c r="C33" s="48"/>
      <c r="D33" s="48"/>
      <c r="E33" s="48"/>
      <c r="F33" s="48"/>
    </row>
    <row r="34" spans="1:6" ht="16.8" x14ac:dyDescent="0.45">
      <c r="A34" s="2" t="s">
        <v>13</v>
      </c>
      <c r="B34" s="21">
        <f>ROUND(AVERAGE(B3:B32),4)</f>
        <v>3.7313000000000001</v>
      </c>
      <c r="C34" s="21"/>
      <c r="D34" s="21"/>
      <c r="E34" s="21">
        <f>ROUND(AVERAGE(E3:E32),4)</f>
        <v>3.6118000000000001</v>
      </c>
    </row>
    <row r="35" spans="1:6" ht="16.8" x14ac:dyDescent="0.45">
      <c r="A35" s="2"/>
      <c r="B35" s="21"/>
      <c r="C35" s="21"/>
      <c r="D35" s="21"/>
      <c r="E35" s="21"/>
    </row>
    <row r="36" spans="1:6" ht="16.8" x14ac:dyDescent="0.45">
      <c r="A36" s="2"/>
      <c r="B36" s="21"/>
      <c r="C36" s="21"/>
      <c r="D36" s="21"/>
      <c r="E36" s="21"/>
    </row>
    <row r="37" spans="1:6" ht="16.8" x14ac:dyDescent="0.45">
      <c r="A37" s="2" t="s">
        <v>14</v>
      </c>
      <c r="B37" s="21"/>
      <c r="C37" s="21"/>
      <c r="D37" s="21"/>
      <c r="E37" s="21"/>
    </row>
    <row r="38" spans="1:6" ht="17.399999999999999" thickBot="1" x14ac:dyDescent="0.5">
      <c r="A38" s="2" t="s">
        <v>15</v>
      </c>
      <c r="B38" s="49">
        <f>+B34+0.02</f>
        <v>3.7513000000000001</v>
      </c>
      <c r="C38" s="49"/>
      <c r="D38" s="50"/>
      <c r="E38" s="49">
        <f>+E34+0.02</f>
        <v>3.6318000000000001</v>
      </c>
    </row>
    <row r="39" spans="1:6" ht="17.399999999999999" thickTop="1" x14ac:dyDescent="0.45">
      <c r="B39" s="2" t="s">
        <v>17</v>
      </c>
      <c r="C39" s="2"/>
      <c r="D39" s="2"/>
      <c r="E39" s="2" t="s">
        <v>16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Volumes</vt:lpstr>
      <vt:lpstr>Prices</vt:lpstr>
      <vt:lpstr>Sheet3</vt:lpstr>
      <vt:lpstr>Prices!Print_Area</vt:lpstr>
      <vt:lpstr>Volumes!Print_Area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mmccoy</dc:creator>
  <cp:lastModifiedBy>Havlíček Jan</cp:lastModifiedBy>
  <cp:lastPrinted>2001-08-10T17:51:48Z</cp:lastPrinted>
  <dcterms:created xsi:type="dcterms:W3CDTF">2001-03-14T18:43:35Z</dcterms:created>
  <dcterms:modified xsi:type="dcterms:W3CDTF">2023-09-10T15:51:11Z</dcterms:modified>
</cp:coreProperties>
</file>