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420" windowHeight="4752" tabRatio="601"/>
  </bookViews>
  <sheets>
    <sheet name="Summary" sheetId="12" r:id="rId1"/>
    <sheet name="Table 4-3" sheetId="19" r:id="rId2"/>
    <sheet name="Table 4-4" sheetId="11" r:id="rId3"/>
    <sheet name="Table 4-5" sheetId="10" r:id="rId4"/>
    <sheet name="Table 4-6" sheetId="9" r:id="rId5"/>
    <sheet name="Table 4-7" sheetId="8" r:id="rId6"/>
    <sheet name="Table 4-8" sheetId="7" r:id="rId7"/>
    <sheet name="Table 4-9" sheetId="6" r:id="rId8"/>
    <sheet name="Table 4-10" sheetId="5" r:id="rId9"/>
    <sheet name="Table 4-11" sheetId="1" r:id="rId10"/>
    <sheet name="Table 4-12" sheetId="2" r:id="rId11"/>
    <sheet name="Table 4-13" sheetId="15" r:id="rId12"/>
    <sheet name="Table 4-14" sheetId="14" r:id="rId13"/>
    <sheet name="Table 4-15" sheetId="13" r:id="rId14"/>
    <sheet name="Table 4-16" sheetId="4" r:id="rId15"/>
    <sheet name="Table 4-17" sheetId="16" r:id="rId16"/>
    <sheet name="Sheet1" sheetId="18" r:id="rId17"/>
  </sheets>
  <externalReferences>
    <externalReference r:id="rId18"/>
  </externalReferences>
  <definedNames>
    <definedName name="_xlnm.Print_Area" localSheetId="15">'Table 4-17'!$A$1:$AH$33</definedName>
    <definedName name="_xlnm.Print_Area" localSheetId="1">'Table 4-3'!$A$1:$AH$33</definedName>
    <definedName name="_xlnm.Print_Titles" localSheetId="15">'Table 4-17'!$A:$A,'Table 4-17'!$1:$4</definedName>
    <definedName name="_xlnm.Print_Titles" localSheetId="1">'Table 4-3'!$A:$A,'Table 4-3'!$1:$4</definedName>
  </definedNames>
  <calcPr calcId="0" fullCalcOnLoad="1" iterate="1"/>
</workbook>
</file>

<file path=xl/calcChain.xml><?xml version="1.0" encoding="utf-8"?>
<calcChain xmlns="http://schemas.openxmlformats.org/spreadsheetml/2006/main">
  <c r="C22" i="5" l="1"/>
  <c r="D22" i="5"/>
  <c r="E22" i="5"/>
  <c r="D6" i="1"/>
  <c r="F6" i="1"/>
  <c r="H6" i="1"/>
  <c r="J6" i="1"/>
  <c r="D7" i="1"/>
  <c r="F7" i="1"/>
  <c r="H7" i="1"/>
  <c r="J7" i="1"/>
  <c r="D8" i="1"/>
  <c r="F8" i="1"/>
  <c r="H8" i="1"/>
  <c r="J8" i="1"/>
  <c r="D9" i="1"/>
  <c r="F9" i="1"/>
  <c r="H9" i="1"/>
  <c r="J9" i="1"/>
  <c r="D11" i="1"/>
  <c r="F11" i="1"/>
  <c r="H11" i="1"/>
  <c r="J11" i="1"/>
  <c r="D12" i="1"/>
  <c r="F12" i="1"/>
  <c r="H12" i="1"/>
  <c r="J12" i="1"/>
  <c r="D13" i="1"/>
  <c r="F13" i="1"/>
  <c r="H13" i="1"/>
  <c r="J13" i="1"/>
  <c r="D15" i="1"/>
  <c r="F15" i="1"/>
  <c r="H15" i="1"/>
  <c r="J15" i="1"/>
  <c r="D16" i="1"/>
  <c r="F16" i="1"/>
  <c r="H16" i="1"/>
  <c r="J16" i="1"/>
  <c r="D17" i="1"/>
  <c r="F17" i="1"/>
  <c r="H17" i="1"/>
  <c r="J17" i="1"/>
  <c r="D18" i="1"/>
  <c r="F18" i="1"/>
  <c r="H18" i="1"/>
  <c r="J18" i="1"/>
  <c r="D19" i="1"/>
  <c r="F19" i="1"/>
  <c r="H19" i="1"/>
  <c r="J19" i="1"/>
  <c r="D20" i="1"/>
  <c r="F20" i="1"/>
  <c r="H20" i="1"/>
  <c r="J20" i="1"/>
  <c r="D21" i="1"/>
  <c r="F21" i="1"/>
  <c r="H21" i="1"/>
  <c r="J21" i="1"/>
  <c r="D22" i="1"/>
  <c r="F22" i="1"/>
  <c r="H22" i="1"/>
  <c r="J22" i="1"/>
  <c r="C22" i="2"/>
  <c r="E22" i="2"/>
  <c r="G22" i="2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E10" i="4"/>
  <c r="D11" i="4"/>
  <c r="E11" i="4"/>
  <c r="D16" i="4"/>
  <c r="E16" i="4"/>
  <c r="D17" i="4"/>
  <c r="E17" i="4"/>
  <c r="D18" i="4"/>
  <c r="E18" i="4"/>
  <c r="D19" i="4"/>
  <c r="E19" i="4"/>
  <c r="J1" i="16"/>
  <c r="AM6" i="16"/>
  <c r="AN6" i="16"/>
  <c r="AM8" i="16"/>
  <c r="AN8" i="16"/>
  <c r="AM10" i="16"/>
  <c r="AN10" i="16"/>
  <c r="AM12" i="16"/>
  <c r="AN12" i="16"/>
  <c r="AM14" i="16"/>
  <c r="AN14" i="16"/>
  <c r="AM15" i="16"/>
  <c r="AN15" i="16"/>
  <c r="AM16" i="16"/>
  <c r="AN16" i="16"/>
  <c r="AM17" i="16"/>
  <c r="AN17" i="16"/>
  <c r="AM19" i="16"/>
  <c r="AN19" i="16"/>
  <c r="AM20" i="16"/>
  <c r="AN20" i="16"/>
  <c r="AM21" i="16"/>
  <c r="AN21" i="16"/>
  <c r="AM22" i="16"/>
  <c r="AN22" i="16"/>
  <c r="AM24" i="16"/>
  <c r="AN24" i="16"/>
  <c r="AM26" i="16"/>
  <c r="AN26" i="16"/>
  <c r="AM28" i="16"/>
  <c r="AN28" i="16"/>
  <c r="AM30" i="16"/>
  <c r="AN30" i="16"/>
  <c r="AM33" i="16"/>
  <c r="AN33" i="16"/>
  <c r="S34" i="16"/>
  <c r="T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J1" i="19"/>
  <c r="AM6" i="19"/>
  <c r="AN6" i="19"/>
  <c r="AM8" i="19"/>
  <c r="AN8" i="19"/>
  <c r="AM10" i="19"/>
  <c r="AN10" i="19"/>
  <c r="AM12" i="19"/>
  <c r="AN12" i="19"/>
  <c r="AM14" i="19"/>
  <c r="AN14" i="19"/>
  <c r="AM15" i="19"/>
  <c r="AN15" i="19"/>
  <c r="AM16" i="19"/>
  <c r="AN16" i="19"/>
  <c r="AM17" i="19"/>
  <c r="AN17" i="19"/>
  <c r="AM19" i="19"/>
  <c r="AN19" i="19"/>
  <c r="AM20" i="19"/>
  <c r="AN20" i="19"/>
  <c r="AM21" i="19"/>
  <c r="AN21" i="19"/>
  <c r="AM22" i="19"/>
  <c r="AN22" i="19"/>
  <c r="AM24" i="19"/>
  <c r="AN24" i="19"/>
  <c r="AM26" i="19"/>
  <c r="AN26" i="19"/>
  <c r="AM28" i="19"/>
  <c r="AN28" i="19"/>
  <c r="AM30" i="19"/>
  <c r="AN30" i="19"/>
  <c r="AM33" i="19"/>
  <c r="AN33" i="19"/>
  <c r="S34" i="19"/>
  <c r="T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B6" i="11"/>
  <c r="C6" i="11"/>
  <c r="D6" i="11"/>
  <c r="B7" i="11"/>
  <c r="C7" i="11"/>
  <c r="D7" i="11"/>
  <c r="E7" i="11"/>
  <c r="B8" i="11"/>
  <c r="C8" i="11"/>
  <c r="D8" i="11"/>
  <c r="B9" i="11"/>
  <c r="C9" i="11"/>
  <c r="D9" i="11"/>
  <c r="B11" i="11"/>
  <c r="C11" i="11"/>
  <c r="D11" i="11"/>
  <c r="E11" i="11"/>
  <c r="B12" i="11"/>
  <c r="C12" i="11"/>
  <c r="D12" i="11"/>
  <c r="B13" i="11"/>
  <c r="C13" i="11"/>
  <c r="D13" i="11"/>
  <c r="B15" i="11"/>
  <c r="C15" i="11"/>
  <c r="D15" i="11"/>
  <c r="E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E22" i="11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C5" i="9"/>
  <c r="E5" i="9"/>
  <c r="G5" i="9"/>
  <c r="C6" i="9"/>
  <c r="E6" i="9"/>
  <c r="F6" i="9"/>
  <c r="G6" i="9"/>
  <c r="C7" i="9"/>
  <c r="E7" i="9"/>
  <c r="G7" i="9"/>
  <c r="C8" i="9"/>
  <c r="E8" i="9"/>
  <c r="G8" i="9"/>
  <c r="C10" i="9"/>
  <c r="E10" i="9"/>
  <c r="G10" i="9"/>
  <c r="C11" i="9"/>
  <c r="E11" i="9"/>
  <c r="G11" i="9"/>
  <c r="C12" i="9"/>
  <c r="E12" i="9"/>
  <c r="G12" i="9"/>
  <c r="C14" i="9"/>
  <c r="E14" i="9"/>
  <c r="G14" i="9"/>
  <c r="C15" i="9"/>
  <c r="E15" i="9"/>
  <c r="G15" i="9"/>
  <c r="C16" i="9"/>
  <c r="E16" i="9"/>
  <c r="G16" i="9"/>
  <c r="C17" i="9"/>
  <c r="E17" i="9"/>
  <c r="G17" i="9"/>
  <c r="C18" i="9"/>
  <c r="E18" i="9"/>
  <c r="G18" i="9"/>
  <c r="C19" i="9"/>
  <c r="E19" i="9"/>
  <c r="G19" i="9"/>
  <c r="C20" i="9"/>
  <c r="E20" i="9"/>
  <c r="G20" i="9"/>
  <c r="C21" i="9"/>
  <c r="E21" i="9"/>
  <c r="F21" i="9"/>
  <c r="G21" i="9"/>
  <c r="C5" i="8"/>
  <c r="E5" i="8"/>
  <c r="C6" i="8"/>
  <c r="D6" i="8"/>
  <c r="E6" i="8"/>
  <c r="C7" i="8"/>
  <c r="E7" i="8"/>
  <c r="C8" i="8"/>
  <c r="E8" i="8"/>
  <c r="C10" i="8"/>
  <c r="E10" i="8"/>
  <c r="C11" i="8"/>
  <c r="E11" i="8"/>
  <c r="C12" i="8"/>
  <c r="E12" i="8"/>
  <c r="C14" i="8"/>
  <c r="E14" i="8"/>
  <c r="C15" i="8"/>
  <c r="E15" i="8"/>
  <c r="C16" i="8"/>
  <c r="E16" i="8"/>
  <c r="C17" i="8"/>
  <c r="E17" i="8"/>
  <c r="C18" i="8"/>
  <c r="E18" i="8"/>
  <c r="C19" i="8"/>
  <c r="E19" i="8"/>
  <c r="C20" i="8"/>
  <c r="E20" i="8"/>
  <c r="B21" i="8"/>
  <c r="C21" i="8"/>
  <c r="D21" i="8"/>
  <c r="E21" i="8"/>
  <c r="C5" i="7"/>
  <c r="E5" i="7"/>
  <c r="C6" i="7"/>
  <c r="D6" i="7"/>
  <c r="E6" i="7"/>
  <c r="C7" i="7"/>
  <c r="E7" i="7"/>
  <c r="C8" i="7"/>
  <c r="E8" i="7"/>
  <c r="C10" i="7"/>
  <c r="E10" i="7"/>
  <c r="C11" i="7"/>
  <c r="E11" i="7"/>
  <c r="C12" i="7"/>
  <c r="E12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B21" i="7"/>
  <c r="C21" i="7"/>
  <c r="D21" i="7"/>
  <c r="E21" i="7"/>
  <c r="C5" i="6"/>
  <c r="E5" i="6"/>
  <c r="G5" i="6"/>
  <c r="C6" i="6"/>
  <c r="E6" i="6"/>
  <c r="F6" i="6"/>
  <c r="G6" i="6"/>
  <c r="C7" i="6"/>
  <c r="E7" i="6"/>
  <c r="G7" i="6"/>
  <c r="C8" i="6"/>
  <c r="E8" i="6"/>
  <c r="G8" i="6"/>
  <c r="C10" i="6"/>
  <c r="E10" i="6"/>
  <c r="G10" i="6"/>
  <c r="C11" i="6"/>
  <c r="E11" i="6"/>
  <c r="G11" i="6"/>
  <c r="C12" i="6"/>
  <c r="E12" i="6"/>
  <c r="G12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F21" i="6"/>
  <c r="G21" i="6"/>
</calcChain>
</file>

<file path=xl/sharedStrings.xml><?xml version="1.0" encoding="utf-8"?>
<sst xmlns="http://schemas.openxmlformats.org/spreadsheetml/2006/main" count="803" uniqueCount="198">
  <si>
    <t>Table No.</t>
  </si>
  <si>
    <t>Title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</si>
  <si>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</si>
  <si>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</si>
  <si>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</si>
  <si>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</si>
  <si>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</si>
  <si>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</si>
  <si>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</si>
  <si>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</si>
  <si>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</si>
  <si>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</si>
  <si>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</si>
  <si>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</si>
  <si>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</si>
  <si>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</si>
  <si>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</si>
  <si>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CLASS DEFINITION</t>
  </si>
  <si>
    <t>ALLOCATION METHODOLOGY</t>
  </si>
  <si>
    <t>MARGINAL COST REVENUE</t>
  </si>
  <si>
    <t>EPMC ALLOCATION FACTORS</t>
  </si>
  <si>
    <t xml:space="preserve">MARGINAL CUSTOMER COST </t>
  </si>
  <si>
    <t>MARGINAL HOOKUP COST REVENUE</t>
  </si>
  <si>
    <t>ONGOING MARGINAL COST REVENUE</t>
  </si>
  <si>
    <t>MARGINAL DEMAND-RELATED COST REVENUE</t>
  </si>
  <si>
    <t>DISTRIBUTION REVENUE</t>
  </si>
  <si>
    <t>DISTRIBUTION AVERAGE RATES</t>
  </si>
  <si>
    <t>CLASS REVENUE SHARES</t>
  </si>
  <si>
    <t>Rate Class</t>
  </si>
  <si>
    <t>PG&amp;E</t>
  </si>
  <si>
    <t>ORA</t>
  </si>
  <si>
    <t>%</t>
  </si>
  <si>
    <t>Residential</t>
  </si>
  <si>
    <t>Small L&amp;P</t>
  </si>
  <si>
    <t>Medium L&amp;P</t>
  </si>
  <si>
    <t>Agriculture</t>
  </si>
  <si>
    <t>E-19</t>
  </si>
  <si>
    <t>E-20</t>
  </si>
  <si>
    <t>T</t>
  </si>
  <si>
    <t>P</t>
  </si>
  <si>
    <t>S</t>
  </si>
  <si>
    <t>Standby</t>
  </si>
  <si>
    <t>Streetlights</t>
  </si>
  <si>
    <t>Traffic Lights</t>
  </si>
  <si>
    <t>Contracts</t>
  </si>
  <si>
    <t>Total</t>
  </si>
  <si>
    <t>Present</t>
  </si>
  <si>
    <t>TABLE 4-4</t>
  </si>
  <si>
    <t>TABLE 4-5</t>
  </si>
  <si>
    <t>TABLE 4-6</t>
  </si>
  <si>
    <t>TABLE 4-8</t>
  </si>
  <si>
    <t>TABLE 4-7</t>
  </si>
  <si>
    <t>TABLE 4-9</t>
  </si>
  <si>
    <t>Proposed</t>
  </si>
  <si>
    <t>No Ag</t>
  </si>
  <si>
    <t>Full EPMC</t>
  </si>
  <si>
    <t>15% Capped EPMC</t>
  </si>
  <si>
    <t>TABLE 4-10</t>
  </si>
  <si>
    <t>(Thousands of Dollars)</t>
  </si>
  <si>
    <t>PX @ 3.0</t>
  </si>
  <si>
    <t>PX @ 6.0</t>
  </si>
  <si>
    <t>PX @ 10.0</t>
  </si>
  <si>
    <t>TABLE 4-14</t>
  </si>
  <si>
    <t>TABLE 4-15</t>
  </si>
  <si>
    <t>TABLE 4-11</t>
  </si>
  <si>
    <t>TABLE 4-13</t>
  </si>
  <si>
    <t>(Cents/kWh)</t>
  </si>
  <si>
    <t>1/</t>
  </si>
  <si>
    <t>(From 1/1/99)</t>
  </si>
  <si>
    <t>ILLUSTRATIVE POST-FREEZE TOTAL PERCENT CHANGE  1/</t>
  </si>
  <si>
    <t>2/ Demand-related distribution marginal costs only.</t>
  </si>
  <si>
    <t>Base Case 1/</t>
  </si>
  <si>
    <t>CLASS REVENUE SHARES  1/</t>
  </si>
  <si>
    <t xml:space="preserve">1/ Percent Change is from the present rates based on proposed class definitions. </t>
  </si>
  <si>
    <t>FUNCTIONAL REVENUE ALLOCATION AND AVERAGE RATES</t>
  </si>
  <si>
    <t>POST-FREEZE TOTAL AVERAGE RATES</t>
  </si>
  <si>
    <t>TOTAL PERCENT CHANGE</t>
  </si>
  <si>
    <t>List of Tables</t>
  </si>
  <si>
    <t>Chapter 4</t>
  </si>
  <si>
    <t>4-16</t>
  </si>
  <si>
    <t>4-17</t>
  </si>
  <si>
    <t>(Scenario No. 1)</t>
  </si>
  <si>
    <t>TABLE 4-12</t>
  </si>
  <si>
    <t>Alternate MC  2/</t>
  </si>
  <si>
    <t>TABLE 4-16</t>
  </si>
  <si>
    <t xml:space="preserve">UPDATED AND ESTIMATED CHANGES </t>
  </si>
  <si>
    <t>(2001)</t>
  </si>
  <si>
    <t>Proceeding</t>
  </si>
  <si>
    <t>Proposed Change</t>
  </si>
  <si>
    <t>2001 Attrition</t>
  </si>
  <si>
    <t>2000 Cost of Capital</t>
  </si>
  <si>
    <t>Reference</t>
  </si>
  <si>
    <t>2001 Cost of Capital</t>
  </si>
  <si>
    <t>Exh. B, Table 2</t>
  </si>
  <si>
    <t>Distribution</t>
  </si>
  <si>
    <t>Function</t>
  </si>
  <si>
    <t xml:space="preserve">FUNCTIONAL REVENUE REQUIREMENT  </t>
  </si>
  <si>
    <t>(To be determined)</t>
  </si>
  <si>
    <t>Subtotal</t>
  </si>
  <si>
    <t>Line No.</t>
  </si>
  <si>
    <t>A.00-07-013</t>
  </si>
  <si>
    <t>Page 7-1</t>
  </si>
  <si>
    <t>ERCA Adjustments:</t>
  </si>
  <si>
    <t>FF&amp;U and Interests</t>
  </si>
  <si>
    <t>($ Million)</t>
  </si>
  <si>
    <t>CTC  1/</t>
  </si>
  <si>
    <t>UPDATED AND ESTIMATED CHANGES IN FUNCTIONAL REVENUE REQUIREMENT FOR 2001</t>
  </si>
  <si>
    <t>A.00-05-013</t>
  </si>
  <si>
    <t>Authorized or</t>
  </si>
  <si>
    <t>Amount Incl.</t>
  </si>
  <si>
    <t>in ORA Scenario No 1</t>
  </si>
  <si>
    <t>D.00-06-040</t>
  </si>
  <si>
    <t>2/</t>
  </si>
  <si>
    <t>Page 23, OP 3</t>
  </si>
  <si>
    <t>CTC, PPP &amp; ND REVENUES</t>
  </si>
  <si>
    <t>PPP</t>
  </si>
  <si>
    <t>CTC</t>
  </si>
  <si>
    <t>ND</t>
  </si>
  <si>
    <t>CTC, PPP &amp; ND REVENUES  1/</t>
  </si>
  <si>
    <t>PG&amp;E  1/</t>
  </si>
  <si>
    <t>ORA  2/</t>
  </si>
  <si>
    <t>Present  1/</t>
  </si>
  <si>
    <t>PG&amp;E  2/</t>
  </si>
  <si>
    <t>ORA  3/</t>
  </si>
  <si>
    <t>ORA   3/</t>
  </si>
  <si>
    <t>2/  Based on PG&amp;E's proposed class definitions.</t>
  </si>
  <si>
    <t>3/  Based on ORA's proposed class definitions.</t>
  </si>
  <si>
    <t>1/  Based on PG&amp;E's current class definitions.</t>
  </si>
  <si>
    <t>2/  Based on ORA's proposed class definitions</t>
  </si>
  <si>
    <t>1/  Based on PG&amp;E's proposed class definitions.</t>
  </si>
  <si>
    <t>2/  Based on ORA's proposed class definitions.</t>
  </si>
  <si>
    <t>Page No.</t>
  </si>
  <si>
    <t>19-20</t>
  </si>
  <si>
    <t>34-35</t>
  </si>
  <si>
    <t>1/ Based on 1/1/99 present rates and current class definition.</t>
  </si>
  <si>
    <t xml:space="preserve">1/   6/10/96 &amp; 1/1/99 percents are based on current class definition.  </t>
  </si>
  <si>
    <t>1/  Based on 1/1/99 present rates and current class definitions.</t>
  </si>
  <si>
    <t xml:space="preserve">Restructuring implementation related costs, presumably based on CTC top 100 hour allocation. </t>
  </si>
  <si>
    <t>1/ Demand-related distribution and customer marginal costs.</t>
  </si>
  <si>
    <t>1/  Demand-related distribution and customer marginal costs.</t>
  </si>
  <si>
    <t>2/  Demand-related distribution marginal costs only.</t>
  </si>
  <si>
    <t>1/  The differences between PG&amp;E's and ORA's revenues are due to different proposed class definitions and CARE revenues.</t>
  </si>
  <si>
    <t>ORA includes $0 if PG&amp;E will recover the increases through TRA prior to rate freeze or the increases are to be determined.</t>
  </si>
  <si>
    <t xml:space="preserve">      PG&amp;E's and ORA's percents are based on proposed class definitions and a PX proxy of 3.0 cents/kWh.</t>
  </si>
  <si>
    <t>V</t>
  </si>
  <si>
    <t>Revenue</t>
  </si>
  <si>
    <t>Generation</t>
  </si>
  <si>
    <t>Reliability</t>
  </si>
  <si>
    <t>Total,</t>
  </si>
  <si>
    <t>Average</t>
  </si>
  <si>
    <t xml:space="preserve">Public </t>
  </si>
  <si>
    <t>Nuclear</t>
  </si>
  <si>
    <t>Percent</t>
  </si>
  <si>
    <t>o</t>
  </si>
  <si>
    <t>at</t>
  </si>
  <si>
    <t>Transmission</t>
  </si>
  <si>
    <t>Publ. Purpose</t>
  </si>
  <si>
    <t>Nuc. Dec.</t>
  </si>
  <si>
    <t>Services</t>
  </si>
  <si>
    <t>Post-Freeze</t>
  </si>
  <si>
    <t>FTA</t>
  </si>
  <si>
    <t>RRB Mem</t>
  </si>
  <si>
    <t>with FTA</t>
  </si>
  <si>
    <t>Purpose</t>
  </si>
  <si>
    <t>Decomm.</t>
  </si>
  <si>
    <t>Change</t>
  </si>
  <si>
    <t>Class/Schedule</t>
  </si>
  <si>
    <t>l</t>
  </si>
  <si>
    <t>Annual Sales</t>
  </si>
  <si>
    <t>1/1/99 Rates</t>
  </si>
  <si>
    <t xml:space="preserve">6/10/96 Rates </t>
  </si>
  <si>
    <t>(PX Proxy)</t>
  </si>
  <si>
    <t>and RRB</t>
  </si>
  <si>
    <t>Rates</t>
  </si>
  <si>
    <t>1996</t>
  </si>
  <si>
    <t>1999</t>
  </si>
  <si>
    <t>t</t>
  </si>
  <si>
    <t>[A]</t>
  </si>
  <si>
    <t>[B]</t>
  </si>
  <si>
    <t>[C]</t>
  </si>
  <si>
    <t>[D]</t>
  </si>
  <si>
    <t>[E]</t>
  </si>
  <si>
    <t>[F]</t>
  </si>
  <si>
    <t>[G]</t>
  </si>
  <si>
    <t>[H]</t>
  </si>
  <si>
    <t>[I]</t>
  </si>
  <si>
    <t>[J]</t>
  </si>
  <si>
    <t>[K]</t>
  </si>
  <si>
    <t>[L]</t>
  </si>
  <si>
    <t>[M]</t>
  </si>
  <si>
    <t>[N]</t>
  </si>
  <si>
    <t>[O]</t>
  </si>
  <si>
    <t>Large E-19</t>
  </si>
  <si>
    <t>Total E-19</t>
  </si>
  <si>
    <t>Large E-20</t>
  </si>
  <si>
    <t>Total E-20</t>
  </si>
  <si>
    <t>System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</si>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</sst>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3" formatCode="_(* #,##0.00_);_(* \(#,##0.00\);_(* &quot;-&quot;??_);_(@_)"/>
    <numFmt numFmtId="164" formatCode="0.0%"/>
    <numFmt numFmtId="166" formatCode="&quot;$&quot;#,##0.0_);\(&quot;$&quot;#,##0.0\)"/>
    <numFmt numFmtId="167" formatCode="&quot;$&quot;#,##0"/>
    <numFmt numFmtId="171" formatCode="m/d/yy"/>
    <numFmt numFmtId="172" formatCode=".0000;\(.0000\)"/>
    <numFmt numFmtId="173" formatCode="#,###,"/>
    <numFmt numFmtId="174" formatCode="&quot;$&quot;#,###,"/>
  </numFmts>
  <fonts count="14" x14ac:knownFonts="1">
    <font>
      <sz val="10"/>
      <name val="Arial"/>
    </font>
    <font>
      <sz val="10"/>
      <name val="Arial"/>
    </font>
    <font>
      <sz val="12"/>
      <name val="Times New Roman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8"/>
      <name val="Times New Roman"/>
      <family val="1"/>
    </font>
    <font>
      <sz val="12"/>
      <name val="Times New Roman"/>
    </font>
    <font>
      <b/>
      <i/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9"/>
      <name val="Helv"/>
    </font>
    <font>
      <i/>
      <sz val="10"/>
      <color indexed="10"/>
      <name val="Times New Roman"/>
      <family val="1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1" fillId="0" borderId="0" applyProtection="0"/>
    <xf numFmtId="0" fontId="11" fillId="0" borderId="0" applyProtection="0"/>
    <xf numFmtId="9" fontId="1" fillId="0" borderId="0" applyFont="0" applyFill="0" applyBorder="0" applyAlignment="0" applyProtection="0"/>
  </cellStyleXfs>
  <cellXfs count="28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" fontId="2" fillId="0" borderId="0" xfId="0" quotePrefix="1" applyNumberFormat="1" applyFont="1" applyAlignment="1">
      <alignment horizontal="center"/>
    </xf>
    <xf numFmtId="5" fontId="2" fillId="0" borderId="0" xfId="0" applyNumberFormat="1" applyFont="1"/>
    <xf numFmtId="5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5" fontId="2" fillId="0" borderId="4" xfId="0" applyNumberFormat="1" applyFont="1" applyBorder="1"/>
    <xf numFmtId="0" fontId="2" fillId="0" borderId="5" xfId="0" applyFont="1" applyBorder="1"/>
    <xf numFmtId="5" fontId="2" fillId="0" borderId="6" xfId="0" applyNumberFormat="1" applyFont="1" applyBorder="1"/>
    <xf numFmtId="0" fontId="2" fillId="0" borderId="0" xfId="0" applyFont="1" applyBorder="1" applyAlignment="1">
      <alignment horizontal="center"/>
    </xf>
    <xf numFmtId="164" fontId="2" fillId="0" borderId="1" xfId="5" applyNumberFormat="1" applyFont="1" applyBorder="1"/>
    <xf numFmtId="164" fontId="2" fillId="0" borderId="4" xfId="5" applyNumberFormat="1" applyFont="1" applyBorder="1"/>
    <xf numFmtId="10" fontId="2" fillId="0" borderId="1" xfId="5" applyNumberFormat="1" applyFont="1" applyBorder="1"/>
    <xf numFmtId="10" fontId="2" fillId="0" borderId="4" xfId="5" applyNumberFormat="1" applyFont="1" applyBorder="1"/>
    <xf numFmtId="43" fontId="2" fillId="0" borderId="0" xfId="1" applyNumberFormat="1" applyFont="1" applyAlignment="1">
      <alignment horizontal="center"/>
    </xf>
    <xf numFmtId="43" fontId="2" fillId="0" borderId="0" xfId="1" applyNumberFormat="1" applyFont="1"/>
    <xf numFmtId="43" fontId="2" fillId="0" borderId="5" xfId="1" applyNumberFormat="1" applyFont="1" applyBorder="1"/>
    <xf numFmtId="43" fontId="2" fillId="0" borderId="6" xfId="1" applyNumberFormat="1" applyFont="1" applyBorder="1"/>
    <xf numFmtId="43" fontId="2" fillId="0" borderId="1" xfId="1" applyNumberFormat="1" applyFont="1" applyBorder="1"/>
    <xf numFmtId="43" fontId="2" fillId="0" borderId="7" xfId="1" applyNumberFormat="1" applyFont="1" applyBorder="1"/>
    <xf numFmtId="43" fontId="2" fillId="0" borderId="2" xfId="1" applyNumberFormat="1" applyFont="1" applyBorder="1"/>
    <xf numFmtId="43" fontId="2" fillId="0" borderId="3" xfId="1" applyNumberFormat="1" applyFont="1" applyBorder="1"/>
    <xf numFmtId="43" fontId="2" fillId="0" borderId="4" xfId="1" applyNumberFormat="1" applyFont="1" applyBorder="1"/>
    <xf numFmtId="43" fontId="2" fillId="0" borderId="8" xfId="1" applyNumberFormat="1" applyFont="1" applyBorder="1"/>
    <xf numFmtId="164" fontId="2" fillId="0" borderId="7" xfId="5" applyNumberFormat="1" applyFont="1" applyBorder="1"/>
    <xf numFmtId="164" fontId="2" fillId="0" borderId="8" xfId="5" applyNumberFormat="1" applyFont="1" applyBorder="1"/>
    <xf numFmtId="10" fontId="2" fillId="0" borderId="6" xfId="5" applyNumberFormat="1" applyFont="1" applyBorder="1"/>
    <xf numFmtId="10" fontId="2" fillId="0" borderId="7" xfId="5" applyNumberFormat="1" applyFont="1" applyBorder="1"/>
    <xf numFmtId="10" fontId="2" fillId="0" borderId="8" xfId="5" applyNumberFormat="1" applyFont="1" applyBorder="1"/>
    <xf numFmtId="0" fontId="3" fillId="2" borderId="9" xfId="0" applyFont="1" applyFill="1" applyBorder="1" applyAlignment="1">
      <alignment horizontal="left"/>
    </xf>
    <xf numFmtId="5" fontId="3" fillId="2" borderId="10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43" fontId="3" fillId="2" borderId="12" xfId="1" applyNumberFormat="1" applyFont="1" applyFill="1" applyBorder="1" applyAlignment="1">
      <alignment horizontal="left"/>
    </xf>
    <xf numFmtId="43" fontId="3" fillId="2" borderId="13" xfId="1" applyNumberFormat="1" applyFont="1" applyFill="1" applyBorder="1" applyAlignment="1">
      <alignment horizontal="center"/>
    </xf>
    <xf numFmtId="43" fontId="3" fillId="2" borderId="14" xfId="1" applyNumberFormat="1" applyFont="1" applyFill="1" applyBorder="1" applyAlignment="1">
      <alignment horizontal="left"/>
    </xf>
    <xf numFmtId="43" fontId="3" fillId="2" borderId="15" xfId="1" applyNumberFormat="1" applyFont="1" applyFill="1" applyBorder="1" applyAlignment="1">
      <alignment horizontal="center"/>
    </xf>
    <xf numFmtId="43" fontId="3" fillId="2" borderId="16" xfId="1" applyNumberFormat="1" applyFont="1" applyFill="1" applyBorder="1" applyAlignment="1">
      <alignment horizontal="center"/>
    </xf>
    <xf numFmtId="43" fontId="3" fillId="2" borderId="6" xfId="1" applyNumberFormat="1" applyFont="1" applyFill="1" applyBorder="1" applyAlignment="1">
      <alignment horizontal="center"/>
    </xf>
    <xf numFmtId="43" fontId="3" fillId="2" borderId="5" xfId="1" applyNumberFormat="1" applyFont="1" applyFill="1" applyBorder="1" applyAlignment="1">
      <alignment horizontal="left"/>
    </xf>
    <xf numFmtId="43" fontId="5" fillId="2" borderId="16" xfId="1" applyNumberFormat="1" applyFont="1" applyFill="1" applyBorder="1" applyAlignment="1">
      <alignment horizontal="center"/>
    </xf>
    <xf numFmtId="43" fontId="3" fillId="2" borderId="17" xfId="1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5" fontId="3" fillId="2" borderId="6" xfId="0" applyNumberFormat="1" applyFont="1" applyFill="1" applyBorder="1" applyAlignment="1">
      <alignment horizontal="center"/>
    </xf>
    <xf numFmtId="164" fontId="2" fillId="0" borderId="0" xfId="5" applyNumberFormat="1" applyFont="1"/>
    <xf numFmtId="10" fontId="2" fillId="0" borderId="0" xfId="5" applyNumberFormat="1" applyFont="1"/>
    <xf numFmtId="167" fontId="2" fillId="0" borderId="0" xfId="0" applyNumberFormat="1" applyFont="1" applyAlignment="1">
      <alignment horizontal="center"/>
    </xf>
    <xf numFmtId="167" fontId="2" fillId="0" borderId="0" xfId="0" applyNumberFormat="1" applyFont="1"/>
    <xf numFmtId="167" fontId="2" fillId="0" borderId="1" xfId="0" applyNumberFormat="1" applyFont="1" applyBorder="1"/>
    <xf numFmtId="167" fontId="2" fillId="0" borderId="4" xfId="0" applyNumberFormat="1" applyFont="1" applyBorder="1"/>
    <xf numFmtId="167" fontId="2" fillId="0" borderId="6" xfId="0" applyNumberFormat="1" applyFont="1" applyBorder="1"/>
    <xf numFmtId="10" fontId="2" fillId="0" borderId="17" xfId="5" applyNumberFormat="1" applyFont="1" applyBorder="1"/>
    <xf numFmtId="167" fontId="3" fillId="2" borderId="10" xfId="0" applyNumberFormat="1" applyFont="1" applyFill="1" applyBorder="1" applyAlignment="1">
      <alignment horizontal="center"/>
    </xf>
    <xf numFmtId="10" fontId="3" fillId="2" borderId="10" xfId="5" applyNumberFormat="1" applyFont="1" applyFill="1" applyBorder="1" applyAlignment="1">
      <alignment horizontal="center"/>
    </xf>
    <xf numFmtId="164" fontId="3" fillId="2" borderId="11" xfId="5" applyNumberFormat="1" applyFont="1" applyFill="1" applyBorder="1" applyAlignment="1">
      <alignment horizontal="center"/>
    </xf>
    <xf numFmtId="164" fontId="2" fillId="0" borderId="17" xfId="5" applyNumberFormat="1" applyFont="1" applyBorder="1"/>
    <xf numFmtId="167" fontId="2" fillId="0" borderId="0" xfId="1" applyNumberFormat="1" applyFont="1"/>
    <xf numFmtId="167" fontId="2" fillId="0" borderId="2" xfId="1" applyNumberFormat="1" applyFont="1" applyBorder="1"/>
    <xf numFmtId="167" fontId="2" fillId="0" borderId="3" xfId="1" applyNumberFormat="1" applyFont="1" applyBorder="1"/>
    <xf numFmtId="167" fontId="2" fillId="0" borderId="0" xfId="0" applyNumberFormat="1" applyFont="1" applyAlignment="1"/>
    <xf numFmtId="167" fontId="3" fillId="0" borderId="0" xfId="1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7" fontId="3" fillId="2" borderId="9" xfId="1" applyNumberFormat="1" applyFont="1" applyFill="1" applyBorder="1" applyAlignment="1">
      <alignment horizontal="left"/>
    </xf>
    <xf numFmtId="167" fontId="3" fillId="2" borderId="10" xfId="1" applyNumberFormat="1" applyFont="1" applyFill="1" applyBorder="1" applyAlignment="1">
      <alignment horizontal="center"/>
    </xf>
    <xf numFmtId="5" fontId="2" fillId="0" borderId="6" xfId="0" applyNumberFormat="1" applyFont="1" applyBorder="1" applyAlignment="1">
      <alignment horizontal="right"/>
    </xf>
    <xf numFmtId="5" fontId="2" fillId="0" borderId="1" xfId="0" applyNumberFormat="1" applyFont="1" applyBorder="1" applyAlignment="1">
      <alignment horizontal="right"/>
    </xf>
    <xf numFmtId="5" fontId="2" fillId="0" borderId="4" xfId="0" applyNumberFormat="1" applyFont="1" applyBorder="1" applyAlignment="1">
      <alignment horizontal="right"/>
    </xf>
    <xf numFmtId="5" fontId="2" fillId="0" borderId="1" xfId="1" applyNumberFormat="1" applyFont="1" applyBorder="1"/>
    <xf numFmtId="5" fontId="2" fillId="0" borderId="6" xfId="1" applyNumberFormat="1" applyFont="1" applyFill="1" applyBorder="1" applyAlignment="1">
      <alignment horizontal="right"/>
    </xf>
    <xf numFmtId="5" fontId="2" fillId="0" borderId="17" xfId="1" applyNumberFormat="1" applyFont="1" applyFill="1" applyBorder="1" applyAlignment="1">
      <alignment horizontal="right"/>
    </xf>
    <xf numFmtId="5" fontId="2" fillId="0" borderId="4" xfId="1" applyNumberFormat="1" applyFont="1" applyBorder="1"/>
    <xf numFmtId="5" fontId="2" fillId="0" borderId="18" xfId="1" applyNumberFormat="1" applyFont="1" applyFill="1" applyBorder="1" applyAlignment="1">
      <alignment horizontal="right"/>
    </xf>
    <xf numFmtId="5" fontId="2" fillId="0" borderId="19" xfId="1" applyNumberFormat="1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5" fontId="2" fillId="0" borderId="20" xfId="0" applyNumberFormat="1" applyFont="1" applyBorder="1"/>
    <xf numFmtId="10" fontId="2" fillId="0" borderId="20" xfId="5" applyNumberFormat="1" applyFont="1" applyBorder="1"/>
    <xf numFmtId="5" fontId="2" fillId="0" borderId="20" xfId="0" applyNumberFormat="1" applyFont="1" applyBorder="1" applyAlignment="1">
      <alignment horizontal="right"/>
    </xf>
    <xf numFmtId="164" fontId="2" fillId="0" borderId="21" xfId="5" applyNumberFormat="1" applyFont="1" applyBorder="1"/>
    <xf numFmtId="0" fontId="2" fillId="0" borderId="14" xfId="0" applyFont="1" applyBorder="1" applyAlignment="1">
      <alignment horizontal="right"/>
    </xf>
    <xf numFmtId="5" fontId="2" fillId="0" borderId="22" xfId="0" applyNumberFormat="1" applyFont="1" applyBorder="1"/>
    <xf numFmtId="10" fontId="2" fillId="0" borderId="22" xfId="5" applyNumberFormat="1" applyFont="1" applyBorder="1"/>
    <xf numFmtId="5" fontId="2" fillId="0" borderId="22" xfId="0" applyNumberFormat="1" applyFont="1" applyBorder="1" applyAlignment="1">
      <alignment horizontal="right"/>
    </xf>
    <xf numFmtId="164" fontId="2" fillId="0" borderId="23" xfId="5" applyNumberFormat="1" applyFont="1" applyBorder="1"/>
    <xf numFmtId="167" fontId="2" fillId="0" borderId="5" xfId="1" applyNumberFormat="1" applyFont="1" applyBorder="1" applyAlignment="1">
      <alignment horizontal="right"/>
    </xf>
    <xf numFmtId="5" fontId="2" fillId="0" borderId="6" xfId="1" applyNumberFormat="1" applyFont="1" applyBorder="1"/>
    <xf numFmtId="5" fontId="2" fillId="0" borderId="20" xfId="1" applyNumberFormat="1" applyFont="1" applyBorder="1"/>
    <xf numFmtId="5" fontId="2" fillId="0" borderId="20" xfId="1" applyNumberFormat="1" applyFont="1" applyFill="1" applyBorder="1" applyAlignment="1">
      <alignment horizontal="right"/>
    </xf>
    <xf numFmtId="5" fontId="2" fillId="0" borderId="21" xfId="1" applyNumberFormat="1" applyFont="1" applyFill="1" applyBorder="1" applyAlignment="1">
      <alignment horizontal="right"/>
    </xf>
    <xf numFmtId="167" fontId="2" fillId="0" borderId="14" xfId="1" applyNumberFormat="1" applyFont="1" applyBorder="1" applyAlignment="1">
      <alignment horizontal="right"/>
    </xf>
    <xf numFmtId="5" fontId="2" fillId="0" borderId="22" xfId="1" applyNumberFormat="1" applyFont="1" applyBorder="1"/>
    <xf numFmtId="5" fontId="2" fillId="0" borderId="22" xfId="1" applyNumberFormat="1" applyFont="1" applyFill="1" applyBorder="1" applyAlignment="1">
      <alignment horizontal="right"/>
    </xf>
    <xf numFmtId="5" fontId="2" fillId="0" borderId="23" xfId="1" applyNumberFormat="1" applyFont="1" applyFill="1" applyBorder="1" applyAlignment="1">
      <alignment horizontal="right"/>
    </xf>
    <xf numFmtId="167" fontId="2" fillId="0" borderId="24" xfId="1" applyNumberFormat="1" applyFont="1" applyBorder="1"/>
    <xf numFmtId="0" fontId="2" fillId="0" borderId="24" xfId="0" applyFont="1" applyBorder="1"/>
    <xf numFmtId="10" fontId="2" fillId="0" borderId="21" xfId="5" applyNumberFormat="1" applyFont="1" applyBorder="1"/>
    <xf numFmtId="10" fontId="2" fillId="0" borderId="23" xfId="5" applyNumberFormat="1" applyFont="1" applyBorder="1"/>
    <xf numFmtId="10" fontId="2" fillId="0" borderId="15" xfId="5" applyNumberFormat="1" applyFont="1" applyBorder="1"/>
    <xf numFmtId="10" fontId="2" fillId="0" borderId="16" xfId="5" applyNumberFormat="1" applyFont="1" applyBorder="1"/>
    <xf numFmtId="0" fontId="2" fillId="0" borderId="14" xfId="0" applyFont="1" applyBorder="1"/>
    <xf numFmtId="10" fontId="2" fillId="0" borderId="25" xfId="5" applyNumberFormat="1" applyFont="1" applyBorder="1"/>
    <xf numFmtId="167" fontId="2" fillId="0" borderId="20" xfId="0" applyNumberFormat="1" applyFont="1" applyBorder="1"/>
    <xf numFmtId="167" fontId="2" fillId="0" borderId="22" xfId="0" applyNumberFormat="1" applyFont="1" applyBorder="1"/>
    <xf numFmtId="167" fontId="2" fillId="0" borderId="5" xfId="1" applyNumberFormat="1" applyFont="1" applyBorder="1"/>
    <xf numFmtId="167" fontId="3" fillId="2" borderId="2" xfId="1" applyNumberFormat="1" applyFont="1" applyFill="1" applyBorder="1" applyAlignment="1">
      <alignment horizontal="left"/>
    </xf>
    <xf numFmtId="167" fontId="3" fillId="2" borderId="1" xfId="1" applyNumberFormat="1" applyFont="1" applyFill="1" applyBorder="1" applyAlignment="1">
      <alignment horizontal="center"/>
    </xf>
    <xf numFmtId="5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5" fontId="4" fillId="2" borderId="7" xfId="0" applyNumberFormat="1" applyFont="1" applyFill="1" applyBorder="1" applyAlignment="1">
      <alignment horizontal="center"/>
    </xf>
    <xf numFmtId="5" fontId="2" fillId="0" borderId="7" xfId="0" applyNumberFormat="1" applyFont="1" applyBorder="1"/>
    <xf numFmtId="5" fontId="2" fillId="0" borderId="26" xfId="0" applyNumberFormat="1" applyFont="1" applyBorder="1"/>
    <xf numFmtId="5" fontId="2" fillId="0" borderId="25" xfId="0" applyNumberFormat="1" applyFont="1" applyBorder="1"/>
    <xf numFmtId="5" fontId="2" fillId="0" borderId="27" xfId="0" applyNumberFormat="1" applyFont="1" applyBorder="1"/>
    <xf numFmtId="5" fontId="2" fillId="0" borderId="8" xfId="0" applyNumberFormat="1" applyFont="1" applyBorder="1"/>
    <xf numFmtId="15" fontId="3" fillId="2" borderId="6" xfId="0" applyNumberFormat="1" applyFont="1" applyFill="1" applyBorder="1" applyAlignment="1">
      <alignment horizontal="center"/>
    </xf>
    <xf numFmtId="5" fontId="4" fillId="2" borderId="7" xfId="0" applyNumberFormat="1" applyFont="1" applyFill="1" applyBorder="1" applyAlignment="1">
      <alignment horizontal="center" shrinkToFit="1"/>
    </xf>
    <xf numFmtId="0" fontId="3" fillId="2" borderId="12" xfId="0" applyFont="1" applyFill="1" applyBorder="1" applyAlignment="1">
      <alignment horizontal="left"/>
    </xf>
    <xf numFmtId="15" fontId="3" fillId="2" borderId="28" xfId="0" applyNumberFormat="1" applyFont="1" applyFill="1" applyBorder="1" applyAlignment="1">
      <alignment horizontal="center"/>
    </xf>
    <xf numFmtId="5" fontId="3" fillId="2" borderId="28" xfId="0" applyNumberFormat="1" applyFont="1" applyFill="1" applyBorder="1" applyAlignment="1">
      <alignment horizontal="center"/>
    </xf>
    <xf numFmtId="0" fontId="2" fillId="0" borderId="6" xfId="0" applyFont="1" applyBorder="1"/>
    <xf numFmtId="0" fontId="2" fillId="0" borderId="22" xfId="0" applyFont="1" applyBorder="1"/>
    <xf numFmtId="164" fontId="2" fillId="0" borderId="6" xfId="5" applyNumberFormat="1" applyFont="1" applyBorder="1"/>
    <xf numFmtId="164" fontId="2" fillId="0" borderId="20" xfId="5" applyNumberFormat="1" applyFont="1" applyBorder="1"/>
    <xf numFmtId="164" fontId="2" fillId="0" borderId="22" xfId="5" applyNumberFormat="1" applyFont="1" applyBorder="1"/>
    <xf numFmtId="43" fontId="2" fillId="0" borderId="20" xfId="1" applyNumberFormat="1" applyFont="1" applyBorder="1"/>
    <xf numFmtId="43" fontId="2" fillId="0" borderId="21" xfId="1" applyNumberFormat="1" applyFont="1" applyBorder="1"/>
    <xf numFmtId="43" fontId="2" fillId="0" borderId="5" xfId="1" applyNumberFormat="1" applyFont="1" applyBorder="1" applyAlignment="1">
      <alignment horizontal="right"/>
    </xf>
    <xf numFmtId="43" fontId="2" fillId="0" borderId="17" xfId="1" applyNumberFormat="1" applyFont="1" applyBorder="1"/>
    <xf numFmtId="43" fontId="2" fillId="0" borderId="24" xfId="1" applyNumberFormat="1" applyFont="1" applyBorder="1"/>
    <xf numFmtId="43" fontId="2" fillId="0" borderId="14" xfId="1" applyNumberFormat="1" applyFont="1" applyBorder="1" applyAlignment="1">
      <alignment horizontal="right"/>
    </xf>
    <xf numFmtId="43" fontId="2" fillId="0" borderId="22" xfId="1" applyNumberFormat="1" applyFont="1" applyBorder="1"/>
    <xf numFmtId="43" fontId="2" fillId="0" borderId="23" xfId="1" applyNumberFormat="1" applyFont="1" applyBorder="1"/>
    <xf numFmtId="167" fontId="3" fillId="2" borderId="7" xfId="1" applyNumberFormat="1" applyFont="1" applyFill="1" applyBorder="1" applyAlignment="1">
      <alignment horizontal="center" shrinkToFit="1"/>
    </xf>
    <xf numFmtId="0" fontId="5" fillId="0" borderId="0" xfId="0" applyFont="1"/>
    <xf numFmtId="166" fontId="2" fillId="0" borderId="0" xfId="0" applyNumberFormat="1" applyFont="1"/>
    <xf numFmtId="0" fontId="5" fillId="0" borderId="25" xfId="0" applyFont="1" applyBorder="1"/>
    <xf numFmtId="0" fontId="5" fillId="0" borderId="29" xfId="0" applyFont="1" applyBorder="1"/>
    <xf numFmtId="0" fontId="2" fillId="0" borderId="1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166" fontId="2" fillId="0" borderId="22" xfId="0" quotePrefix="1" applyNumberFormat="1" applyFont="1" applyBorder="1" applyAlignment="1">
      <alignment horizontal="center"/>
    </xf>
    <xf numFmtId="166" fontId="2" fillId="0" borderId="22" xfId="0" applyNumberFormat="1" applyFont="1" applyBorder="1"/>
    <xf numFmtId="166" fontId="6" fillId="0" borderId="22" xfId="0" applyNumberFormat="1" applyFont="1" applyBorder="1"/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6" fontId="2" fillId="0" borderId="6" xfId="0" applyNumberFormat="1" applyFont="1" applyBorder="1"/>
    <xf numFmtId="0" fontId="5" fillId="0" borderId="27" xfId="0" applyFont="1" applyBorder="1"/>
    <xf numFmtId="0" fontId="2" fillId="0" borderId="5" xfId="0" applyFont="1" applyBorder="1" applyAlignment="1">
      <alignment horizontal="center"/>
    </xf>
    <xf numFmtId="166" fontId="3" fillId="0" borderId="22" xfId="0" applyNumberFormat="1" applyFont="1" applyBorder="1"/>
    <xf numFmtId="166" fontId="3" fillId="0" borderId="18" xfId="0" applyNumberFormat="1" applyFont="1" applyBorder="1"/>
    <xf numFmtId="0" fontId="3" fillId="2" borderId="6" xfId="0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shrinkToFit="1"/>
    </xf>
    <xf numFmtId="0" fontId="2" fillId="2" borderId="12" xfId="0" applyFont="1" applyFill="1" applyBorder="1"/>
    <xf numFmtId="0" fontId="2" fillId="2" borderId="28" xfId="0" applyFont="1" applyFill="1" applyBorder="1"/>
    <xf numFmtId="0" fontId="3" fillId="2" borderId="28" xfId="0" applyFont="1" applyFill="1" applyBorder="1" applyAlignment="1">
      <alignment horizontal="center"/>
    </xf>
    <xf numFmtId="5" fontId="3" fillId="2" borderId="11" xfId="0" applyNumberFormat="1" applyFont="1" applyFill="1" applyBorder="1" applyAlignment="1">
      <alignment horizontal="center"/>
    </xf>
    <xf numFmtId="0" fontId="2" fillId="0" borderId="0" xfId="0" applyFont="1" applyAlignment="1"/>
    <xf numFmtId="0" fontId="2" fillId="2" borderId="31" xfId="0" applyFont="1" applyFill="1" applyBorder="1" applyAlignment="1"/>
    <xf numFmtId="0" fontId="2" fillId="2" borderId="32" xfId="0" applyFont="1" applyFill="1" applyBorder="1" applyAlignment="1"/>
    <xf numFmtId="0" fontId="3" fillId="2" borderId="31" xfId="0" applyFont="1" applyFill="1" applyBorder="1" applyAlignment="1">
      <alignment horizontal="center" shrinkToFit="1"/>
    </xf>
    <xf numFmtId="166" fontId="3" fillId="2" borderId="33" xfId="0" applyNumberFormat="1" applyFont="1" applyFill="1" applyBorder="1" applyAlignment="1">
      <alignment horizontal="center" shrinkToFit="1"/>
    </xf>
    <xf numFmtId="166" fontId="2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/>
    <xf numFmtId="0" fontId="5" fillId="0" borderId="0" xfId="0" applyFont="1" applyAlignment="1">
      <alignment horizontal="left"/>
    </xf>
    <xf numFmtId="5" fontId="2" fillId="0" borderId="21" xfId="0" applyNumberFormat="1" applyFont="1" applyBorder="1"/>
    <xf numFmtId="5" fontId="2" fillId="0" borderId="23" xfId="0" applyNumberFormat="1" applyFont="1" applyBorder="1"/>
    <xf numFmtId="5" fontId="2" fillId="0" borderId="17" xfId="0" applyNumberFormat="1" applyFont="1" applyBorder="1"/>
    <xf numFmtId="10" fontId="3" fillId="2" borderId="11" xfId="5" applyNumberFormat="1" applyFont="1" applyFill="1" applyBorder="1" applyAlignment="1">
      <alignment horizontal="center"/>
    </xf>
    <xf numFmtId="43" fontId="2" fillId="0" borderId="0" xfId="1" applyFont="1"/>
    <xf numFmtId="43" fontId="3" fillId="2" borderId="9" xfId="1" applyFont="1" applyFill="1" applyBorder="1" applyAlignment="1">
      <alignment horizontal="left"/>
    </xf>
    <xf numFmtId="43" fontId="3" fillId="2" borderId="10" xfId="1" applyFont="1" applyFill="1" applyBorder="1" applyAlignment="1">
      <alignment horizontal="center"/>
    </xf>
    <xf numFmtId="43" fontId="2" fillId="0" borderId="0" xfId="1" applyFont="1" applyAlignment="1">
      <alignment horizontal="center"/>
    </xf>
    <xf numFmtId="43" fontId="3" fillId="2" borderId="5" xfId="1" applyFont="1" applyFill="1" applyBorder="1" applyAlignment="1">
      <alignment horizontal="left"/>
    </xf>
    <xf numFmtId="43" fontId="3" fillId="2" borderId="6" xfId="1" applyFont="1" applyFill="1" applyBorder="1" applyAlignment="1">
      <alignment horizontal="center"/>
    </xf>
    <xf numFmtId="43" fontId="2" fillId="0" borderId="2" xfId="1" applyFont="1" applyBorder="1"/>
    <xf numFmtId="43" fontId="2" fillId="0" borderId="24" xfId="1" applyFont="1" applyBorder="1"/>
    <xf numFmtId="43" fontId="2" fillId="0" borderId="14" xfId="1" applyFont="1" applyBorder="1" applyAlignment="1">
      <alignment horizontal="right"/>
    </xf>
    <xf numFmtId="43" fontId="2" fillId="0" borderId="5" xfId="1" applyFont="1" applyBorder="1" applyAlignment="1">
      <alignment horizontal="right"/>
    </xf>
    <xf numFmtId="43" fontId="2" fillId="0" borderId="3" xfId="1" applyFont="1" applyBorder="1"/>
    <xf numFmtId="39" fontId="2" fillId="0" borderId="1" xfId="1" applyNumberFormat="1" applyFont="1" applyBorder="1" applyAlignment="1">
      <alignment horizontal="center"/>
    </xf>
    <xf numFmtId="39" fontId="2" fillId="0" borderId="20" xfId="1" applyNumberFormat="1" applyFont="1" applyBorder="1" applyAlignment="1">
      <alignment horizontal="center"/>
    </xf>
    <xf numFmtId="39" fontId="2" fillId="0" borderId="22" xfId="1" applyNumberFormat="1" applyFont="1" applyBorder="1" applyAlignment="1">
      <alignment horizontal="center"/>
    </xf>
    <xf numFmtId="39" fontId="2" fillId="0" borderId="6" xfId="1" applyNumberFormat="1" applyFont="1" applyBorder="1" applyAlignment="1">
      <alignment horizontal="center"/>
    </xf>
    <xf numFmtId="39" fontId="2" fillId="0" borderId="4" xfId="1" applyNumberFormat="1" applyFont="1" applyBorder="1" applyAlignment="1">
      <alignment horizontal="center"/>
    </xf>
    <xf numFmtId="10" fontId="3" fillId="2" borderId="6" xfId="5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5" fontId="3" fillId="2" borderId="16" xfId="0" applyNumberFormat="1" applyFont="1" applyFill="1" applyBorder="1" applyAlignment="1">
      <alignment horizontal="center"/>
    </xf>
    <xf numFmtId="5" fontId="3" fillId="2" borderId="17" xfId="0" applyNumberFormat="1" applyFont="1" applyFill="1" applyBorder="1" applyAlignment="1">
      <alignment horizontal="center"/>
    </xf>
    <xf numFmtId="43" fontId="7" fillId="2" borderId="6" xfId="1" applyFont="1" applyFill="1" applyBorder="1" applyAlignment="1">
      <alignment horizontal="center"/>
    </xf>
    <xf numFmtId="1" fontId="9" fillId="0" borderId="34" xfId="1" applyNumberFormat="1" applyFont="1" applyBorder="1" applyAlignment="1">
      <alignment horizontal="left"/>
    </xf>
    <xf numFmtId="1" fontId="5" fillId="0" borderId="35" xfId="1" applyNumberFormat="1" applyFont="1" applyBorder="1" applyAlignment="1">
      <alignment horizontal="center"/>
    </xf>
    <xf numFmtId="5" fontId="10" fillId="0" borderId="35" xfId="1" applyNumberFormat="1" applyFont="1" applyBorder="1" applyAlignment="1">
      <alignment horizontal="center"/>
    </xf>
    <xf numFmtId="5" fontId="10" fillId="0" borderId="35" xfId="3" applyNumberFormat="1" applyFont="1" applyBorder="1" applyAlignment="1">
      <alignment horizontal="center"/>
    </xf>
    <xf numFmtId="5" fontId="10" fillId="0" borderId="36" xfId="3" applyNumberFormat="1" applyFont="1" applyBorder="1" applyAlignment="1">
      <alignment horizontal="center"/>
    </xf>
    <xf numFmtId="5" fontId="10" fillId="0" borderId="0" xfId="3" applyNumberFormat="1" applyFont="1" applyBorder="1" applyAlignment="1">
      <alignment horizontal="center"/>
    </xf>
    <xf numFmtId="5" fontId="10" fillId="0" borderId="34" xfId="3" applyNumberFormat="1" applyFont="1" applyFill="1" applyBorder="1" applyAlignment="1">
      <alignment horizontal="center"/>
    </xf>
    <xf numFmtId="5" fontId="12" fillId="0" borderId="35" xfId="3" applyNumberFormat="1" applyFont="1" applyBorder="1" applyAlignment="1">
      <alignment horizontal="center"/>
    </xf>
    <xf numFmtId="5" fontId="12" fillId="0" borderId="37" xfId="3" applyNumberFormat="1" applyFont="1" applyBorder="1" applyAlignment="1">
      <alignment horizontal="center"/>
    </xf>
    <xf numFmtId="5" fontId="12" fillId="0" borderId="35" xfId="3" applyNumberFormat="1" applyFont="1" applyFill="1" applyBorder="1" applyAlignment="1">
      <alignment horizontal="center"/>
    </xf>
    <xf numFmtId="5" fontId="10" fillId="0" borderId="35" xfId="0" applyNumberFormat="1" applyFont="1" applyBorder="1" applyAlignment="1">
      <alignment horizontal="center"/>
    </xf>
    <xf numFmtId="5" fontId="10" fillId="0" borderId="35" xfId="0" applyNumberFormat="1" applyFont="1" applyBorder="1"/>
    <xf numFmtId="5" fontId="10" fillId="0" borderId="34" xfId="3" applyNumberFormat="1" applyFont="1" applyBorder="1" applyAlignment="1">
      <alignment horizontal="center"/>
    </xf>
    <xf numFmtId="5" fontId="10" fillId="0" borderId="35" xfId="3" applyNumberFormat="1" applyFont="1" applyFill="1" applyBorder="1" applyAlignment="1">
      <alignment horizontal="center"/>
    </xf>
    <xf numFmtId="5" fontId="5" fillId="0" borderId="38" xfId="0" applyNumberFormat="1" applyFont="1" applyBorder="1"/>
    <xf numFmtId="5" fontId="5" fillId="0" borderId="0" xfId="0" applyNumberFormat="1" applyFont="1" applyBorder="1" applyAlignment="1">
      <alignment horizontal="center"/>
    </xf>
    <xf numFmtId="5" fontId="10" fillId="0" borderId="0" xfId="1" applyNumberFormat="1" applyFont="1" applyBorder="1" applyAlignment="1">
      <alignment horizontal="center"/>
    </xf>
    <xf numFmtId="5" fontId="10" fillId="0" borderId="15" xfId="3" applyNumberFormat="1" applyFont="1" applyBorder="1" applyAlignment="1">
      <alignment horizontal="center"/>
    </xf>
    <xf numFmtId="5" fontId="10" fillId="0" borderId="38" xfId="3" applyNumberFormat="1" applyFont="1" applyFill="1" applyBorder="1" applyAlignment="1">
      <alignment horizontal="center"/>
    </xf>
    <xf numFmtId="5" fontId="10" fillId="0" borderId="0" xfId="3" applyNumberFormat="1" applyFont="1" applyFill="1" applyBorder="1" applyAlignment="1">
      <alignment horizontal="center"/>
    </xf>
    <xf numFmtId="5" fontId="10" fillId="0" borderId="0" xfId="0" applyNumberFormat="1" applyFont="1" applyBorder="1" applyAlignment="1">
      <alignment horizontal="center"/>
    </xf>
    <xf numFmtId="171" fontId="10" fillId="0" borderId="38" xfId="3" applyNumberFormat="1" applyFont="1" applyBorder="1" applyAlignment="1">
      <alignment horizontal="center"/>
    </xf>
    <xf numFmtId="171" fontId="10" fillId="0" borderId="15" xfId="3" applyNumberFormat="1" applyFont="1" applyBorder="1" applyAlignment="1">
      <alignment horizontal="center"/>
    </xf>
    <xf numFmtId="5" fontId="10" fillId="0" borderId="38" xfId="3" applyNumberFormat="1" applyFont="1" applyBorder="1" applyAlignment="1">
      <alignment horizontal="center"/>
    </xf>
    <xf numFmtId="5" fontId="10" fillId="0" borderId="38" xfId="3" applyNumberFormat="1" applyFont="1" applyBorder="1" applyAlignment="1" applyProtection="1">
      <alignment horizontal="center"/>
      <protection locked="0"/>
    </xf>
    <xf numFmtId="172" fontId="5" fillId="0" borderId="0" xfId="4" applyNumberFormat="1" applyFont="1" applyFill="1" applyBorder="1" applyAlignment="1" applyProtection="1">
      <alignment horizontal="center"/>
      <protection locked="0"/>
    </xf>
    <xf numFmtId="5" fontId="10" fillId="0" borderId="0" xfId="3" quotePrefix="1" applyNumberFormat="1" applyFont="1" applyFill="1" applyBorder="1" applyAlignment="1">
      <alignment horizontal="center"/>
    </xf>
    <xf numFmtId="5" fontId="10" fillId="0" borderId="15" xfId="3" quotePrefix="1" applyNumberFormat="1" applyFont="1" applyBorder="1" applyAlignment="1">
      <alignment horizontal="center"/>
    </xf>
    <xf numFmtId="5" fontId="5" fillId="0" borderId="33" xfId="0" applyNumberFormat="1" applyFont="1" applyBorder="1"/>
    <xf numFmtId="5" fontId="5" fillId="0" borderId="39" xfId="0" applyNumberFormat="1" applyFont="1" applyBorder="1" applyAlignment="1">
      <alignment horizontal="center"/>
    </xf>
    <xf numFmtId="5" fontId="10" fillId="0" borderId="39" xfId="1" applyNumberFormat="1" applyFont="1" applyBorder="1" applyAlignment="1">
      <alignment horizontal="center"/>
    </xf>
    <xf numFmtId="5" fontId="10" fillId="0" borderId="39" xfId="3" applyNumberFormat="1" applyFont="1" applyBorder="1" applyAlignment="1">
      <alignment horizontal="center"/>
    </xf>
    <xf numFmtId="5" fontId="10" fillId="0" borderId="16" xfId="3" applyNumberFormat="1" applyFont="1" applyBorder="1" applyAlignment="1">
      <alignment horizontal="center"/>
    </xf>
    <xf numFmtId="5" fontId="10" fillId="0" borderId="33" xfId="3" applyNumberFormat="1" applyFont="1" applyFill="1" applyBorder="1" applyAlignment="1">
      <alignment horizontal="center"/>
    </xf>
    <xf numFmtId="5" fontId="10" fillId="0" borderId="39" xfId="3" applyNumberFormat="1" applyFont="1" applyFill="1" applyBorder="1" applyAlignment="1">
      <alignment horizontal="center"/>
    </xf>
    <xf numFmtId="5" fontId="10" fillId="0" borderId="33" xfId="3" applyNumberFormat="1" applyFont="1" applyBorder="1" applyAlignment="1">
      <alignment horizontal="center"/>
    </xf>
    <xf numFmtId="5" fontId="10" fillId="0" borderId="0" xfId="0" applyNumberFormat="1" applyFont="1" applyBorder="1"/>
    <xf numFmtId="5" fontId="10" fillId="0" borderId="39" xfId="0" applyNumberFormat="1" applyFont="1" applyBorder="1" applyAlignment="1">
      <alignment horizontal="center"/>
    </xf>
    <xf numFmtId="5" fontId="10" fillId="0" borderId="16" xfId="3" applyNumberFormat="1" applyFont="1" applyFill="1" applyBorder="1" applyAlignment="1">
      <alignment horizontal="center"/>
    </xf>
    <xf numFmtId="0" fontId="10" fillId="0" borderId="0" xfId="4" applyFont="1" applyFill="1" applyBorder="1" applyAlignment="1" applyProtection="1">
      <alignment horizontal="center"/>
      <protection locked="0"/>
    </xf>
    <xf numFmtId="173" fontId="10" fillId="0" borderId="0" xfId="2" applyNumberFormat="1" applyFont="1" applyBorder="1" applyAlignment="1" applyProtection="1">
      <protection locked="0"/>
    </xf>
    <xf numFmtId="174" fontId="10" fillId="0" borderId="0" xfId="2" applyNumberFormat="1" applyFont="1" applyBorder="1" applyAlignment="1" applyProtection="1">
      <protection locked="0"/>
    </xf>
    <xf numFmtId="43" fontId="10" fillId="0" borderId="0" xfId="1" applyFont="1" applyBorder="1" applyAlignment="1" applyProtection="1">
      <protection locked="0"/>
    </xf>
    <xf numFmtId="10" fontId="10" fillId="0" borderId="0" xfId="5" applyNumberFormat="1" applyFont="1" applyBorder="1"/>
    <xf numFmtId="0" fontId="10" fillId="0" borderId="0" xfId="4" applyFont="1" applyBorder="1" applyAlignment="1" applyProtection="1">
      <alignment horizontal="center"/>
      <protection locked="0"/>
    </xf>
    <xf numFmtId="5" fontId="10" fillId="0" borderId="0" xfId="5" applyNumberFormat="1" applyFont="1" applyBorder="1" applyAlignment="1">
      <alignment horizontal="center"/>
    </xf>
    <xf numFmtId="5" fontId="10" fillId="0" borderId="0" xfId="5" applyNumberFormat="1" applyFont="1" applyBorder="1"/>
    <xf numFmtId="5" fontId="10" fillId="0" borderId="0" xfId="3" applyNumberFormat="1" applyFont="1" applyBorder="1"/>
    <xf numFmtId="173" fontId="5" fillId="0" borderId="0" xfId="0" applyNumberFormat="1" applyFont="1"/>
    <xf numFmtId="43" fontId="5" fillId="0" borderId="0" xfId="1" applyFont="1"/>
    <xf numFmtId="0" fontId="3" fillId="0" borderId="0" xfId="0" applyFont="1" applyAlignment="1">
      <alignment horizontal="center"/>
    </xf>
    <xf numFmtId="167" fontId="3" fillId="2" borderId="41" xfId="1" applyNumberFormat="1" applyFont="1" applyFill="1" applyBorder="1" applyAlignment="1">
      <alignment horizontal="center"/>
    </xf>
    <xf numFmtId="167" fontId="3" fillId="2" borderId="42" xfId="1" applyNumberFormat="1" applyFont="1" applyFill="1" applyBorder="1" applyAlignment="1">
      <alignment horizontal="center"/>
    </xf>
    <xf numFmtId="167" fontId="8" fillId="0" borderId="0" xfId="1" applyNumberFormat="1" applyFont="1" applyAlignment="1">
      <alignment horizontal="center"/>
    </xf>
    <xf numFmtId="167" fontId="3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8" fillId="0" borderId="0" xfId="5" applyNumberFormat="1" applyFont="1" applyAlignment="1">
      <alignment horizontal="center"/>
    </xf>
    <xf numFmtId="10" fontId="3" fillId="0" borderId="0" xfId="5" applyNumberFormat="1" applyFont="1" applyAlignment="1">
      <alignment horizontal="center"/>
    </xf>
    <xf numFmtId="5" fontId="3" fillId="2" borderId="10" xfId="0" applyNumberFormat="1" applyFont="1" applyFill="1" applyBorder="1" applyAlignment="1">
      <alignment horizontal="center"/>
    </xf>
    <xf numFmtId="5" fontId="3" fillId="2" borderId="11" xfId="0" applyNumberFormat="1" applyFont="1" applyFill="1" applyBorder="1" applyAlignment="1">
      <alignment horizontal="center"/>
    </xf>
    <xf numFmtId="0" fontId="2" fillId="0" borderId="43" xfId="0" applyFont="1" applyBorder="1" applyAlignment="1">
      <alignment horizontal="center"/>
    </xf>
    <xf numFmtId="10" fontId="3" fillId="2" borderId="41" xfId="5" applyNumberFormat="1" applyFont="1" applyFill="1" applyBorder="1" applyAlignment="1">
      <alignment horizontal="center"/>
    </xf>
    <xf numFmtId="10" fontId="3" fillId="2" borderId="44" xfId="5" applyNumberFormat="1" applyFont="1" applyFill="1" applyBorder="1" applyAlignment="1">
      <alignment horizontal="center"/>
    </xf>
    <xf numFmtId="10" fontId="3" fillId="2" borderId="45" xfId="5" applyNumberFormat="1" applyFont="1" applyFill="1" applyBorder="1" applyAlignment="1">
      <alignment horizontal="center"/>
    </xf>
    <xf numFmtId="43" fontId="2" fillId="0" borderId="43" xfId="1" applyFont="1" applyBorder="1" applyAlignment="1">
      <alignment horizontal="center"/>
    </xf>
    <xf numFmtId="5" fontId="3" fillId="2" borderId="40" xfId="0" applyNumberFormat="1" applyFont="1" applyFill="1" applyBorder="1" applyAlignment="1">
      <alignment horizontal="center"/>
    </xf>
    <xf numFmtId="5" fontId="3" fillId="2" borderId="46" xfId="0" applyNumberFormat="1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5" fontId="3" fillId="2" borderId="45" xfId="0" applyNumberFormat="1" applyFont="1" applyFill="1" applyBorder="1" applyAlignment="1">
      <alignment horizontal="center"/>
    </xf>
    <xf numFmtId="43" fontId="2" fillId="0" borderId="43" xfId="1" applyNumberFormat="1" applyFont="1" applyBorder="1" applyAlignment="1">
      <alignment horizontal="center"/>
    </xf>
    <xf numFmtId="43" fontId="3" fillId="2" borderId="48" xfId="1" applyNumberFormat="1" applyFont="1" applyFill="1" applyBorder="1" applyAlignment="1">
      <alignment horizontal="center"/>
    </xf>
    <xf numFmtId="43" fontId="3" fillId="2" borderId="49" xfId="1" applyNumberFormat="1" applyFont="1" applyFill="1" applyBorder="1" applyAlignment="1">
      <alignment horizontal="center"/>
    </xf>
    <xf numFmtId="43" fontId="3" fillId="2" borderId="50" xfId="1" applyNumberFormat="1" applyFont="1" applyFill="1" applyBorder="1" applyAlignment="1">
      <alignment horizontal="center"/>
    </xf>
    <xf numFmtId="43" fontId="3" fillId="2" borderId="51" xfId="1" applyNumberFormat="1" applyFont="1" applyFill="1" applyBorder="1" applyAlignment="1">
      <alignment horizontal="center"/>
    </xf>
    <xf numFmtId="43" fontId="3" fillId="2" borderId="41" xfId="1" applyNumberFormat="1" applyFont="1" applyFill="1" applyBorder="1" applyAlignment="1">
      <alignment horizontal="center"/>
    </xf>
    <xf numFmtId="43" fontId="3" fillId="2" borderId="44" xfId="1" applyNumberFormat="1" applyFont="1" applyFill="1" applyBorder="1" applyAlignment="1">
      <alignment horizontal="center"/>
    </xf>
    <xf numFmtId="43" fontId="3" fillId="2" borderId="42" xfId="1" applyNumberFormat="1" applyFont="1" applyFill="1" applyBorder="1" applyAlignment="1">
      <alignment horizontal="center"/>
    </xf>
    <xf numFmtId="43" fontId="3" fillId="2" borderId="45" xfId="1" applyNumberFormat="1" applyFont="1" applyFill="1" applyBorder="1" applyAlignment="1">
      <alignment horizontal="center"/>
    </xf>
    <xf numFmtId="5" fontId="3" fillId="2" borderId="48" xfId="0" applyNumberFormat="1" applyFont="1" applyFill="1" applyBorder="1" applyAlignment="1">
      <alignment horizontal="center"/>
    </xf>
    <xf numFmtId="5" fontId="3" fillId="2" borderId="49" xfId="0" applyNumberFormat="1" applyFont="1" applyFill="1" applyBorder="1" applyAlignment="1">
      <alignment horizontal="center"/>
    </xf>
    <xf numFmtId="5" fontId="3" fillId="2" borderId="41" xfId="0" applyNumberFormat="1" applyFont="1" applyFill="1" applyBorder="1" applyAlignment="1">
      <alignment horizontal="center"/>
    </xf>
    <xf numFmtId="5" fontId="3" fillId="2" borderId="44" xfId="0" applyNumberFormat="1" applyFont="1" applyFill="1" applyBorder="1" applyAlignment="1">
      <alignment horizontal="center"/>
    </xf>
    <xf numFmtId="5" fontId="3" fillId="2" borderId="42" xfId="0" applyNumberFormat="1" applyFont="1" applyFill="1" applyBorder="1" applyAlignment="1">
      <alignment horizontal="center"/>
    </xf>
    <xf numFmtId="5" fontId="3" fillId="2" borderId="50" xfId="0" applyNumberFormat="1" applyFont="1" applyFill="1" applyBorder="1" applyAlignment="1">
      <alignment horizontal="center"/>
    </xf>
    <xf numFmtId="5" fontId="3" fillId="2" borderId="51" xfId="0" applyNumberFormat="1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</cellXfs>
  <cellStyles count="6">
    <cellStyle name="Comma" xfId="1" builtinId="3"/>
    <cellStyle name="Normal" xfId="0" builtinId="0"/>
    <cellStyle name="Normal_Billing Det" xfId="2"/>
    <cellStyle name="Normal_Total RRQ including ICIP" xfId="3"/>
    <cellStyle name="Normal_TRAlloc 98 sales, 96 MC's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RM%20Scenarios/ORA%20Base%20Case%20Rerun/Rev_alloc%20Capped%20EPMC%209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 Items"/>
      <sheetName val="Class Names"/>
      <sheetName val="Assumptions"/>
      <sheetName val="Inputs and Toggles"/>
      <sheetName val="Ag Rates"/>
      <sheetName val="Table A-1"/>
      <sheetName val="Table A-2"/>
      <sheetName val="2.1"/>
      <sheetName val="For rate design"/>
      <sheetName val="Tran Revenue"/>
      <sheetName val="N-Tran Rev"/>
      <sheetName val="F-Tran Rev"/>
      <sheetName val="P-Tran Rev"/>
      <sheetName val="O-Tran Rev"/>
      <sheetName val="I-Tran Rev"/>
      <sheetName val="Dist"/>
      <sheetName val="CTC"/>
      <sheetName val="PPP"/>
      <sheetName val="ND"/>
      <sheetName val="RRB"/>
      <sheetName val="FTA"/>
      <sheetName val="MCR"/>
      <sheetName val="MC"/>
      <sheetName val="N-MC"/>
      <sheetName val="F-MC"/>
      <sheetName val="P-MC"/>
      <sheetName val="O-MC"/>
      <sheetName val="Trans Rates"/>
      <sheetName val="Bill Det"/>
      <sheetName val="Bill Data"/>
      <sheetName val="Nonalloc"/>
      <sheetName val="Nonalloc Data"/>
      <sheetName val="Energy"/>
      <sheetName val="Energy Data"/>
      <sheetName val="STLIGHT"/>
      <sheetName val="Standby Alloc Fact -- Proposed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J1" t="str">
            <v>Option 3</v>
          </cell>
        </row>
        <row r="10">
          <cell r="AN10">
            <v>1002244329.8279476</v>
          </cell>
        </row>
        <row r="14">
          <cell r="AN14">
            <v>226963729.63112152</v>
          </cell>
        </row>
        <row r="15">
          <cell r="AN15">
            <v>38172893.617189057</v>
          </cell>
        </row>
        <row r="16">
          <cell r="AN16">
            <v>309145.65039964463</v>
          </cell>
        </row>
        <row r="17">
          <cell r="AN17">
            <v>6059322.7955671661</v>
          </cell>
        </row>
        <row r="28">
          <cell r="AN28">
            <v>365226550.09842366</v>
          </cell>
        </row>
        <row r="50">
          <cell r="AN50">
            <v>76354.486192677592</v>
          </cell>
        </row>
        <row r="51">
          <cell r="AN51">
            <v>6136691.65955857</v>
          </cell>
        </row>
        <row r="52">
          <cell r="AN52">
            <v>70257982.027482331</v>
          </cell>
        </row>
        <row r="55">
          <cell r="AN55">
            <v>25766917.864452027</v>
          </cell>
        </row>
        <row r="69">
          <cell r="AN69">
            <v>4386481.4128701817</v>
          </cell>
        </row>
        <row r="89">
          <cell r="AN89">
            <v>133359561.3879858</v>
          </cell>
        </row>
        <row r="110">
          <cell r="AN110">
            <v>9259808.3264383841</v>
          </cell>
        </row>
        <row r="111">
          <cell r="AN111">
            <v>65617606.001316115</v>
          </cell>
        </row>
        <row r="112">
          <cell r="AN112">
            <v>74730237.260795817</v>
          </cell>
        </row>
        <row r="118">
          <cell r="AN118">
            <v>1283819.0047390033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1"/>
  <sheetViews>
    <sheetView tabSelected="1" topLeftCell="C1" workbookViewId="0">
      <selection activeCell="C2" sqref="C2"/>
    </sheetView>
  </sheetViews>
  <sheetFormatPr defaultColWidth="9.33203125" defaultRowHeight="21" customHeight="1" x14ac:dyDescent="0.3"/>
  <cols>
    <col min="1" max="1" width="8.88671875" style="1" customWidth="1"/>
    <col min="2" max="2" width="11.6640625" style="1" customWidth="1"/>
    <col min="3" max="3" width="84.109375" style="2" customWidth="1"/>
    <col min="4" max="4" width="13.33203125" style="2" customWidth="1"/>
    <col min="5" max="16384" width="9.33203125" style="2"/>
  </cols>
  <sheetData>
    <row r="1" spans="1:3" ht="21" customHeight="1" x14ac:dyDescent="0.3">
      <c r="B1" s="244" t="s">
        <v>78</v>
      </c>
      <c r="C1" s="1" t="s">
        <v>77</v>
      </c>
    </row>
    <row r="2" spans="1:3" ht="21" customHeight="1" x14ac:dyDescent="0.3">
      <c r="A2" s="1" t="s">
        <v>131</v>
      </c>
      <c r="B2" s="1" t="s">
        <v>0</v>
      </c>
      <c r="C2" s="2" t="s">
        <v>1</v>
      </c>
    </row>
    <row r="3" spans="1:3" ht="21" customHeight="1" x14ac:dyDescent="0.3">
      <c r="A3" s="1">
        <v>17</v>
      </c>
      <c r="B3" s="3" t="s">
        <v>2</v>
      </c>
      <c r="C3" s="2" t="s">
        <v>17</v>
      </c>
    </row>
    <row r="4" spans="1:3" ht="21" customHeight="1" x14ac:dyDescent="0.3">
      <c r="A4" s="1">
        <v>18</v>
      </c>
      <c r="B4" s="3" t="s">
        <v>3</v>
      </c>
      <c r="C4" s="2" t="s">
        <v>18</v>
      </c>
    </row>
    <row r="5" spans="1:3" ht="21" customHeight="1" x14ac:dyDescent="0.3">
      <c r="A5" s="1" t="s">
        <v>132</v>
      </c>
      <c r="B5" s="3" t="s">
        <v>4</v>
      </c>
      <c r="C5" s="2" t="s">
        <v>74</v>
      </c>
    </row>
    <row r="6" spans="1:3" ht="21" customHeight="1" x14ac:dyDescent="0.3">
      <c r="A6" s="1">
        <v>21</v>
      </c>
      <c r="B6" s="3" t="s">
        <v>5</v>
      </c>
      <c r="C6" s="2" t="s">
        <v>19</v>
      </c>
    </row>
    <row r="7" spans="1:3" ht="21" customHeight="1" x14ac:dyDescent="0.3">
      <c r="A7" s="1">
        <v>22</v>
      </c>
      <c r="B7" s="3" t="s">
        <v>6</v>
      </c>
      <c r="C7" s="2" t="s">
        <v>20</v>
      </c>
    </row>
    <row r="8" spans="1:3" ht="21" customHeight="1" x14ac:dyDescent="0.3">
      <c r="A8" s="1">
        <v>23</v>
      </c>
      <c r="B8" s="3" t="s">
        <v>7</v>
      </c>
      <c r="C8" s="2" t="s">
        <v>21</v>
      </c>
    </row>
    <row r="9" spans="1:3" ht="21" customHeight="1" x14ac:dyDescent="0.3">
      <c r="A9" s="1">
        <v>24</v>
      </c>
      <c r="B9" s="3" t="s">
        <v>8</v>
      </c>
      <c r="C9" s="2" t="s">
        <v>22</v>
      </c>
    </row>
    <row r="10" spans="1:3" ht="21" customHeight="1" x14ac:dyDescent="0.3">
      <c r="A10" s="1">
        <v>25</v>
      </c>
      <c r="B10" s="3" t="s">
        <v>9</v>
      </c>
      <c r="C10" s="2" t="s">
        <v>23</v>
      </c>
    </row>
    <row r="11" spans="1:3" ht="21" customHeight="1" x14ac:dyDescent="0.3">
      <c r="A11" s="1">
        <v>26</v>
      </c>
      <c r="B11" s="3" t="s">
        <v>10</v>
      </c>
      <c r="C11" s="2" t="s">
        <v>24</v>
      </c>
    </row>
    <row r="12" spans="1:3" ht="21" customHeight="1" x14ac:dyDescent="0.3">
      <c r="A12" s="1">
        <v>27</v>
      </c>
      <c r="B12" s="3" t="s">
        <v>11</v>
      </c>
      <c r="C12" s="2" t="s">
        <v>25</v>
      </c>
    </row>
    <row r="13" spans="1:3" ht="21" customHeight="1" x14ac:dyDescent="0.3">
      <c r="A13" s="1">
        <v>28</v>
      </c>
      <c r="B13" s="3" t="s">
        <v>12</v>
      </c>
      <c r="C13" s="2" t="s">
        <v>26</v>
      </c>
    </row>
    <row r="14" spans="1:3" ht="21" customHeight="1" x14ac:dyDescent="0.3">
      <c r="A14" s="1">
        <v>29</v>
      </c>
      <c r="B14" s="3" t="s">
        <v>13</v>
      </c>
      <c r="C14" s="2" t="s">
        <v>114</v>
      </c>
    </row>
    <row r="15" spans="1:3" ht="21" customHeight="1" x14ac:dyDescent="0.3">
      <c r="A15" s="1">
        <v>30</v>
      </c>
      <c r="B15" s="3" t="s">
        <v>14</v>
      </c>
      <c r="C15" s="2" t="s">
        <v>27</v>
      </c>
    </row>
    <row r="16" spans="1:3" ht="21" customHeight="1" x14ac:dyDescent="0.3">
      <c r="A16" s="1">
        <v>31</v>
      </c>
      <c r="B16" s="3" t="s">
        <v>15</v>
      </c>
      <c r="C16" s="2" t="s">
        <v>75</v>
      </c>
    </row>
    <row r="17" spans="1:3" ht="21" customHeight="1" x14ac:dyDescent="0.3">
      <c r="A17" s="1">
        <v>32</v>
      </c>
      <c r="B17" s="3" t="s">
        <v>16</v>
      </c>
      <c r="C17" s="2" t="s">
        <v>76</v>
      </c>
    </row>
    <row r="18" spans="1:3" ht="21" customHeight="1" x14ac:dyDescent="0.3">
      <c r="A18" s="1">
        <v>33</v>
      </c>
      <c r="B18" s="3" t="s">
        <v>79</v>
      </c>
      <c r="C18" s="2" t="s">
        <v>106</v>
      </c>
    </row>
    <row r="19" spans="1:3" ht="21" customHeight="1" x14ac:dyDescent="0.3">
      <c r="A19" s="1" t="s">
        <v>133</v>
      </c>
      <c r="B19" s="3" t="s">
        <v>80</v>
      </c>
      <c r="C19" s="2" t="s">
        <v>74</v>
      </c>
    </row>
    <row r="20" spans="1:3" ht="21" customHeight="1" x14ac:dyDescent="0.3">
      <c r="C20" s="2" t="s">
        <v>81</v>
      </c>
    </row>
    <row r="21" spans="1:3" ht="21" customHeight="1" x14ac:dyDescent="0.3">
      <c r="B21" s="3"/>
    </row>
  </sheetData>
  <pageMargins left="0.75" right="0.75" top="1" bottom="1" header="0.5" footer="0.5"/>
  <pageSetup scale="77" orientation="portrait" r:id="rId1"/>
  <headerFooter alignWithMargins="0">
    <oddFooter>&amp;L&amp;D
&amp;T&amp;R&amp;F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sqref="A1:J1"/>
    </sheetView>
  </sheetViews>
  <sheetFormatPr defaultColWidth="9.109375" defaultRowHeight="27" customHeight="1" x14ac:dyDescent="0.3"/>
  <cols>
    <col min="1" max="1" width="17.5546875" style="173" customWidth="1"/>
    <col min="2" max="3" width="15.6640625" style="173" customWidth="1"/>
    <col min="4" max="4" width="12.33203125" style="173" customWidth="1"/>
    <col min="5" max="5" width="15.6640625" style="173" customWidth="1"/>
    <col min="6" max="6" width="11.6640625" style="47" customWidth="1"/>
    <col min="7" max="7" width="17" style="173" customWidth="1"/>
    <col min="8" max="8" width="10.109375" style="47" customWidth="1"/>
    <col min="9" max="9" width="16.5546875" style="173" customWidth="1"/>
    <col min="10" max="10" width="9.6640625" style="47" customWidth="1"/>
    <col min="11" max="16384" width="9.109375" style="173"/>
  </cols>
  <sheetData>
    <row r="1" spans="1:10" ht="27" customHeight="1" x14ac:dyDescent="0.3">
      <c r="A1" s="251" t="s">
        <v>64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0" ht="27" customHeight="1" x14ac:dyDescent="0.3">
      <c r="A2" s="252" t="s">
        <v>26</v>
      </c>
      <c r="B2" s="252"/>
      <c r="C2" s="252"/>
      <c r="D2" s="252"/>
      <c r="E2" s="252"/>
      <c r="F2" s="252"/>
      <c r="G2" s="252"/>
      <c r="H2" s="252"/>
      <c r="I2" s="252"/>
      <c r="J2" s="252"/>
    </row>
    <row r="3" spans="1:10" ht="27" customHeight="1" thickBot="1" x14ac:dyDescent="0.35">
      <c r="A3" s="259" t="s">
        <v>66</v>
      </c>
      <c r="B3" s="259"/>
      <c r="C3" s="259"/>
      <c r="D3" s="259"/>
      <c r="E3" s="259"/>
      <c r="F3" s="259"/>
      <c r="G3" s="259"/>
      <c r="H3" s="259"/>
      <c r="I3" s="259"/>
      <c r="J3" s="259"/>
    </row>
    <row r="4" spans="1:10" s="176" customFormat="1" ht="27" customHeight="1" x14ac:dyDescent="0.3">
      <c r="A4" s="174" t="s">
        <v>28</v>
      </c>
      <c r="B4" s="175" t="s">
        <v>46</v>
      </c>
      <c r="C4" s="256" t="s">
        <v>29</v>
      </c>
      <c r="D4" s="257"/>
      <c r="E4" s="257"/>
      <c r="F4" s="258"/>
      <c r="G4" s="256" t="s">
        <v>30</v>
      </c>
      <c r="H4" s="257"/>
      <c r="I4" s="257"/>
      <c r="J4" s="258"/>
    </row>
    <row r="5" spans="1:10" s="176" customFormat="1" ht="27" customHeight="1" x14ac:dyDescent="0.3">
      <c r="A5" s="177"/>
      <c r="B5" s="178" t="s">
        <v>67</v>
      </c>
      <c r="C5" s="178" t="s">
        <v>53</v>
      </c>
      <c r="D5" s="178" t="s">
        <v>31</v>
      </c>
      <c r="E5" s="178" t="s">
        <v>54</v>
      </c>
      <c r="F5" s="189" t="s">
        <v>31</v>
      </c>
      <c r="G5" s="178" t="s">
        <v>55</v>
      </c>
      <c r="H5" s="189" t="s">
        <v>31</v>
      </c>
      <c r="I5" s="193" t="s">
        <v>56</v>
      </c>
      <c r="J5" s="189" t="s">
        <v>31</v>
      </c>
    </row>
    <row r="6" spans="1:10" ht="40.200000000000003" customHeight="1" x14ac:dyDescent="0.3">
      <c r="A6" s="179" t="s">
        <v>32</v>
      </c>
      <c r="B6" s="184">
        <v>3.73</v>
      </c>
      <c r="C6" s="184">
        <v>3.98</v>
      </c>
      <c r="D6" s="14">
        <f>C6/B6-1</f>
        <v>6.7024128686327122E-2</v>
      </c>
      <c r="E6" s="184">
        <v>3.98</v>
      </c>
      <c r="F6" s="14">
        <f>E6/B6-1</f>
        <v>6.7024128686327122E-2</v>
      </c>
      <c r="G6" s="184">
        <v>3.71</v>
      </c>
      <c r="H6" s="14">
        <f>G6/B6-1</f>
        <v>-5.3619302949061698E-3</v>
      </c>
      <c r="I6" s="184">
        <v>3.77</v>
      </c>
      <c r="J6" s="14">
        <f>I6/B6-1</f>
        <v>1.072386058981234E-2</v>
      </c>
    </row>
    <row r="7" spans="1:10" ht="27" customHeight="1" x14ac:dyDescent="0.3">
      <c r="A7" s="179" t="s">
        <v>33</v>
      </c>
      <c r="B7" s="184">
        <v>3.62</v>
      </c>
      <c r="C7" s="184">
        <v>4.49</v>
      </c>
      <c r="D7" s="14">
        <f>C7/B7-1</f>
        <v>0.24033149171270729</v>
      </c>
      <c r="E7" s="184">
        <v>4.09</v>
      </c>
      <c r="F7" s="14">
        <f>E7/B7-1</f>
        <v>0.12983425414364635</v>
      </c>
      <c r="G7" s="184">
        <v>3.83</v>
      </c>
      <c r="H7" s="14">
        <f>G7/B7-1</f>
        <v>5.8011049723756924E-2</v>
      </c>
      <c r="I7" s="184">
        <v>3.89</v>
      </c>
      <c r="J7" s="14">
        <f>I7/B7-1</f>
        <v>7.4585635359116109E-2</v>
      </c>
    </row>
    <row r="8" spans="1:10" ht="27" customHeight="1" x14ac:dyDescent="0.3">
      <c r="A8" s="179" t="s">
        <v>34</v>
      </c>
      <c r="B8" s="184">
        <v>2.31</v>
      </c>
      <c r="C8" s="184">
        <v>1.94</v>
      </c>
      <c r="D8" s="14">
        <f>C8/B8-1</f>
        <v>-0.16017316017316019</v>
      </c>
      <c r="E8" s="184">
        <v>1.86</v>
      </c>
      <c r="F8" s="14">
        <f>E8/B8-1</f>
        <v>-0.19480519480519476</v>
      </c>
      <c r="G8" s="184">
        <v>1.99</v>
      </c>
      <c r="H8" s="14">
        <f>G8/B8-1</f>
        <v>-0.1385281385281385</v>
      </c>
      <c r="I8" s="184">
        <v>2.02</v>
      </c>
      <c r="J8" s="14">
        <f>I8/B8-1</f>
        <v>-0.12554112554112551</v>
      </c>
    </row>
    <row r="9" spans="1:10" ht="27" customHeight="1" x14ac:dyDescent="0.3">
      <c r="A9" s="179" t="s">
        <v>35</v>
      </c>
      <c r="B9" s="184">
        <v>3.76</v>
      </c>
      <c r="C9" s="184">
        <v>1.99</v>
      </c>
      <c r="D9" s="14">
        <f>C9/B9-1</f>
        <v>-0.4707446808510638</v>
      </c>
      <c r="E9" s="184">
        <v>3.64</v>
      </c>
      <c r="F9" s="14">
        <f>E9/B9-1</f>
        <v>-3.1914893617021156E-2</v>
      </c>
      <c r="G9" s="184">
        <v>4.76</v>
      </c>
      <c r="H9" s="14">
        <f>G9/B9-1</f>
        <v>0.26595744680851063</v>
      </c>
      <c r="I9" s="184">
        <v>4.2300000000000004</v>
      </c>
      <c r="J9" s="14">
        <f>I9/B9-1</f>
        <v>0.12500000000000022</v>
      </c>
    </row>
    <row r="10" spans="1:10" ht="27" customHeight="1" x14ac:dyDescent="0.3">
      <c r="A10" s="180" t="s">
        <v>36</v>
      </c>
      <c r="B10" s="185"/>
      <c r="C10" s="185"/>
      <c r="D10" s="77"/>
      <c r="E10" s="185"/>
      <c r="F10" s="77"/>
      <c r="G10" s="185"/>
      <c r="H10" s="77"/>
      <c r="I10" s="185"/>
      <c r="J10" s="77"/>
    </row>
    <row r="11" spans="1:10" ht="27" customHeight="1" x14ac:dyDescent="0.3">
      <c r="A11" s="181" t="s">
        <v>38</v>
      </c>
      <c r="B11" s="186">
        <v>1.21</v>
      </c>
      <c r="C11" s="186">
        <v>1.29</v>
      </c>
      <c r="D11" s="82">
        <f>C11/B11-1</f>
        <v>6.6115702479338845E-2</v>
      </c>
      <c r="E11" s="186">
        <v>1.29</v>
      </c>
      <c r="F11" s="82">
        <f>E11/B11-1</f>
        <v>6.6115702479338845E-2</v>
      </c>
      <c r="G11" s="186">
        <v>0.81</v>
      </c>
      <c r="H11" s="82">
        <f>G11/B11-1</f>
        <v>-0.33057851239669411</v>
      </c>
      <c r="I11" s="186">
        <v>0.84</v>
      </c>
      <c r="J11" s="82">
        <f>I11/B11-1</f>
        <v>-0.30578512396694213</v>
      </c>
    </row>
    <row r="12" spans="1:10" ht="27" customHeight="1" x14ac:dyDescent="0.3">
      <c r="A12" s="181" t="s">
        <v>39</v>
      </c>
      <c r="B12" s="186">
        <v>1.1399999999999999</v>
      </c>
      <c r="C12" s="186">
        <v>1.1000000000000001</v>
      </c>
      <c r="D12" s="82">
        <f>C12/B12-1</f>
        <v>-3.5087719298245501E-2</v>
      </c>
      <c r="E12" s="186">
        <v>1.1000000000000001</v>
      </c>
      <c r="F12" s="82">
        <f t="shared" ref="F12:F21" si="0">E12/B12-1</f>
        <v>-3.5087719298245501E-2</v>
      </c>
      <c r="G12" s="186">
        <v>1.47</v>
      </c>
      <c r="H12" s="82">
        <f>G12/B12-1</f>
        <v>0.28947368421052633</v>
      </c>
      <c r="I12" s="186">
        <v>1.28</v>
      </c>
      <c r="J12" s="82">
        <f>I12/B12-1</f>
        <v>0.12280701754385981</v>
      </c>
    </row>
    <row r="13" spans="1:10" ht="27" customHeight="1" x14ac:dyDescent="0.3">
      <c r="A13" s="182" t="s">
        <v>40</v>
      </c>
      <c r="B13" s="187">
        <v>1.79</v>
      </c>
      <c r="C13" s="187">
        <v>1.32</v>
      </c>
      <c r="D13" s="82">
        <f>C13/B13-1</f>
        <v>-0.26256983240223464</v>
      </c>
      <c r="E13" s="187">
        <v>1.32</v>
      </c>
      <c r="F13" s="82">
        <f t="shared" si="0"/>
        <v>-0.26256983240223464</v>
      </c>
      <c r="G13" s="187">
        <v>1.57</v>
      </c>
      <c r="H13" s="82">
        <f>G13/B13-1</f>
        <v>-0.12290502793296088</v>
      </c>
      <c r="I13" s="187">
        <v>1.62</v>
      </c>
      <c r="J13" s="82">
        <f>I13/B13-1</f>
        <v>-9.4972067039106101E-2</v>
      </c>
    </row>
    <row r="14" spans="1:10" ht="27" customHeight="1" x14ac:dyDescent="0.3">
      <c r="A14" s="180" t="s">
        <v>37</v>
      </c>
      <c r="B14" s="185"/>
      <c r="C14" s="185"/>
      <c r="D14" s="77"/>
      <c r="E14" s="185"/>
      <c r="F14" s="77"/>
      <c r="G14" s="185"/>
      <c r="H14" s="77"/>
      <c r="I14" s="185"/>
      <c r="J14" s="77"/>
    </row>
    <row r="15" spans="1:10" ht="27" customHeight="1" x14ac:dyDescent="0.3">
      <c r="A15" s="181" t="s">
        <v>38</v>
      </c>
      <c r="B15" s="186">
        <v>0.15</v>
      </c>
      <c r="C15" s="186">
        <v>-0.03</v>
      </c>
      <c r="D15" s="82">
        <f t="shared" ref="D15:D21" si="1">C15/B15-1</f>
        <v>-1.2</v>
      </c>
      <c r="E15" s="186">
        <v>-0.03</v>
      </c>
      <c r="F15" s="82">
        <f t="shared" si="0"/>
        <v>-1.2</v>
      </c>
      <c r="G15" s="186">
        <v>-0.06</v>
      </c>
      <c r="H15" s="82">
        <f>G15/B15-1</f>
        <v>-1.4</v>
      </c>
      <c r="I15" s="186">
        <v>-7.0000000000000007E-2</v>
      </c>
      <c r="J15" s="82">
        <f>I15/B15-1</f>
        <v>-1.4666666666666668</v>
      </c>
    </row>
    <row r="16" spans="1:10" ht="27" customHeight="1" x14ac:dyDescent="0.3">
      <c r="A16" s="181" t="s">
        <v>39</v>
      </c>
      <c r="B16" s="186">
        <v>1</v>
      </c>
      <c r="C16" s="186">
        <v>1.0900000000000001</v>
      </c>
      <c r="D16" s="82">
        <f t="shared" si="1"/>
        <v>9.000000000000008E-2</v>
      </c>
      <c r="E16" s="186">
        <v>1.0900000000000001</v>
      </c>
      <c r="F16" s="82">
        <f t="shared" si="0"/>
        <v>9.000000000000008E-2</v>
      </c>
      <c r="G16" s="186">
        <v>1.29</v>
      </c>
      <c r="H16" s="82">
        <f t="shared" ref="H16:H21" si="2">G16/B16-1</f>
        <v>0.29000000000000004</v>
      </c>
      <c r="I16" s="186">
        <v>1.0900000000000001</v>
      </c>
      <c r="J16" s="82">
        <f t="shared" ref="J16:J21" si="3">I16/B16-1</f>
        <v>9.000000000000008E-2</v>
      </c>
    </row>
    <row r="17" spans="1:10" ht="27" customHeight="1" x14ac:dyDescent="0.3">
      <c r="A17" s="182" t="s">
        <v>40</v>
      </c>
      <c r="B17" s="187">
        <v>1.83</v>
      </c>
      <c r="C17" s="187">
        <v>1.07</v>
      </c>
      <c r="D17" s="28">
        <f t="shared" si="1"/>
        <v>-0.41530054644808745</v>
      </c>
      <c r="E17" s="187">
        <v>1.07</v>
      </c>
      <c r="F17" s="28">
        <f t="shared" si="0"/>
        <v>-0.41530054644808745</v>
      </c>
      <c r="G17" s="187">
        <v>1.39</v>
      </c>
      <c r="H17" s="28">
        <f t="shared" si="2"/>
        <v>-0.2404371584699454</v>
      </c>
      <c r="I17" s="187">
        <v>1.48</v>
      </c>
      <c r="J17" s="82">
        <f t="shared" si="3"/>
        <v>-0.19125683060109289</v>
      </c>
    </row>
    <row r="18" spans="1:10" ht="27" customHeight="1" x14ac:dyDescent="0.3">
      <c r="A18" s="179" t="s">
        <v>41</v>
      </c>
      <c r="B18" s="184">
        <v>1.85</v>
      </c>
      <c r="C18" s="184">
        <v>1.95</v>
      </c>
      <c r="D18" s="14">
        <f t="shared" si="1"/>
        <v>5.4054054054053946E-2</v>
      </c>
      <c r="E18" s="184">
        <v>1.95</v>
      </c>
      <c r="F18" s="14">
        <f t="shared" si="0"/>
        <v>5.4054054054053946E-2</v>
      </c>
      <c r="G18" s="184">
        <v>1.59</v>
      </c>
      <c r="H18" s="14">
        <f t="shared" si="2"/>
        <v>-0.14054054054054055</v>
      </c>
      <c r="I18" s="184">
        <v>1.62</v>
      </c>
      <c r="J18" s="14">
        <f t="shared" si="3"/>
        <v>-0.12432432432432428</v>
      </c>
    </row>
    <row r="19" spans="1:10" ht="27" customHeight="1" x14ac:dyDescent="0.3">
      <c r="A19" s="179" t="s">
        <v>42</v>
      </c>
      <c r="B19" s="184">
        <v>7.66</v>
      </c>
      <c r="C19" s="184">
        <v>8.33</v>
      </c>
      <c r="D19" s="14">
        <f t="shared" si="1"/>
        <v>8.7467362924281922E-2</v>
      </c>
      <c r="E19" s="184">
        <v>8.33</v>
      </c>
      <c r="F19" s="14">
        <f t="shared" si="0"/>
        <v>8.7467362924281922E-2</v>
      </c>
      <c r="G19" s="184">
        <v>7.72</v>
      </c>
      <c r="H19" s="14">
        <f t="shared" si="2"/>
        <v>7.8328981723236879E-3</v>
      </c>
      <c r="I19" s="184">
        <v>7.82</v>
      </c>
      <c r="J19" s="14">
        <f t="shared" si="3"/>
        <v>2.088772845953013E-2</v>
      </c>
    </row>
    <row r="20" spans="1:10" ht="27" customHeight="1" x14ac:dyDescent="0.3">
      <c r="A20" s="179" t="s">
        <v>43</v>
      </c>
      <c r="B20" s="184">
        <v>4.32</v>
      </c>
      <c r="C20" s="184">
        <v>4.8</v>
      </c>
      <c r="D20" s="14">
        <f t="shared" si="1"/>
        <v>0.11111111111111094</v>
      </c>
      <c r="E20" s="184">
        <v>4.63</v>
      </c>
      <c r="F20" s="14">
        <f t="shared" si="0"/>
        <v>7.1759259259259078E-2</v>
      </c>
      <c r="G20" s="184">
        <v>2.7</v>
      </c>
      <c r="H20" s="14">
        <f t="shared" si="2"/>
        <v>-0.375</v>
      </c>
      <c r="I20" s="184">
        <v>2.9</v>
      </c>
      <c r="J20" s="82">
        <f t="shared" si="3"/>
        <v>-0.32870370370370372</v>
      </c>
    </row>
    <row r="21" spans="1:10" ht="27" customHeight="1" x14ac:dyDescent="0.3">
      <c r="A21" s="179" t="s">
        <v>44</v>
      </c>
      <c r="B21" s="184">
        <v>0.16</v>
      </c>
      <c r="C21" s="184">
        <v>7.0000000000000007E-2</v>
      </c>
      <c r="D21" s="82">
        <f t="shared" si="1"/>
        <v>-0.5625</v>
      </c>
      <c r="E21" s="184">
        <v>7.0000000000000007E-2</v>
      </c>
      <c r="F21" s="82">
        <f t="shared" si="0"/>
        <v>-0.5625</v>
      </c>
      <c r="G21" s="184">
        <v>7.0000000000000007E-2</v>
      </c>
      <c r="H21" s="14">
        <f t="shared" si="2"/>
        <v>-0.5625</v>
      </c>
      <c r="I21" s="184">
        <v>0.08</v>
      </c>
      <c r="J21" s="14">
        <f t="shared" si="3"/>
        <v>-0.5</v>
      </c>
    </row>
    <row r="22" spans="1:10" ht="27" customHeight="1" thickBot="1" x14ac:dyDescent="0.35">
      <c r="A22" s="183" t="s">
        <v>45</v>
      </c>
      <c r="B22" s="188">
        <v>2.61</v>
      </c>
      <c r="C22" s="188">
        <v>2.61</v>
      </c>
      <c r="D22" s="15">
        <f>C22/B22-1</f>
        <v>0</v>
      </c>
      <c r="E22" s="188">
        <v>2.61</v>
      </c>
      <c r="F22" s="15">
        <f>E22/B22-1</f>
        <v>0</v>
      </c>
      <c r="G22" s="188">
        <v>2.61</v>
      </c>
      <c r="H22" s="15">
        <f>G22/B22-1</f>
        <v>0</v>
      </c>
      <c r="I22" s="188">
        <v>2.61</v>
      </c>
      <c r="J22" s="15">
        <f>I22/B22-1</f>
        <v>0</v>
      </c>
    </row>
    <row r="23" spans="1:10" ht="27" customHeight="1" x14ac:dyDescent="0.3">
      <c r="A23" s="173" t="s">
        <v>134</v>
      </c>
    </row>
  </sheetData>
  <mergeCells count="5">
    <mergeCell ref="G4:J4"/>
    <mergeCell ref="A1:J1"/>
    <mergeCell ref="A2:J2"/>
    <mergeCell ref="C4:F4"/>
    <mergeCell ref="A3:J3"/>
  </mergeCells>
  <pageMargins left="0.75" right="0.55000000000000004" top="0.49" bottom="0.63" header="0.25" footer="0.39"/>
  <pageSetup scale="88" orientation="landscape" r:id="rId1"/>
  <headerFooter alignWithMargins="0">
    <oddFooter>&amp;C&amp;"Times New Roman,Regular"4-28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G1"/>
    </sheetView>
  </sheetViews>
  <sheetFormatPr defaultColWidth="9.109375" defaultRowHeight="24" customHeight="1" x14ac:dyDescent="0.3"/>
  <cols>
    <col min="1" max="1" width="17.5546875" style="2" customWidth="1"/>
    <col min="2" max="5" width="13.6640625" style="4" customWidth="1"/>
    <col min="6" max="7" width="13.6640625" style="2" customWidth="1"/>
    <col min="8" max="16384" width="9.109375" style="2"/>
  </cols>
  <sheetData>
    <row r="1" spans="1:8" ht="24" customHeight="1" x14ac:dyDescent="0.3">
      <c r="A1" s="249" t="s">
        <v>82</v>
      </c>
      <c r="B1" s="249"/>
      <c r="C1" s="249"/>
      <c r="D1" s="249"/>
      <c r="E1" s="249"/>
      <c r="F1" s="249"/>
      <c r="G1" s="249"/>
    </row>
    <row r="2" spans="1:8" ht="24" customHeight="1" x14ac:dyDescent="0.3">
      <c r="A2" s="250" t="s">
        <v>118</v>
      </c>
      <c r="B2" s="250"/>
      <c r="C2" s="250"/>
      <c r="D2" s="250"/>
      <c r="E2" s="250"/>
      <c r="F2" s="250"/>
      <c r="G2" s="250"/>
    </row>
    <row r="3" spans="1:8" ht="24" customHeight="1" thickBot="1" x14ac:dyDescent="0.35">
      <c r="A3" s="255" t="s">
        <v>58</v>
      </c>
      <c r="B3" s="255"/>
      <c r="C3" s="255"/>
      <c r="D3" s="255"/>
      <c r="E3" s="255"/>
      <c r="F3" s="255"/>
      <c r="G3" s="255"/>
      <c r="H3" s="11"/>
    </row>
    <row r="4" spans="1:8" s="1" customFormat="1" ht="24" customHeight="1" thickBot="1" x14ac:dyDescent="0.35">
      <c r="A4" s="117"/>
      <c r="B4" s="260" t="s">
        <v>116</v>
      </c>
      <c r="C4" s="261"/>
      <c r="D4" s="260" t="s">
        <v>115</v>
      </c>
      <c r="E4" s="261"/>
      <c r="F4" s="262" t="s">
        <v>117</v>
      </c>
      <c r="G4" s="263"/>
    </row>
    <row r="5" spans="1:8" s="1" customFormat="1" ht="24" customHeight="1" x14ac:dyDescent="0.3">
      <c r="A5" s="44" t="s">
        <v>28</v>
      </c>
      <c r="B5" s="32" t="s">
        <v>29</v>
      </c>
      <c r="C5" s="32" t="s">
        <v>30</v>
      </c>
      <c r="D5" s="32" t="s">
        <v>29</v>
      </c>
      <c r="E5" s="32" t="s">
        <v>30</v>
      </c>
      <c r="F5" s="32" t="s">
        <v>29</v>
      </c>
      <c r="G5" s="159" t="s">
        <v>30</v>
      </c>
    </row>
    <row r="6" spans="1:8" ht="30" customHeight="1" x14ac:dyDescent="0.3">
      <c r="A6" s="6" t="s">
        <v>32</v>
      </c>
      <c r="B6" s="5">
        <v>201921.5</v>
      </c>
      <c r="C6" s="5">
        <v>201920</v>
      </c>
      <c r="D6" s="5">
        <v>93489</v>
      </c>
      <c r="E6" s="5">
        <v>93532.5</v>
      </c>
      <c r="F6" s="5">
        <v>11303</v>
      </c>
      <c r="G6" s="110">
        <v>11303</v>
      </c>
    </row>
    <row r="7" spans="1:8" ht="24" customHeight="1" x14ac:dyDescent="0.3">
      <c r="A7" s="6" t="s">
        <v>33</v>
      </c>
      <c r="B7" s="5">
        <v>59974</v>
      </c>
      <c r="C7" s="5">
        <v>55119</v>
      </c>
      <c r="D7" s="5">
        <v>29983</v>
      </c>
      <c r="E7" s="5">
        <v>26971.5</v>
      </c>
      <c r="F7" s="5">
        <v>3351</v>
      </c>
      <c r="G7" s="110">
        <v>3091</v>
      </c>
    </row>
    <row r="8" spans="1:8" ht="24" customHeight="1" x14ac:dyDescent="0.3">
      <c r="A8" s="6" t="s">
        <v>34</v>
      </c>
      <c r="B8" s="5">
        <v>120880</v>
      </c>
      <c r="C8" s="5">
        <v>111067</v>
      </c>
      <c r="D8" s="5">
        <v>54488</v>
      </c>
      <c r="E8" s="5">
        <v>50367</v>
      </c>
      <c r="F8" s="5">
        <v>7797</v>
      </c>
      <c r="G8" s="110">
        <v>7292</v>
      </c>
    </row>
    <row r="9" spans="1:8" ht="24" customHeight="1" x14ac:dyDescent="0.3">
      <c r="A9" s="6" t="s">
        <v>35</v>
      </c>
      <c r="B9" s="5">
        <v>13400</v>
      </c>
      <c r="C9" s="5">
        <v>28066</v>
      </c>
      <c r="D9" s="5">
        <v>4430</v>
      </c>
      <c r="E9" s="5">
        <v>11565</v>
      </c>
      <c r="F9" s="5">
        <v>728</v>
      </c>
      <c r="G9" s="110">
        <v>1494</v>
      </c>
    </row>
    <row r="10" spans="1:8" ht="24" customHeight="1" x14ac:dyDescent="0.3">
      <c r="A10" s="95" t="s">
        <v>36</v>
      </c>
      <c r="B10" s="76"/>
      <c r="C10" s="76"/>
      <c r="D10" s="76"/>
      <c r="E10" s="76"/>
      <c r="F10" s="76"/>
      <c r="G10" s="169"/>
    </row>
    <row r="11" spans="1:8" ht="24" customHeight="1" x14ac:dyDescent="0.3">
      <c r="A11" s="80" t="s">
        <v>38</v>
      </c>
      <c r="B11" s="81">
        <v>31</v>
      </c>
      <c r="C11" s="81">
        <v>31</v>
      </c>
      <c r="D11" s="81">
        <v>15</v>
      </c>
      <c r="E11" s="81">
        <v>15</v>
      </c>
      <c r="F11" s="81">
        <v>2</v>
      </c>
      <c r="G11" s="170">
        <v>2</v>
      </c>
    </row>
    <row r="12" spans="1:8" ht="24" customHeight="1" x14ac:dyDescent="0.3">
      <c r="A12" s="80" t="s">
        <v>39</v>
      </c>
      <c r="B12" s="81">
        <v>2759</v>
      </c>
      <c r="C12" s="81">
        <v>2759</v>
      </c>
      <c r="D12" s="81">
        <v>1288</v>
      </c>
      <c r="E12" s="81">
        <v>1287</v>
      </c>
      <c r="F12" s="81">
        <v>225</v>
      </c>
      <c r="G12" s="170">
        <v>225</v>
      </c>
    </row>
    <row r="13" spans="1:8" ht="24" customHeight="1" x14ac:dyDescent="0.3">
      <c r="A13" s="75" t="s">
        <v>40</v>
      </c>
      <c r="B13" s="10">
        <v>22010</v>
      </c>
      <c r="C13" s="10">
        <v>22010</v>
      </c>
      <c r="D13" s="10">
        <v>10486</v>
      </c>
      <c r="E13" s="10">
        <v>10483</v>
      </c>
      <c r="F13" s="10">
        <v>1569</v>
      </c>
      <c r="G13" s="171">
        <v>1569</v>
      </c>
    </row>
    <row r="14" spans="1:8" ht="24" customHeight="1" x14ac:dyDescent="0.3">
      <c r="A14" s="95" t="s">
        <v>37</v>
      </c>
      <c r="B14" s="76"/>
      <c r="C14" s="76"/>
      <c r="D14" s="76"/>
      <c r="E14" s="76"/>
      <c r="F14" s="76"/>
      <c r="G14" s="169"/>
    </row>
    <row r="15" spans="1:8" ht="24" customHeight="1" x14ac:dyDescent="0.3">
      <c r="A15" s="80" t="s">
        <v>38</v>
      </c>
      <c r="B15" s="81">
        <v>27127</v>
      </c>
      <c r="C15" s="81">
        <v>27127</v>
      </c>
      <c r="D15" s="81">
        <v>10133</v>
      </c>
      <c r="E15" s="81">
        <v>10107</v>
      </c>
      <c r="F15" s="81">
        <v>2661</v>
      </c>
      <c r="G15" s="170">
        <v>2661</v>
      </c>
    </row>
    <row r="16" spans="1:8" ht="24" customHeight="1" x14ac:dyDescent="0.3">
      <c r="A16" s="80" t="s">
        <v>39</v>
      </c>
      <c r="B16" s="81">
        <v>32863</v>
      </c>
      <c r="C16" s="81">
        <v>32863</v>
      </c>
      <c r="D16" s="81">
        <v>14170</v>
      </c>
      <c r="E16" s="81">
        <v>14152.5</v>
      </c>
      <c r="F16" s="81">
        <v>2755</v>
      </c>
      <c r="G16" s="170">
        <v>2755</v>
      </c>
    </row>
    <row r="17" spans="1:7" ht="24" customHeight="1" x14ac:dyDescent="0.3">
      <c r="A17" s="75" t="s">
        <v>40</v>
      </c>
      <c r="B17" s="10">
        <v>22582</v>
      </c>
      <c r="C17" s="10">
        <v>22582</v>
      </c>
      <c r="D17" s="10">
        <v>10505</v>
      </c>
      <c r="E17" s="10">
        <v>10498.5</v>
      </c>
      <c r="F17" s="10">
        <v>1723</v>
      </c>
      <c r="G17" s="171">
        <v>1723</v>
      </c>
    </row>
    <row r="18" spans="1:7" ht="24" customHeight="1" x14ac:dyDescent="0.3">
      <c r="A18" s="6" t="s">
        <v>41</v>
      </c>
      <c r="B18" s="5">
        <v>541</v>
      </c>
      <c r="C18" s="5">
        <v>541</v>
      </c>
      <c r="D18" s="5">
        <v>617</v>
      </c>
      <c r="E18" s="5">
        <v>617</v>
      </c>
      <c r="F18" s="5">
        <v>100</v>
      </c>
      <c r="G18" s="110">
        <v>100</v>
      </c>
    </row>
    <row r="19" spans="1:7" ht="24" customHeight="1" x14ac:dyDescent="0.3">
      <c r="A19" s="6" t="s">
        <v>42</v>
      </c>
      <c r="B19" s="5">
        <v>403</v>
      </c>
      <c r="C19" s="5">
        <v>403</v>
      </c>
      <c r="D19" s="5">
        <v>1134</v>
      </c>
      <c r="E19" s="5">
        <v>1137</v>
      </c>
      <c r="F19" s="5">
        <v>142</v>
      </c>
      <c r="G19" s="110">
        <v>142</v>
      </c>
    </row>
    <row r="20" spans="1:7" ht="24" customHeight="1" x14ac:dyDescent="0.3">
      <c r="A20" s="6" t="s">
        <v>43</v>
      </c>
      <c r="B20" s="5">
        <v>528</v>
      </c>
      <c r="C20" s="5">
        <v>528</v>
      </c>
      <c r="D20" s="5">
        <v>401</v>
      </c>
      <c r="E20" s="5">
        <v>403</v>
      </c>
      <c r="F20" s="5">
        <v>59</v>
      </c>
      <c r="G20" s="110">
        <v>59</v>
      </c>
    </row>
    <row r="21" spans="1:7" ht="24" customHeight="1" x14ac:dyDescent="0.3">
      <c r="A21" s="6" t="s">
        <v>44</v>
      </c>
      <c r="B21" s="5">
        <v>3554</v>
      </c>
      <c r="C21" s="5">
        <v>3554</v>
      </c>
      <c r="D21" s="5">
        <v>1053</v>
      </c>
      <c r="E21" s="5">
        <v>1056</v>
      </c>
      <c r="F21" s="5">
        <v>345</v>
      </c>
      <c r="G21" s="110">
        <v>345</v>
      </c>
    </row>
    <row r="22" spans="1:7" ht="24" customHeight="1" thickBot="1" x14ac:dyDescent="0.35">
      <c r="A22" s="7" t="s">
        <v>45</v>
      </c>
      <c r="B22" s="8">
        <v>508570</v>
      </c>
      <c r="C22" s="8">
        <f>SUM(C6:C21)</f>
        <v>508570</v>
      </c>
      <c r="D22" s="8">
        <v>232192</v>
      </c>
      <c r="E22" s="8">
        <f>SUM(E6:E21)</f>
        <v>232192</v>
      </c>
      <c r="F22" s="8">
        <v>32761</v>
      </c>
      <c r="G22" s="114">
        <f>SUM(G6:G21)</f>
        <v>32761</v>
      </c>
    </row>
    <row r="23" spans="1:7" ht="29.25" customHeight="1" x14ac:dyDescent="0.3">
      <c r="A23" s="134" t="s">
        <v>141</v>
      </c>
      <c r="F23" s="4"/>
      <c r="G23" s="4"/>
    </row>
    <row r="24" spans="1:7" ht="21" customHeight="1" x14ac:dyDescent="0.3">
      <c r="A24" s="134"/>
    </row>
  </sheetData>
  <mergeCells count="6">
    <mergeCell ref="B4:C4"/>
    <mergeCell ref="D4:E4"/>
    <mergeCell ref="F4:G4"/>
    <mergeCell ref="A1:G1"/>
    <mergeCell ref="A2:G2"/>
    <mergeCell ref="A3:G3"/>
  </mergeCells>
  <printOptions horizontalCentered="1"/>
  <pageMargins left="1.05" right="0.75" top="0.33" bottom="0.44" header="0.56000000000000005" footer="0.25"/>
  <pageSetup scale="98" orientation="landscape" r:id="rId1"/>
  <headerFooter alignWithMargins="0">
    <oddFooter>&amp;C&amp;"Times New Roman,Regular"4-29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F1"/>
    </sheetView>
  </sheetViews>
  <sheetFormatPr defaultColWidth="9.109375" defaultRowHeight="27" customHeight="1" x14ac:dyDescent="0.3"/>
  <cols>
    <col min="1" max="1" width="17.5546875" style="2" customWidth="1"/>
    <col min="2" max="4" width="15.6640625" style="4" customWidth="1"/>
    <col min="5" max="5" width="16.44140625" style="2" customWidth="1"/>
    <col min="6" max="6" width="17" style="2" customWidth="1"/>
    <col min="7" max="16384" width="9.109375" style="2"/>
  </cols>
  <sheetData>
    <row r="1" spans="1:6" ht="27" customHeight="1" x14ac:dyDescent="0.3">
      <c r="A1" s="249" t="s">
        <v>65</v>
      </c>
      <c r="B1" s="249"/>
      <c r="C1" s="249"/>
      <c r="D1" s="249"/>
      <c r="E1" s="249"/>
      <c r="F1" s="249"/>
    </row>
    <row r="2" spans="1:6" ht="27" customHeight="1" x14ac:dyDescent="0.3">
      <c r="A2" s="250" t="s">
        <v>72</v>
      </c>
      <c r="B2" s="250"/>
      <c r="C2" s="250"/>
      <c r="D2" s="250"/>
      <c r="E2" s="250"/>
      <c r="F2" s="250"/>
    </row>
    <row r="3" spans="1:6" ht="27" customHeight="1" thickBot="1" x14ac:dyDescent="0.35"/>
    <row r="4" spans="1:6" s="1" customFormat="1" ht="27" customHeight="1" x14ac:dyDescent="0.3">
      <c r="A4" s="117"/>
      <c r="B4" s="118"/>
      <c r="C4" s="118"/>
      <c r="D4" s="119"/>
      <c r="E4" s="264" t="s">
        <v>30</v>
      </c>
      <c r="F4" s="254"/>
    </row>
    <row r="5" spans="1:6" s="1" customFormat="1" ht="27" customHeight="1" x14ac:dyDescent="0.3">
      <c r="A5" s="44" t="s">
        <v>28</v>
      </c>
      <c r="B5" s="115">
        <v>35226</v>
      </c>
      <c r="C5" s="115">
        <v>36161</v>
      </c>
      <c r="D5" s="45" t="s">
        <v>29</v>
      </c>
      <c r="E5" s="107" t="s">
        <v>55</v>
      </c>
      <c r="F5" s="116" t="s">
        <v>56</v>
      </c>
    </row>
    <row r="6" spans="1:6" ht="40.200000000000003" customHeight="1" x14ac:dyDescent="0.3">
      <c r="A6" s="6" t="s">
        <v>32</v>
      </c>
      <c r="B6" s="12">
        <f>3192164/7748829</f>
        <v>0.41195437400928581</v>
      </c>
      <c r="C6" s="12">
        <f>2872948/7334450</f>
        <v>0.39170599022421587</v>
      </c>
      <c r="D6" s="12">
        <f>2763310/6411549</f>
        <v>0.4309894535626258</v>
      </c>
      <c r="E6" s="12">
        <f>2691688/6411549</f>
        <v>0.41981867408328316</v>
      </c>
      <c r="F6" s="26">
        <f>2707517/6411549</f>
        <v>0.42228750025929773</v>
      </c>
    </row>
    <row r="7" spans="1:6" ht="27" customHeight="1" x14ac:dyDescent="0.3">
      <c r="A7" s="6" t="s">
        <v>33</v>
      </c>
      <c r="B7" s="12">
        <f>918985/7748829</f>
        <v>0.11859662924552858</v>
      </c>
      <c r="C7" s="12">
        <f>827131/7334450</f>
        <v>0.11277341859307788</v>
      </c>
      <c r="D7" s="12">
        <f>871287/6411549</f>
        <v>0.1358933699173164</v>
      </c>
      <c r="E7" s="12">
        <f>761239/6411549</f>
        <v>0.11872934294037213</v>
      </c>
      <c r="F7" s="26">
        <f>765526/6411549</f>
        <v>0.11939798011369795</v>
      </c>
    </row>
    <row r="8" spans="1:6" ht="27" customHeight="1" x14ac:dyDescent="0.3">
      <c r="A8" s="6" t="s">
        <v>34</v>
      </c>
      <c r="B8" s="12">
        <f>1161273/7748829</f>
        <v>0.14986432143489037</v>
      </c>
      <c r="C8" s="12">
        <f>1158471/7334450</f>
        <v>0.15794926681618934</v>
      </c>
      <c r="D8" s="12">
        <f>1346466/6411549</f>
        <v>0.21000634947966551</v>
      </c>
      <c r="E8" s="12">
        <f>1265867/6411549</f>
        <v>0.19743544032807048</v>
      </c>
      <c r="F8" s="26">
        <f>1272291/6411549</f>
        <v>0.198437382292485</v>
      </c>
    </row>
    <row r="9" spans="1:6" ht="27" customHeight="1" x14ac:dyDescent="0.3">
      <c r="A9" s="6" t="s">
        <v>35</v>
      </c>
      <c r="B9" s="12">
        <f>388433/7748829</f>
        <v>5.0127961270018992E-2</v>
      </c>
      <c r="C9" s="12">
        <f>388433/7334450</f>
        <v>5.2960071989038029E-2</v>
      </c>
      <c r="D9" s="12">
        <f>124580/6411549</f>
        <v>1.943056194376741E-2</v>
      </c>
      <c r="E9" s="12">
        <f>357487/6411549</f>
        <v>5.5756728990139511E-2</v>
      </c>
      <c r="F9" s="26">
        <f>338615/6411549</f>
        <v>5.2813290516847022E-2</v>
      </c>
    </row>
    <row r="10" spans="1:6" ht="27" customHeight="1" x14ac:dyDescent="0.3">
      <c r="A10" s="95" t="s">
        <v>36</v>
      </c>
      <c r="B10" s="123"/>
      <c r="C10" s="123"/>
      <c r="D10" s="123"/>
      <c r="E10" s="123"/>
      <c r="F10" s="79"/>
    </row>
    <row r="11" spans="1:6" ht="27" customHeight="1" x14ac:dyDescent="0.3">
      <c r="A11" s="80" t="s">
        <v>38</v>
      </c>
      <c r="B11" s="124">
        <f>930/7748829</f>
        <v>1.2001813435294546E-4</v>
      </c>
      <c r="C11" s="124">
        <f>930/7334450</f>
        <v>1.2679887380785199E-4</v>
      </c>
      <c r="D11" s="124">
        <f>360/6411549</f>
        <v>5.6148677955982245E-5</v>
      </c>
      <c r="E11" s="124">
        <f>331/6411549</f>
        <v>5.162559000952812E-5</v>
      </c>
      <c r="F11" s="84">
        <f>333/6411549</f>
        <v>5.1937527109283577E-5</v>
      </c>
    </row>
    <row r="12" spans="1:6" ht="27" customHeight="1" x14ac:dyDescent="0.3">
      <c r="A12" s="80" t="s">
        <v>39</v>
      </c>
      <c r="B12" s="124">
        <f>50563/7748829</f>
        <v>6.5252440078365391E-3</v>
      </c>
      <c r="C12" s="124">
        <f>50562/7334450</f>
        <v>6.8937684488952818E-3</v>
      </c>
      <c r="D12" s="124">
        <f>31721/6411549</f>
        <v>4.9474783706714241E-3</v>
      </c>
      <c r="E12" s="124">
        <f>33732/6411549</f>
        <v>5.2611311244755363E-3</v>
      </c>
      <c r="F12" s="84">
        <f>32687/6411549</f>
        <v>5.0981439898533099E-3</v>
      </c>
    </row>
    <row r="13" spans="1:6" ht="27" customHeight="1" x14ac:dyDescent="0.3">
      <c r="A13" s="75" t="s">
        <v>40</v>
      </c>
      <c r="B13" s="122">
        <f>839272/7748829</f>
        <v>0.10830952651039273</v>
      </c>
      <c r="C13" s="122">
        <f>838765/7334450</f>
        <v>0.11435963160155158</v>
      </c>
      <c r="D13" s="122">
        <f>239726/6411549</f>
        <v>3.7389716587988335E-2</v>
      </c>
      <c r="E13" s="122">
        <f>249000/6411549</f>
        <v>3.8836168919554388E-2</v>
      </c>
      <c r="F13" s="57">
        <f>251065/6411549</f>
        <v>3.9158243975051896E-2</v>
      </c>
    </row>
    <row r="14" spans="1:6" ht="27" customHeight="1" x14ac:dyDescent="0.3">
      <c r="A14" s="95" t="s">
        <v>37</v>
      </c>
      <c r="B14" s="123"/>
      <c r="C14" s="123"/>
      <c r="D14" s="123"/>
      <c r="E14" s="123"/>
      <c r="F14" s="79"/>
    </row>
    <row r="15" spans="1:6" ht="27" customHeight="1" x14ac:dyDescent="0.3">
      <c r="A15" s="80" t="s">
        <v>38</v>
      </c>
      <c r="B15" s="124">
        <f>294235/7748829</f>
        <v>3.7971543829396673E-2</v>
      </c>
      <c r="C15" s="124">
        <f>294235/7334450</f>
        <v>4.0116845843928314E-2</v>
      </c>
      <c r="D15" s="124">
        <f>281268/6411549</f>
        <v>4.3868962087008925E-2</v>
      </c>
      <c r="E15" s="124">
        <f>279446/6411549</f>
        <v>4.3584787389131706E-2</v>
      </c>
      <c r="F15" s="84">
        <f>278900/6411549</f>
        <v>4.3499628560898465E-2</v>
      </c>
    </row>
    <row r="16" spans="1:6" ht="27" customHeight="1" x14ac:dyDescent="0.3">
      <c r="A16" s="80" t="s">
        <v>39</v>
      </c>
      <c r="B16" s="124">
        <f>444415/7748829</f>
        <v>5.7352536751036833E-2</v>
      </c>
      <c r="C16" s="124">
        <f>444415/7334450</f>
        <v>6.0592818820770472E-2</v>
      </c>
      <c r="D16" s="124">
        <f>387364/6411549</f>
        <v>6.0416601354836404E-2</v>
      </c>
      <c r="E16" s="124">
        <f>400031/6411549</f>
        <v>6.2392254976137589E-2</v>
      </c>
      <c r="F16" s="84">
        <f>387472/6411549</f>
        <v>6.0433445958223198E-2</v>
      </c>
    </row>
    <row r="17" spans="1:6" ht="27" customHeight="1" x14ac:dyDescent="0.3">
      <c r="A17" s="75" t="s">
        <v>40</v>
      </c>
      <c r="B17" s="122">
        <f>340382/7748829</f>
        <v>4.3926895276692773E-2</v>
      </c>
      <c r="C17" s="122">
        <f>340382/7334450</f>
        <v>4.6408660499423951E-2</v>
      </c>
      <c r="D17" s="122">
        <f>252547/6411549</f>
        <v>3.9389389365970688E-2</v>
      </c>
      <c r="E17" s="122">
        <f>265621/6411549</f>
        <v>4.142852218707211E-2</v>
      </c>
      <c r="F17" s="57">
        <f>269269/6411549</f>
        <v>4.1997495457026066E-2</v>
      </c>
    </row>
    <row r="18" spans="1:6" ht="27" customHeight="1" x14ac:dyDescent="0.3">
      <c r="A18" s="6" t="s">
        <v>41</v>
      </c>
      <c r="B18" s="12">
        <f>20028/7748829</f>
        <v>2.5846485965814962E-3</v>
      </c>
      <c r="C18" s="12">
        <f>20028/7334450</f>
        <v>2.7306751017458705E-3</v>
      </c>
      <c r="D18" s="12">
        <f>21678/6411549</f>
        <v>3.3810862242493974E-3</v>
      </c>
      <c r="E18" s="12">
        <f>20823/6411549</f>
        <v>3.2477331141039394E-3</v>
      </c>
      <c r="F18" s="26">
        <f>20897/6411549</f>
        <v>3.2592747867948913E-3</v>
      </c>
    </row>
    <row r="19" spans="1:6" ht="27" customHeight="1" x14ac:dyDescent="0.3">
      <c r="A19" s="6" t="s">
        <v>42</v>
      </c>
      <c r="B19" s="12">
        <f>42872/7748829</f>
        <v>5.5327069419134171E-3</v>
      </c>
      <c r="C19" s="12">
        <f>42872/7334450</f>
        <v>5.8452917396669144E-3</v>
      </c>
      <c r="D19" s="12">
        <f>40869/6411549</f>
        <v>6.3742786649528841E-3</v>
      </c>
      <c r="E19" s="12">
        <f>38809/6411549</f>
        <v>6.0529834522047637E-3</v>
      </c>
      <c r="F19" s="26">
        <f>39153/6411549</f>
        <v>6.1066366333627021E-3</v>
      </c>
    </row>
    <row r="20" spans="1:6" ht="27" customHeight="1" x14ac:dyDescent="0.3">
      <c r="A20" s="6" t="s">
        <v>43</v>
      </c>
      <c r="B20" s="12">
        <f>15253/7748829</f>
        <v>1.9684264551456743E-3</v>
      </c>
      <c r="C20" s="12">
        <f>15253/7334450</f>
        <v>2.0796378733238348E-3</v>
      </c>
      <c r="D20" s="12">
        <f>13575/6411549</f>
        <v>2.1172730645901638E-3</v>
      </c>
      <c r="E20" s="12">
        <f>10632/6411549</f>
        <v>1.6582576223000088E-3</v>
      </c>
      <c r="F20" s="26">
        <f>10909/6411549</f>
        <v>1.7014609106161397E-3</v>
      </c>
    </row>
    <row r="21" spans="1:6" ht="27" customHeight="1" x14ac:dyDescent="0.3">
      <c r="A21" s="6" t="s">
        <v>44</v>
      </c>
      <c r="B21" s="12">
        <f>40026/7748829</f>
        <v>5.1654256404419299E-3</v>
      </c>
      <c r="C21" s="12">
        <f>40026/7334450</f>
        <v>5.4572599172398751E-3</v>
      </c>
      <c r="D21" s="12">
        <f>36797/6411549</f>
        <v>5.7391747298507741E-3</v>
      </c>
      <c r="E21" s="12">
        <f>36842/6411549</f>
        <v>5.7461933145952718E-3</v>
      </c>
      <c r="F21" s="26">
        <f>36915/6411549</f>
        <v>5.7575790187363463E-3</v>
      </c>
    </row>
    <row r="22" spans="1:6" ht="27" customHeight="1" thickBot="1" x14ac:dyDescent="0.35">
      <c r="A22" s="7" t="s">
        <v>45</v>
      </c>
      <c r="B22" s="13">
        <f>SUM(B6:B21)</f>
        <v>1.0000002581035148</v>
      </c>
      <c r="C22" s="13">
        <f>SUM(C6:C21)</f>
        <v>1.0000001363428752</v>
      </c>
      <c r="D22" s="13">
        <f>SUM(D6:D21)</f>
        <v>0.99999984403145004</v>
      </c>
      <c r="E22" s="13">
        <f>SUM(E6:E21)</f>
        <v>0.99999984403145015</v>
      </c>
      <c r="F22" s="27">
        <f>SUM(F6:F21)</f>
        <v>1</v>
      </c>
    </row>
    <row r="23" spans="1:6" ht="27" customHeight="1" x14ac:dyDescent="0.3">
      <c r="A23" s="2" t="s">
        <v>135</v>
      </c>
    </row>
    <row r="24" spans="1:6" ht="27" customHeight="1" x14ac:dyDescent="0.3">
      <c r="A24" s="2" t="s">
        <v>143</v>
      </c>
    </row>
  </sheetData>
  <mergeCells count="3">
    <mergeCell ref="E4:F4"/>
    <mergeCell ref="A1:F1"/>
    <mergeCell ref="A2:F2"/>
  </mergeCells>
  <pageMargins left="0.93" right="0.44" top="0.72" bottom="1" header="0.5" footer="0.5"/>
  <pageSetup scale="90" orientation="portrait" r:id="rId1"/>
  <headerFooter alignWithMargins="0">
    <oddFooter>&amp;C&amp;"Times New Roman,Regular"4-30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1"/>
    </sheetView>
  </sheetViews>
  <sheetFormatPr defaultColWidth="9.109375" defaultRowHeight="24" customHeight="1" x14ac:dyDescent="0.3"/>
  <cols>
    <col min="1" max="1" width="17.5546875" style="17" customWidth="1"/>
    <col min="2" max="8" width="13.6640625" style="17" customWidth="1"/>
    <col min="9" max="16384" width="9.109375" style="17"/>
  </cols>
  <sheetData>
    <row r="1" spans="1:8" s="2" customFormat="1" ht="27" customHeight="1" x14ac:dyDescent="0.3">
      <c r="A1" s="249" t="s">
        <v>62</v>
      </c>
      <c r="B1" s="249"/>
      <c r="C1" s="249"/>
      <c r="D1" s="249"/>
      <c r="E1" s="249"/>
      <c r="F1" s="249"/>
      <c r="G1" s="249"/>
      <c r="H1" s="249"/>
    </row>
    <row r="2" spans="1:8" s="2" customFormat="1" ht="27" customHeight="1" x14ac:dyDescent="0.3">
      <c r="A2" s="250" t="s">
        <v>75</v>
      </c>
      <c r="B2" s="250"/>
      <c r="C2" s="250"/>
      <c r="D2" s="250"/>
      <c r="E2" s="250"/>
      <c r="F2" s="250"/>
      <c r="G2" s="250"/>
      <c r="H2" s="250"/>
    </row>
    <row r="3" spans="1:8" ht="24" customHeight="1" thickBot="1" x14ac:dyDescent="0.35">
      <c r="A3" s="265" t="s">
        <v>66</v>
      </c>
      <c r="B3" s="265"/>
      <c r="C3" s="265"/>
      <c r="D3" s="265"/>
      <c r="E3" s="265"/>
      <c r="F3" s="265"/>
      <c r="G3" s="265"/>
      <c r="H3" s="265"/>
    </row>
    <row r="4" spans="1:8" s="16" customFormat="1" ht="24" customHeight="1" x14ac:dyDescent="0.3">
      <c r="A4" s="35"/>
      <c r="B4" s="36"/>
      <c r="C4" s="270" t="s">
        <v>29</v>
      </c>
      <c r="D4" s="273"/>
      <c r="E4" s="270" t="s">
        <v>30</v>
      </c>
      <c r="F4" s="271"/>
      <c r="G4" s="271"/>
      <c r="H4" s="272"/>
    </row>
    <row r="5" spans="1:8" s="16" customFormat="1" ht="24" customHeight="1" x14ac:dyDescent="0.3">
      <c r="A5" s="37" t="s">
        <v>28</v>
      </c>
      <c r="B5" s="38" t="s">
        <v>46</v>
      </c>
      <c r="C5" s="39" t="s">
        <v>53</v>
      </c>
      <c r="D5" s="40" t="s">
        <v>54</v>
      </c>
      <c r="E5" s="40" t="s">
        <v>55</v>
      </c>
      <c r="F5" s="268" t="s">
        <v>56</v>
      </c>
      <c r="G5" s="266"/>
      <c r="H5" s="269"/>
    </row>
    <row r="6" spans="1:8" s="16" customFormat="1" ht="24" customHeight="1" x14ac:dyDescent="0.3">
      <c r="A6" s="41"/>
      <c r="B6" s="42" t="s">
        <v>67</v>
      </c>
      <c r="C6" s="266" t="s">
        <v>59</v>
      </c>
      <c r="D6" s="267"/>
      <c r="E6" s="40" t="s">
        <v>59</v>
      </c>
      <c r="F6" s="40" t="s">
        <v>59</v>
      </c>
      <c r="G6" s="40" t="s">
        <v>60</v>
      </c>
      <c r="H6" s="43" t="s">
        <v>61</v>
      </c>
    </row>
    <row r="7" spans="1:8" ht="30" customHeight="1" x14ac:dyDescent="0.3">
      <c r="A7" s="18" t="s">
        <v>32</v>
      </c>
      <c r="B7" s="19">
        <v>10.7</v>
      </c>
      <c r="C7" s="20">
        <v>10.29</v>
      </c>
      <c r="D7" s="20">
        <v>10.29</v>
      </c>
      <c r="E7" s="20">
        <v>10.02</v>
      </c>
      <c r="F7" s="20">
        <v>10.08</v>
      </c>
      <c r="G7" s="20">
        <v>12.42</v>
      </c>
      <c r="H7" s="21">
        <v>15.54</v>
      </c>
    </row>
    <row r="8" spans="1:8" ht="24" customHeight="1" x14ac:dyDescent="0.3">
      <c r="A8" s="22" t="s">
        <v>33</v>
      </c>
      <c r="B8" s="20">
        <v>11.27</v>
      </c>
      <c r="C8" s="20">
        <v>10.95</v>
      </c>
      <c r="D8" s="20">
        <v>10.63</v>
      </c>
      <c r="E8" s="20">
        <v>10.37</v>
      </c>
      <c r="F8" s="20">
        <v>10.43</v>
      </c>
      <c r="G8" s="20">
        <v>12.95</v>
      </c>
      <c r="H8" s="21">
        <v>16.309999999999999</v>
      </c>
    </row>
    <row r="9" spans="1:8" ht="24" customHeight="1" x14ac:dyDescent="0.3">
      <c r="A9" s="22" t="s">
        <v>34</v>
      </c>
      <c r="B9" s="20">
        <v>10.06</v>
      </c>
      <c r="C9" s="20">
        <v>7.27</v>
      </c>
      <c r="D9" s="20">
        <v>7.19</v>
      </c>
      <c r="E9" s="20">
        <v>7.31</v>
      </c>
      <c r="F9" s="20">
        <v>7.35</v>
      </c>
      <c r="G9" s="20">
        <v>9.98</v>
      </c>
      <c r="H9" s="21">
        <v>13.48</v>
      </c>
    </row>
    <row r="10" spans="1:8" ht="24" customHeight="1" x14ac:dyDescent="0.3">
      <c r="A10" s="22" t="s">
        <v>35</v>
      </c>
      <c r="B10" s="20">
        <v>10.95</v>
      </c>
      <c r="C10" s="20">
        <v>7.2</v>
      </c>
      <c r="D10" s="20">
        <v>8.9600000000000009</v>
      </c>
      <c r="E10" s="20">
        <v>10.07</v>
      </c>
      <c r="F10" s="20">
        <v>9.5399999999999991</v>
      </c>
      <c r="G10" s="20">
        <v>11.92</v>
      </c>
      <c r="H10" s="21">
        <v>15.1</v>
      </c>
    </row>
    <row r="11" spans="1:8" ht="24" customHeight="1" x14ac:dyDescent="0.3">
      <c r="A11" s="129" t="s">
        <v>36</v>
      </c>
      <c r="B11" s="125"/>
      <c r="C11" s="125"/>
      <c r="D11" s="125"/>
      <c r="E11" s="125"/>
      <c r="F11" s="125"/>
      <c r="G11" s="125"/>
      <c r="H11" s="126"/>
    </row>
    <row r="12" spans="1:8" ht="24" customHeight="1" x14ac:dyDescent="0.3">
      <c r="A12" s="130" t="s">
        <v>38</v>
      </c>
      <c r="B12" s="131">
        <v>8.14</v>
      </c>
      <c r="C12" s="131">
        <v>6.08</v>
      </c>
      <c r="D12" s="131">
        <v>6.08</v>
      </c>
      <c r="E12" s="131">
        <v>5.59</v>
      </c>
      <c r="F12" s="131">
        <v>5.63</v>
      </c>
      <c r="G12" s="131">
        <v>8.27</v>
      </c>
      <c r="H12" s="132">
        <v>11.79</v>
      </c>
    </row>
    <row r="13" spans="1:8" ht="24" customHeight="1" x14ac:dyDescent="0.3">
      <c r="A13" s="130" t="s">
        <v>39</v>
      </c>
      <c r="B13" s="131">
        <v>7.7</v>
      </c>
      <c r="C13" s="131">
        <v>5.93</v>
      </c>
      <c r="D13" s="131">
        <v>5.93</v>
      </c>
      <c r="E13" s="131">
        <v>6.31</v>
      </c>
      <c r="F13" s="131">
        <v>6.11</v>
      </c>
      <c r="G13" s="131">
        <v>8.7799999999999994</v>
      </c>
      <c r="H13" s="132">
        <v>12.33</v>
      </c>
    </row>
    <row r="14" spans="1:8" ht="24" customHeight="1" x14ac:dyDescent="0.3">
      <c r="A14" s="127" t="s">
        <v>40</v>
      </c>
      <c r="B14" s="19">
        <v>8.92</v>
      </c>
      <c r="C14" s="19">
        <v>6.43</v>
      </c>
      <c r="D14" s="19">
        <v>6.43</v>
      </c>
      <c r="E14" s="19">
        <v>6.68</v>
      </c>
      <c r="F14" s="19">
        <v>6.73</v>
      </c>
      <c r="G14" s="19">
        <v>9.42</v>
      </c>
      <c r="H14" s="128">
        <v>13.01</v>
      </c>
    </row>
    <row r="15" spans="1:8" ht="24" customHeight="1" x14ac:dyDescent="0.3">
      <c r="A15" s="129" t="s">
        <v>37</v>
      </c>
      <c r="B15" s="125"/>
      <c r="C15" s="125"/>
      <c r="D15" s="125"/>
      <c r="E15" s="125"/>
      <c r="F15" s="125"/>
      <c r="G15" s="125"/>
      <c r="H15" s="126"/>
    </row>
    <row r="16" spans="1:8" ht="24" customHeight="1" x14ac:dyDescent="0.3">
      <c r="A16" s="130" t="s">
        <v>38</v>
      </c>
      <c r="B16" s="131">
        <v>4.66</v>
      </c>
      <c r="C16" s="131">
        <v>4.45</v>
      </c>
      <c r="D16" s="131">
        <v>4.45</v>
      </c>
      <c r="E16" s="131">
        <v>4.42</v>
      </c>
      <c r="F16" s="131">
        <v>4.41</v>
      </c>
      <c r="G16" s="131">
        <v>7</v>
      </c>
      <c r="H16" s="132">
        <v>10.45</v>
      </c>
    </row>
    <row r="17" spans="1:8" ht="24" customHeight="1" x14ac:dyDescent="0.3">
      <c r="A17" s="130" t="s">
        <v>39</v>
      </c>
      <c r="B17" s="131">
        <v>6.79</v>
      </c>
      <c r="C17" s="131">
        <v>5.92</v>
      </c>
      <c r="D17" s="131">
        <v>5.92</v>
      </c>
      <c r="E17" s="131">
        <v>6.11</v>
      </c>
      <c r="F17" s="131">
        <v>5.92</v>
      </c>
      <c r="G17" s="131">
        <v>8.58</v>
      </c>
      <c r="H17" s="132">
        <v>12.13</v>
      </c>
    </row>
    <row r="18" spans="1:8" ht="24" customHeight="1" x14ac:dyDescent="0.3">
      <c r="A18" s="127" t="s">
        <v>40</v>
      </c>
      <c r="B18" s="19">
        <v>8.32</v>
      </c>
      <c r="C18" s="19">
        <v>6.17</v>
      </c>
      <c r="D18" s="19">
        <v>6.17</v>
      </c>
      <c r="E18" s="19">
        <v>6.49</v>
      </c>
      <c r="F18" s="19">
        <v>6.58</v>
      </c>
      <c r="G18" s="19">
        <v>9.2899999999999991</v>
      </c>
      <c r="H18" s="128">
        <v>12.91</v>
      </c>
    </row>
    <row r="19" spans="1:8" ht="24" customHeight="1" x14ac:dyDescent="0.3">
      <c r="A19" s="22" t="s">
        <v>41</v>
      </c>
      <c r="B19" s="20">
        <v>8.43</v>
      </c>
      <c r="C19" s="20">
        <v>9.1300000000000008</v>
      </c>
      <c r="D19" s="20">
        <v>9.1300000000000008</v>
      </c>
      <c r="E19" s="20">
        <v>8.77</v>
      </c>
      <c r="F19" s="20">
        <v>8.8000000000000007</v>
      </c>
      <c r="G19" s="20">
        <v>11.53</v>
      </c>
      <c r="H19" s="21">
        <v>15.16</v>
      </c>
    </row>
    <row r="20" spans="1:8" ht="24" customHeight="1" x14ac:dyDescent="0.3">
      <c r="A20" s="22" t="s">
        <v>42</v>
      </c>
      <c r="B20" s="20">
        <v>12.75</v>
      </c>
      <c r="C20" s="20">
        <v>12.16</v>
      </c>
      <c r="D20" s="20">
        <v>12.16</v>
      </c>
      <c r="E20" s="20">
        <v>11.54</v>
      </c>
      <c r="F20" s="20">
        <v>11.65</v>
      </c>
      <c r="G20" s="20">
        <v>14.39</v>
      </c>
      <c r="H20" s="21">
        <v>18.04</v>
      </c>
    </row>
    <row r="21" spans="1:8" ht="24" customHeight="1" x14ac:dyDescent="0.3">
      <c r="A21" s="22" t="s">
        <v>43</v>
      </c>
      <c r="B21" s="20">
        <v>10.87</v>
      </c>
      <c r="C21" s="20">
        <v>9.67</v>
      </c>
      <c r="D21" s="20">
        <v>9.51</v>
      </c>
      <c r="E21" s="20">
        <v>7.58</v>
      </c>
      <c r="F21" s="20">
        <v>7.7</v>
      </c>
      <c r="G21" s="20">
        <v>10.56</v>
      </c>
      <c r="H21" s="21">
        <v>14.29</v>
      </c>
    </row>
    <row r="22" spans="1:8" ht="24" customHeight="1" x14ac:dyDescent="0.3">
      <c r="A22" s="22" t="s">
        <v>44</v>
      </c>
      <c r="B22" s="20">
        <v>4.88</v>
      </c>
      <c r="C22" s="20">
        <v>4.49</v>
      </c>
      <c r="D22" s="20">
        <v>4.49</v>
      </c>
      <c r="E22" s="20">
        <v>4.5</v>
      </c>
      <c r="F22" s="20">
        <v>4.5</v>
      </c>
      <c r="G22" s="20">
        <v>7.06</v>
      </c>
      <c r="H22" s="21">
        <v>10.46</v>
      </c>
    </row>
    <row r="23" spans="1:8" ht="24" customHeight="1" thickBot="1" x14ac:dyDescent="0.35">
      <c r="A23" s="23" t="s">
        <v>45</v>
      </c>
      <c r="B23" s="24">
        <v>9.42</v>
      </c>
      <c r="C23" s="24">
        <v>8.24</v>
      </c>
      <c r="D23" s="24">
        <v>8.24</v>
      </c>
      <c r="E23" s="24">
        <v>8.24</v>
      </c>
      <c r="F23" s="24">
        <v>8.24</v>
      </c>
      <c r="G23" s="24">
        <v>10.75</v>
      </c>
      <c r="H23" s="25">
        <v>14.11</v>
      </c>
    </row>
    <row r="24" spans="1:8" ht="24" customHeight="1" x14ac:dyDescent="0.3">
      <c r="A24" s="17" t="s">
        <v>136</v>
      </c>
    </row>
  </sheetData>
  <mergeCells count="7">
    <mergeCell ref="A1:H1"/>
    <mergeCell ref="A2:H2"/>
    <mergeCell ref="A3:H3"/>
    <mergeCell ref="C6:D6"/>
    <mergeCell ref="F5:H5"/>
    <mergeCell ref="E4:H4"/>
    <mergeCell ref="C4:D4"/>
  </mergeCells>
  <printOptions horizontalCentered="1"/>
  <pageMargins left="0.75" right="0.75" top="0.42" bottom="0.55000000000000004" header="0.33" footer="0.25"/>
  <pageSetup scale="95" orientation="landscape" r:id="rId1"/>
  <headerFooter alignWithMargins="0">
    <oddFooter>&amp;C&amp;"Times New Roman,Regular"4-31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4" sqref="A3:G4"/>
    </sheetView>
  </sheetViews>
  <sheetFormatPr defaultColWidth="9.109375" defaultRowHeight="24" customHeight="1" x14ac:dyDescent="0.3"/>
  <cols>
    <col min="1" max="1" width="17.5546875" style="2" customWidth="1"/>
    <col min="2" max="7" width="13.6640625" style="4" customWidth="1"/>
    <col min="8" max="16384" width="9.109375" style="2"/>
  </cols>
  <sheetData>
    <row r="1" spans="1:7" s="160" customFormat="1" ht="24" customHeight="1" x14ac:dyDescent="0.3">
      <c r="A1" s="249" t="s">
        <v>63</v>
      </c>
      <c r="B1" s="249"/>
      <c r="C1" s="249"/>
      <c r="D1" s="249"/>
      <c r="E1" s="249"/>
      <c r="F1" s="249"/>
      <c r="G1" s="249"/>
    </row>
    <row r="2" spans="1:7" s="160" customFormat="1" ht="24" customHeight="1" x14ac:dyDescent="0.3">
      <c r="A2" s="250" t="s">
        <v>69</v>
      </c>
      <c r="B2" s="250"/>
      <c r="C2" s="250"/>
      <c r="D2" s="250"/>
      <c r="E2" s="250"/>
      <c r="F2" s="250"/>
      <c r="G2" s="250"/>
    </row>
    <row r="3" spans="1:7" s="160" customFormat="1" ht="24" customHeight="1" thickBot="1" x14ac:dyDescent="0.35">
      <c r="A3" s="255" t="s">
        <v>68</v>
      </c>
      <c r="B3" s="255"/>
      <c r="C3" s="255"/>
      <c r="D3" s="255"/>
      <c r="E3" s="255"/>
      <c r="F3" s="255"/>
      <c r="G3" s="255"/>
    </row>
    <row r="4" spans="1:7" s="1" customFormat="1" ht="24" customHeight="1" x14ac:dyDescent="0.3">
      <c r="A4" s="117"/>
      <c r="B4" s="276" t="s">
        <v>29</v>
      </c>
      <c r="C4" s="264"/>
      <c r="D4" s="276" t="s">
        <v>30</v>
      </c>
      <c r="E4" s="277"/>
      <c r="F4" s="277"/>
      <c r="G4" s="278"/>
    </row>
    <row r="5" spans="1:7" s="1" customFormat="1" ht="24" customHeight="1" x14ac:dyDescent="0.3">
      <c r="A5" s="190" t="s">
        <v>28</v>
      </c>
      <c r="B5" s="191" t="s">
        <v>53</v>
      </c>
      <c r="C5" s="45" t="s">
        <v>54</v>
      </c>
      <c r="D5" s="45" t="s">
        <v>55</v>
      </c>
      <c r="E5" s="279" t="s">
        <v>56</v>
      </c>
      <c r="F5" s="274"/>
      <c r="G5" s="280"/>
    </row>
    <row r="6" spans="1:7" s="1" customFormat="1" ht="24" customHeight="1" x14ac:dyDescent="0.3">
      <c r="A6" s="44"/>
      <c r="B6" s="274" t="s">
        <v>59</v>
      </c>
      <c r="C6" s="275"/>
      <c r="D6" s="45" t="s">
        <v>59</v>
      </c>
      <c r="E6" s="45" t="s">
        <v>59</v>
      </c>
      <c r="F6" s="45" t="s">
        <v>60</v>
      </c>
      <c r="G6" s="192" t="s">
        <v>61</v>
      </c>
    </row>
    <row r="7" spans="1:7" ht="30" customHeight="1" x14ac:dyDescent="0.3">
      <c r="A7" s="9" t="s">
        <v>32</v>
      </c>
      <c r="B7" s="14">
        <v>-3.8199999999999998E-2</v>
      </c>
      <c r="C7" s="14">
        <v>-3.8199999999999998E-2</v>
      </c>
      <c r="D7" s="14">
        <v>-6.3100000000000003E-2</v>
      </c>
      <c r="E7" s="14">
        <v>-5.7599999999999998E-2</v>
      </c>
      <c r="F7" s="14">
        <v>0.16109999999999999</v>
      </c>
      <c r="G7" s="29">
        <v>0.45279999999999998</v>
      </c>
    </row>
    <row r="8" spans="1:7" ht="24" customHeight="1" x14ac:dyDescent="0.3">
      <c r="A8" s="6" t="s">
        <v>33</v>
      </c>
      <c r="B8" s="14">
        <v>-6.6199999999999995E-2</v>
      </c>
      <c r="C8" s="14">
        <v>-5.6800000000000003E-2</v>
      </c>
      <c r="D8" s="14">
        <v>-7.9699999999999993E-2</v>
      </c>
      <c r="E8" s="14">
        <v>-7.4499999999999997E-2</v>
      </c>
      <c r="F8" s="14">
        <v>0.14940000000000001</v>
      </c>
      <c r="G8" s="29">
        <v>0.44790000000000002</v>
      </c>
    </row>
    <row r="9" spans="1:7" ht="24" customHeight="1" x14ac:dyDescent="0.3">
      <c r="A9" s="6" t="s">
        <v>34</v>
      </c>
      <c r="B9" s="14">
        <v>-0.25240000000000001</v>
      </c>
      <c r="C9" s="14">
        <v>-0.25119999999999998</v>
      </c>
      <c r="D9" s="14">
        <v>-0.2384</v>
      </c>
      <c r="E9" s="14">
        <v>-0.23449999999999999</v>
      </c>
      <c r="F9" s="14">
        <v>3.9699999999999999E-2</v>
      </c>
      <c r="G9" s="29">
        <v>0.40529999999999999</v>
      </c>
    </row>
    <row r="10" spans="1:7" ht="24" customHeight="1" x14ac:dyDescent="0.3">
      <c r="A10" s="6" t="s">
        <v>35</v>
      </c>
      <c r="B10" s="14">
        <v>-0.1318</v>
      </c>
      <c r="C10" s="14">
        <v>-0.18179999999999999</v>
      </c>
      <c r="D10" s="14">
        <v>-7.9699999999999993E-2</v>
      </c>
      <c r="E10" s="14">
        <v>-0.1283</v>
      </c>
      <c r="F10" s="14">
        <v>8.9399999999999993E-2</v>
      </c>
      <c r="G10" s="29">
        <v>0.37959999999999999</v>
      </c>
    </row>
    <row r="11" spans="1:7" ht="24" customHeight="1" x14ac:dyDescent="0.3">
      <c r="A11" s="95" t="s">
        <v>36</v>
      </c>
      <c r="B11" s="77"/>
      <c r="C11" s="77"/>
      <c r="D11" s="77"/>
      <c r="E11" s="77"/>
      <c r="F11" s="77"/>
      <c r="G11" s="96"/>
    </row>
    <row r="12" spans="1:7" ht="24" customHeight="1" x14ac:dyDescent="0.3">
      <c r="A12" s="80" t="s">
        <v>38</v>
      </c>
      <c r="B12" s="82">
        <v>-0.25719999999999998</v>
      </c>
      <c r="C12" s="82">
        <v>-0.25719999999999998</v>
      </c>
      <c r="D12" s="82">
        <v>-0.31659999999999999</v>
      </c>
      <c r="E12" s="82">
        <v>-0.3125</v>
      </c>
      <c r="F12" s="82">
        <v>1.03E-2</v>
      </c>
      <c r="G12" s="97">
        <v>0.44080000000000003</v>
      </c>
    </row>
    <row r="13" spans="1:7" ht="24" customHeight="1" x14ac:dyDescent="0.3">
      <c r="A13" s="80" t="s">
        <v>39</v>
      </c>
      <c r="B13" s="82">
        <v>-0.23119999999999999</v>
      </c>
      <c r="C13" s="82">
        <v>-0.23119999999999999</v>
      </c>
      <c r="D13" s="82">
        <v>-0.1825</v>
      </c>
      <c r="E13" s="82">
        <v>-0.20780000000000001</v>
      </c>
      <c r="F13" s="82">
        <v>0.13750000000000001</v>
      </c>
      <c r="G13" s="97">
        <v>0.59799999999999998</v>
      </c>
    </row>
    <row r="14" spans="1:7" ht="24" customHeight="1" x14ac:dyDescent="0.3">
      <c r="A14" s="75" t="s">
        <v>40</v>
      </c>
      <c r="B14" s="28">
        <v>-0.3049</v>
      </c>
      <c r="C14" s="28">
        <v>-0.3049</v>
      </c>
      <c r="D14" s="28">
        <v>-0.27800000000000002</v>
      </c>
      <c r="E14" s="28">
        <v>-0.27200000000000002</v>
      </c>
      <c r="F14" s="28">
        <v>1.84E-2</v>
      </c>
      <c r="G14" s="53">
        <v>0.40570000000000001</v>
      </c>
    </row>
    <row r="15" spans="1:7" ht="24" customHeight="1" x14ac:dyDescent="0.3">
      <c r="A15" s="95" t="s">
        <v>37</v>
      </c>
      <c r="B15" s="77"/>
      <c r="C15" s="77"/>
      <c r="D15" s="77"/>
      <c r="E15" s="77"/>
      <c r="F15" s="77"/>
      <c r="G15" s="96"/>
    </row>
    <row r="16" spans="1:7" ht="24" customHeight="1" x14ac:dyDescent="0.3">
      <c r="A16" s="80" t="s">
        <v>38</v>
      </c>
      <c r="B16" s="82">
        <v>-4.41E-2</v>
      </c>
      <c r="C16" s="82">
        <v>-4.41E-2</v>
      </c>
      <c r="D16" s="82">
        <v>-5.0299999999999997E-2</v>
      </c>
      <c r="E16" s="82">
        <v>-5.21E-2</v>
      </c>
      <c r="F16" s="82">
        <v>0.50390000000000001</v>
      </c>
      <c r="G16" s="97">
        <v>1.2453000000000001</v>
      </c>
    </row>
    <row r="17" spans="1:7" ht="24" customHeight="1" x14ac:dyDescent="0.3">
      <c r="A17" s="80" t="s">
        <v>39</v>
      </c>
      <c r="B17" s="82">
        <v>-0.12839999999999999</v>
      </c>
      <c r="C17" s="82">
        <v>-0.12839999999999999</v>
      </c>
      <c r="D17" s="82">
        <v>-9.9900000000000003E-2</v>
      </c>
      <c r="E17" s="82">
        <v>-0.12809999999999999</v>
      </c>
      <c r="F17" s="82">
        <v>0.26340000000000002</v>
      </c>
      <c r="G17" s="97">
        <v>0.78549999999999998</v>
      </c>
    </row>
    <row r="18" spans="1:7" ht="24" customHeight="1" x14ac:dyDescent="0.3">
      <c r="A18" s="75" t="s">
        <v>40</v>
      </c>
      <c r="B18" s="28">
        <v>-0.25800000000000001</v>
      </c>
      <c r="C18" s="28">
        <v>-0.25800000000000001</v>
      </c>
      <c r="D18" s="28">
        <v>-0.21959999999999999</v>
      </c>
      <c r="E18" s="28">
        <v>-0.2089</v>
      </c>
      <c r="F18" s="28">
        <v>0.1174</v>
      </c>
      <c r="G18" s="53">
        <v>0.55249999999999999</v>
      </c>
    </row>
    <row r="19" spans="1:7" ht="24" customHeight="1" x14ac:dyDescent="0.3">
      <c r="A19" s="6" t="s">
        <v>41</v>
      </c>
      <c r="B19" s="14">
        <v>8.2400000000000001E-2</v>
      </c>
      <c r="C19" s="14">
        <v>8.2299999999999998E-2</v>
      </c>
      <c r="D19" s="14">
        <v>3.9699999999999999E-2</v>
      </c>
      <c r="E19" s="14">
        <v>4.3400000000000001E-2</v>
      </c>
      <c r="F19" s="14">
        <v>0.36659999999999998</v>
      </c>
      <c r="G19" s="29">
        <v>0.79749999999999999</v>
      </c>
    </row>
    <row r="20" spans="1:7" ht="24" customHeight="1" x14ac:dyDescent="0.3">
      <c r="A20" s="6" t="s">
        <v>42</v>
      </c>
      <c r="B20" s="14">
        <v>-4.6699999999999998E-2</v>
      </c>
      <c r="C20" s="14">
        <v>-4.6699999999999998E-2</v>
      </c>
      <c r="D20" s="14">
        <v>-9.4799999999999995E-2</v>
      </c>
      <c r="E20" s="14">
        <v>-8.6699999999999999E-2</v>
      </c>
      <c r="F20" s="14">
        <v>0.12820000000000001</v>
      </c>
      <c r="G20" s="29">
        <v>0.41489999999999999</v>
      </c>
    </row>
    <row r="21" spans="1:7" ht="24" customHeight="1" x14ac:dyDescent="0.3">
      <c r="A21" s="6" t="s">
        <v>43</v>
      </c>
      <c r="B21" s="14">
        <v>-0.11</v>
      </c>
      <c r="C21" s="14">
        <v>-0.1255</v>
      </c>
      <c r="D21" s="14">
        <v>-0.30299999999999999</v>
      </c>
      <c r="E21" s="14">
        <v>-0.2848</v>
      </c>
      <c r="F21" s="14">
        <v>-2.8000000000000001E-2</v>
      </c>
      <c r="G21" s="29">
        <v>0.31440000000000001</v>
      </c>
    </row>
    <row r="22" spans="1:7" ht="24" customHeight="1" x14ac:dyDescent="0.3">
      <c r="A22" s="6" t="s">
        <v>44</v>
      </c>
      <c r="B22" s="14">
        <v>-8.0699999999999994E-2</v>
      </c>
      <c r="C22" s="14">
        <v>-8.0699999999999994E-2</v>
      </c>
      <c r="D22" s="14">
        <v>-7.9500000000000001E-2</v>
      </c>
      <c r="E22" s="14">
        <v>-7.7700000000000005E-2</v>
      </c>
      <c r="F22" s="14">
        <v>0.44469999999999998</v>
      </c>
      <c r="G22" s="29">
        <v>1.1413</v>
      </c>
    </row>
    <row r="23" spans="1:7" ht="24" customHeight="1" thickBot="1" x14ac:dyDescent="0.35">
      <c r="A23" s="7" t="s">
        <v>45</v>
      </c>
      <c r="B23" s="15">
        <v>-0.1258</v>
      </c>
      <c r="C23" s="15">
        <v>-0.1258</v>
      </c>
      <c r="D23" s="15">
        <v>-0.1258</v>
      </c>
      <c r="E23" s="15">
        <v>-0.1258</v>
      </c>
      <c r="F23" s="15">
        <v>0.1411</v>
      </c>
      <c r="G23" s="30">
        <v>0.497</v>
      </c>
    </row>
    <row r="24" spans="1:7" ht="24" customHeight="1" x14ac:dyDescent="0.3">
      <c r="A24" s="2" t="s">
        <v>73</v>
      </c>
    </row>
  </sheetData>
  <mergeCells count="7">
    <mergeCell ref="B6:C6"/>
    <mergeCell ref="B4:C4"/>
    <mergeCell ref="D4:G4"/>
    <mergeCell ref="A1:G1"/>
    <mergeCell ref="A2:G2"/>
    <mergeCell ref="A3:G3"/>
    <mergeCell ref="E5:G5"/>
  </mergeCells>
  <printOptions horizontalCentered="1"/>
  <pageMargins left="0.75" right="0.75" top="0.44" bottom="0.46" header="0.36" footer="0.25"/>
  <pageSetup scale="95" orientation="landscape" r:id="rId1"/>
  <headerFooter alignWithMargins="0">
    <oddFooter>&amp;C&amp;"Times New Roman,Regular"4-32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G1"/>
    </sheetView>
  </sheetViews>
  <sheetFormatPr defaultColWidth="10.6640625" defaultRowHeight="23.4" customHeight="1" x14ac:dyDescent="0.3"/>
  <cols>
    <col min="1" max="1" width="6.44140625" style="1" customWidth="1"/>
    <col min="2" max="2" width="15.6640625" style="1" customWidth="1"/>
    <col min="3" max="3" width="23.33203125" style="2" customWidth="1"/>
    <col min="4" max="4" width="17.88671875" style="135" customWidth="1"/>
    <col min="5" max="5" width="17.33203125" style="135" customWidth="1"/>
    <col min="6" max="6" width="16.33203125" style="1" customWidth="1"/>
    <col min="7" max="7" width="13.5546875" style="134" customWidth="1"/>
    <col min="8" max="16384" width="10.6640625" style="2"/>
  </cols>
  <sheetData>
    <row r="1" spans="1:7" s="160" customFormat="1" ht="23.4" customHeight="1" x14ac:dyDescent="0.3">
      <c r="A1" s="249" t="s">
        <v>84</v>
      </c>
      <c r="B1" s="249"/>
      <c r="C1" s="249"/>
      <c r="D1" s="249"/>
      <c r="E1" s="249"/>
      <c r="F1" s="249"/>
      <c r="G1" s="249"/>
    </row>
    <row r="2" spans="1:7" s="160" customFormat="1" ht="28.2" customHeight="1" x14ac:dyDescent="0.3">
      <c r="A2" s="250" t="s">
        <v>85</v>
      </c>
      <c r="B2" s="250"/>
      <c r="C2" s="250"/>
      <c r="D2" s="250"/>
      <c r="E2" s="250"/>
      <c r="F2" s="250"/>
      <c r="G2" s="250"/>
    </row>
    <row r="3" spans="1:7" s="160" customFormat="1" ht="23.4" customHeight="1" x14ac:dyDescent="0.3">
      <c r="A3" s="250" t="s">
        <v>96</v>
      </c>
      <c r="B3" s="250"/>
      <c r="C3" s="250"/>
      <c r="D3" s="250"/>
      <c r="E3" s="250"/>
      <c r="F3" s="250"/>
      <c r="G3" s="250"/>
    </row>
    <row r="4" spans="1:7" s="160" customFormat="1" ht="18.600000000000001" customHeight="1" thickBot="1" x14ac:dyDescent="0.35">
      <c r="A4" s="283" t="s">
        <v>86</v>
      </c>
      <c r="B4" s="283"/>
      <c r="C4" s="283"/>
      <c r="D4" s="283"/>
      <c r="E4" s="283"/>
      <c r="F4" s="283"/>
      <c r="G4" s="283"/>
    </row>
    <row r="5" spans="1:7" ht="30" customHeight="1" x14ac:dyDescent="0.3">
      <c r="A5" s="156"/>
      <c r="B5" s="157"/>
      <c r="C5" s="157"/>
      <c r="D5" s="158" t="s">
        <v>108</v>
      </c>
      <c r="E5" s="163" t="s">
        <v>109</v>
      </c>
      <c r="F5" s="161"/>
      <c r="G5" s="162"/>
    </row>
    <row r="6" spans="1:7" ht="22.2" customHeight="1" x14ac:dyDescent="0.3">
      <c r="A6" s="155" t="s">
        <v>99</v>
      </c>
      <c r="B6" s="153" t="s">
        <v>95</v>
      </c>
      <c r="C6" s="153" t="s">
        <v>87</v>
      </c>
      <c r="D6" s="154" t="s">
        <v>88</v>
      </c>
      <c r="E6" s="164" t="s">
        <v>110</v>
      </c>
      <c r="F6" s="281" t="s">
        <v>91</v>
      </c>
      <c r="G6" s="282"/>
    </row>
    <row r="7" spans="1:7" ht="24.6" customHeight="1" x14ac:dyDescent="0.3">
      <c r="A7" s="138"/>
      <c r="B7" s="140"/>
      <c r="C7" s="121"/>
      <c r="D7" s="143" t="s">
        <v>104</v>
      </c>
      <c r="E7" s="165" t="s">
        <v>67</v>
      </c>
      <c r="F7" s="146"/>
      <c r="G7" s="136"/>
    </row>
    <row r="8" spans="1:7" ht="40.200000000000003" customHeight="1" x14ac:dyDescent="0.3">
      <c r="A8" s="138">
        <v>1</v>
      </c>
      <c r="B8" s="121" t="s">
        <v>94</v>
      </c>
      <c r="C8" s="121" t="s">
        <v>89</v>
      </c>
      <c r="D8" s="144" t="s">
        <v>97</v>
      </c>
      <c r="E8" s="144">
        <v>0</v>
      </c>
      <c r="F8" s="140"/>
      <c r="G8" s="136"/>
    </row>
    <row r="9" spans="1:7" ht="23.4" customHeight="1" x14ac:dyDescent="0.3">
      <c r="A9" s="138">
        <v>2</v>
      </c>
      <c r="B9" s="121" t="s">
        <v>94</v>
      </c>
      <c r="C9" s="121" t="s">
        <v>90</v>
      </c>
      <c r="D9" s="144">
        <v>42.085999999999999</v>
      </c>
      <c r="E9" s="144">
        <v>0</v>
      </c>
      <c r="F9" s="140" t="s">
        <v>111</v>
      </c>
      <c r="G9" s="136" t="s">
        <v>113</v>
      </c>
    </row>
    <row r="10" spans="1:7" ht="23.4" customHeight="1" x14ac:dyDescent="0.3">
      <c r="A10" s="138">
        <v>3</v>
      </c>
      <c r="B10" s="121" t="s">
        <v>94</v>
      </c>
      <c r="C10" s="121" t="s">
        <v>92</v>
      </c>
      <c r="D10" s="145">
        <v>72.284999999999997</v>
      </c>
      <c r="E10" s="145">
        <f>D10</f>
        <v>72.284999999999997</v>
      </c>
      <c r="F10" s="140" t="s">
        <v>107</v>
      </c>
      <c r="G10" s="136" t="s">
        <v>93</v>
      </c>
    </row>
    <row r="11" spans="1:7" ht="23.4" customHeight="1" x14ac:dyDescent="0.3">
      <c r="A11" s="138">
        <v>4</v>
      </c>
      <c r="B11" s="140"/>
      <c r="C11" s="140" t="s">
        <v>98</v>
      </c>
      <c r="D11" s="151">
        <f>SUM(D8:D10)</f>
        <v>114.371</v>
      </c>
      <c r="E11" s="151">
        <f>SUM(E8:E10)</f>
        <v>72.284999999999997</v>
      </c>
      <c r="F11" s="140"/>
      <c r="G11" s="136"/>
    </row>
    <row r="12" spans="1:7" ht="23.4" customHeight="1" x14ac:dyDescent="0.3">
      <c r="A12" s="150"/>
      <c r="B12" s="147"/>
      <c r="C12" s="120"/>
      <c r="D12" s="148"/>
      <c r="E12" s="148"/>
      <c r="F12" s="147"/>
      <c r="G12" s="149"/>
    </row>
    <row r="13" spans="1:7" ht="23.4" customHeight="1" x14ac:dyDescent="0.3">
      <c r="A13" s="138">
        <v>5</v>
      </c>
      <c r="B13" s="141" t="s">
        <v>105</v>
      </c>
      <c r="C13" s="121" t="s">
        <v>102</v>
      </c>
      <c r="D13" s="144"/>
      <c r="E13" s="144"/>
      <c r="F13" s="140" t="s">
        <v>100</v>
      </c>
      <c r="G13" s="136" t="s">
        <v>101</v>
      </c>
    </row>
    <row r="14" spans="1:7" ht="23.4" customHeight="1" x14ac:dyDescent="0.3">
      <c r="A14" s="138">
        <v>6</v>
      </c>
      <c r="B14" s="140"/>
      <c r="C14" s="141">
        <v>1999</v>
      </c>
      <c r="D14" s="144">
        <v>27.4</v>
      </c>
      <c r="E14" s="144">
        <v>0</v>
      </c>
      <c r="F14" s="140"/>
      <c r="G14" s="136"/>
    </row>
    <row r="15" spans="1:7" ht="23.4" customHeight="1" x14ac:dyDescent="0.3">
      <c r="A15" s="138">
        <v>7</v>
      </c>
      <c r="B15" s="140"/>
      <c r="C15" s="141">
        <v>2000</v>
      </c>
      <c r="D15" s="144">
        <v>25</v>
      </c>
      <c r="E15" s="144">
        <v>0</v>
      </c>
      <c r="F15" s="140"/>
      <c r="G15" s="136"/>
    </row>
    <row r="16" spans="1:7" ht="23.4" customHeight="1" x14ac:dyDescent="0.3">
      <c r="A16" s="138">
        <v>8</v>
      </c>
      <c r="B16" s="140"/>
      <c r="C16" s="141">
        <v>2001</v>
      </c>
      <c r="D16" s="145">
        <f>23.5+62.8</f>
        <v>86.3</v>
      </c>
      <c r="E16" s="145">
        <f>D16</f>
        <v>86.3</v>
      </c>
      <c r="F16" s="140"/>
      <c r="G16" s="136"/>
    </row>
    <row r="17" spans="1:7" ht="23.4" customHeight="1" x14ac:dyDescent="0.3">
      <c r="A17" s="138">
        <v>9</v>
      </c>
      <c r="B17" s="140"/>
      <c r="C17" s="140" t="s">
        <v>98</v>
      </c>
      <c r="D17" s="144">
        <f>SUM(D14:D16)</f>
        <v>138.69999999999999</v>
      </c>
      <c r="E17" s="144">
        <f>SUM(E14:E16)</f>
        <v>86.3</v>
      </c>
      <c r="F17" s="140"/>
      <c r="G17" s="136"/>
    </row>
    <row r="18" spans="1:7" ht="23.4" customHeight="1" x14ac:dyDescent="0.3">
      <c r="A18" s="138">
        <v>10</v>
      </c>
      <c r="B18" s="140"/>
      <c r="C18" s="121" t="s">
        <v>103</v>
      </c>
      <c r="D18" s="145">
        <f>2.4+1.4</f>
        <v>3.8</v>
      </c>
      <c r="E18" s="145">
        <f>D18/D17*E17</f>
        <v>2.3643835616438356</v>
      </c>
      <c r="F18" s="140"/>
      <c r="G18" s="136"/>
    </row>
    <row r="19" spans="1:7" ht="23.4" customHeight="1" thickBot="1" x14ac:dyDescent="0.35">
      <c r="A19" s="139">
        <v>11</v>
      </c>
      <c r="B19" s="142"/>
      <c r="C19" s="142" t="s">
        <v>98</v>
      </c>
      <c r="D19" s="152">
        <f>SUM(D17:D18)</f>
        <v>142.5</v>
      </c>
      <c r="E19" s="152">
        <f>SUM(E17:E18)</f>
        <v>88.664383561643831</v>
      </c>
      <c r="F19" s="142"/>
      <c r="G19" s="137"/>
    </row>
    <row r="21" spans="1:7" s="134" customFormat="1" ht="21" customHeight="1" x14ac:dyDescent="0.25">
      <c r="A21" s="166" t="s">
        <v>67</v>
      </c>
      <c r="B21" s="168" t="s">
        <v>142</v>
      </c>
      <c r="D21" s="167"/>
      <c r="E21" s="167"/>
      <c r="F21" s="166"/>
    </row>
    <row r="22" spans="1:7" s="134" customFormat="1" ht="21" customHeight="1" x14ac:dyDescent="0.25">
      <c r="A22" s="166" t="s">
        <v>112</v>
      </c>
      <c r="B22" s="168" t="s">
        <v>137</v>
      </c>
      <c r="D22" s="167"/>
      <c r="E22" s="167"/>
      <c r="F22" s="166"/>
    </row>
    <row r="23" spans="1:7" s="134" customFormat="1" ht="21" customHeight="1" x14ac:dyDescent="0.25">
      <c r="D23" s="167"/>
      <c r="E23" s="167"/>
      <c r="F23" s="166"/>
    </row>
    <row r="24" spans="1:7" s="134" customFormat="1" ht="21" customHeight="1" x14ac:dyDescent="0.25">
      <c r="A24" s="166"/>
      <c r="B24" s="168"/>
      <c r="D24" s="167"/>
      <c r="E24" s="167"/>
      <c r="F24" s="166"/>
    </row>
  </sheetData>
  <mergeCells count="5">
    <mergeCell ref="F6:G6"/>
    <mergeCell ref="A1:G1"/>
    <mergeCell ref="A2:G2"/>
    <mergeCell ref="A3:G3"/>
    <mergeCell ref="A4:G4"/>
  </mergeCells>
  <printOptions horizontalCentered="1"/>
  <pageMargins left="0.75" right="0.75" top="0.36" bottom="0.55000000000000004" header="0.24" footer="0.28000000000000003"/>
  <pageSetup orientation="landscape" r:id="rId1"/>
  <headerFooter alignWithMargins="0">
    <oddFooter>&amp;C&amp;"Times New Roman,Regular"4-33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8"/>
  <sheetViews>
    <sheetView workbookViewId="0">
      <selection activeCell="I38" sqref="I38"/>
    </sheetView>
  </sheetViews>
  <sheetFormatPr defaultColWidth="7.21875" defaultRowHeight="13.2" x14ac:dyDescent="0.25"/>
  <cols>
    <col min="1" max="1" width="11.6640625" style="134" customWidth="1"/>
    <col min="2" max="2" width="1.88671875" style="166" customWidth="1"/>
    <col min="3" max="3" width="10.109375" style="134" customWidth="1"/>
    <col min="4" max="4" width="10.77734375" style="134" customWidth="1"/>
    <col min="5" max="5" width="11.6640625" style="134" customWidth="1"/>
    <col min="6" max="6" width="1.33203125" style="134" customWidth="1"/>
    <col min="7" max="7" width="10.109375" style="134" customWidth="1"/>
    <col min="8" max="8" width="8.44140625" style="134" customWidth="1"/>
    <col min="9" max="10" width="10.33203125" style="134" customWidth="1"/>
    <col min="11" max="11" width="10.6640625" style="134" customWidth="1"/>
    <col min="12" max="12" width="7.6640625" style="134" customWidth="1"/>
    <col min="13" max="13" width="8.44140625" style="134" customWidth="1"/>
    <col min="14" max="14" width="10.109375" style="134" customWidth="1"/>
    <col min="15" max="15" width="8.44140625" style="134" customWidth="1"/>
    <col min="16" max="16" width="7.88671875" style="134" customWidth="1"/>
    <col min="17" max="17" width="10.21875" style="134" customWidth="1"/>
    <col min="18" max="18" width="2.5546875" style="134" customWidth="1"/>
    <col min="19" max="19" width="7.21875" style="134" customWidth="1"/>
    <col min="20" max="20" width="8" style="134" customWidth="1"/>
    <col min="21" max="21" width="2.5546875" style="134" customWidth="1"/>
    <col min="22" max="22" width="9.88671875" style="134" customWidth="1"/>
    <col min="23" max="23" width="8.77734375" style="134" customWidth="1"/>
    <col min="24" max="24" width="10.33203125" style="134" customWidth="1"/>
    <col min="25" max="25" width="8.88671875" style="134" customWidth="1"/>
    <col min="26" max="26" width="10.21875" style="134" customWidth="1"/>
    <col min="27" max="27" width="9.109375" style="134" customWidth="1"/>
    <col min="28" max="28" width="8.6640625" style="134" customWidth="1"/>
    <col min="29" max="29" width="10" style="134" customWidth="1"/>
    <col min="30" max="30" width="7" style="134" customWidth="1"/>
    <col min="31" max="31" width="8.77734375" style="134" customWidth="1"/>
    <col min="32" max="32" width="9.5546875" style="134" customWidth="1"/>
    <col min="33" max="33" width="8.5546875" style="134" customWidth="1"/>
    <col min="34" max="34" width="7.77734375" style="134" customWidth="1"/>
    <col min="35" max="39" width="7.21875" style="134" customWidth="1"/>
    <col min="40" max="40" width="8.109375" style="134" hidden="1" customWidth="1"/>
    <col min="41" max="16384" width="7.21875" style="134"/>
  </cols>
  <sheetData>
    <row r="1" spans="1:54" s="199" customFormat="1" ht="14.4" thickBot="1" x14ac:dyDescent="0.35">
      <c r="A1" s="194"/>
      <c r="B1" s="195" t="s">
        <v>144</v>
      </c>
      <c r="C1" s="196"/>
      <c r="D1" s="197" t="s">
        <v>145</v>
      </c>
      <c r="E1" s="198" t="s">
        <v>145</v>
      </c>
      <c r="G1" s="200" t="s">
        <v>146</v>
      </c>
      <c r="H1" s="201"/>
      <c r="I1" s="197"/>
      <c r="J1" s="202" t="str">
        <f>'[1]For rate design'!J1</f>
        <v>Option 3</v>
      </c>
      <c r="K1" s="203"/>
      <c r="L1" s="201"/>
      <c r="M1" s="204" t="s">
        <v>147</v>
      </c>
      <c r="N1" s="197" t="s">
        <v>45</v>
      </c>
      <c r="O1" s="205"/>
      <c r="P1" s="205"/>
      <c r="Q1" s="198" t="s">
        <v>148</v>
      </c>
      <c r="S1" s="206" t="s">
        <v>149</v>
      </c>
      <c r="T1" s="198" t="s">
        <v>149</v>
      </c>
      <c r="V1" s="206"/>
      <c r="W1" s="197"/>
      <c r="X1" s="197"/>
      <c r="Y1" s="197"/>
      <c r="Z1" s="197" t="s">
        <v>150</v>
      </c>
      <c r="AA1" s="197" t="s">
        <v>151</v>
      </c>
      <c r="AB1" s="197" t="s">
        <v>147</v>
      </c>
      <c r="AC1" s="197" t="s">
        <v>45</v>
      </c>
      <c r="AD1" s="197"/>
      <c r="AE1" s="197"/>
      <c r="AF1" s="197" t="s">
        <v>148</v>
      </c>
      <c r="AG1" s="207" t="s">
        <v>152</v>
      </c>
      <c r="AH1" s="198" t="s">
        <v>152</v>
      </c>
      <c r="AJ1" s="239"/>
      <c r="AL1" s="230"/>
      <c r="AN1" s="240"/>
      <c r="AO1" s="241"/>
      <c r="AP1" s="240"/>
      <c r="AQ1" s="230"/>
      <c r="AS1" s="239"/>
      <c r="AU1" s="239"/>
    </row>
    <row r="2" spans="1:54" s="199" customFormat="1" x14ac:dyDescent="0.25">
      <c r="A2" s="208"/>
      <c r="B2" s="209" t="s">
        <v>153</v>
      </c>
      <c r="C2" s="210"/>
      <c r="D2" s="199" t="s">
        <v>154</v>
      </c>
      <c r="E2" s="211" t="s">
        <v>154</v>
      </c>
      <c r="G2" s="212" t="s">
        <v>145</v>
      </c>
      <c r="H2" s="199" t="s">
        <v>116</v>
      </c>
      <c r="I2" s="199" t="s">
        <v>155</v>
      </c>
      <c r="J2" s="199" t="s">
        <v>94</v>
      </c>
      <c r="K2" s="213" t="s">
        <v>156</v>
      </c>
      <c r="L2" s="199" t="s">
        <v>157</v>
      </c>
      <c r="M2" s="214" t="s">
        <v>158</v>
      </c>
      <c r="N2" s="199" t="s">
        <v>159</v>
      </c>
      <c r="O2" s="214" t="s">
        <v>160</v>
      </c>
      <c r="P2" s="214" t="s">
        <v>161</v>
      </c>
      <c r="Q2" s="211" t="s">
        <v>162</v>
      </c>
      <c r="S2" s="215">
        <v>35226</v>
      </c>
      <c r="T2" s="216">
        <v>36161</v>
      </c>
      <c r="V2" s="217" t="s">
        <v>146</v>
      </c>
      <c r="W2" s="199" t="s">
        <v>116</v>
      </c>
      <c r="X2" s="199" t="s">
        <v>155</v>
      </c>
      <c r="Y2" s="199" t="s">
        <v>94</v>
      </c>
      <c r="Z2" s="199" t="s">
        <v>163</v>
      </c>
      <c r="AA2" s="199" t="s">
        <v>164</v>
      </c>
      <c r="AB2" s="199" t="s">
        <v>158</v>
      </c>
      <c r="AC2" s="199" t="s">
        <v>159</v>
      </c>
      <c r="AD2" s="199" t="s">
        <v>160</v>
      </c>
      <c r="AE2" s="199" t="s">
        <v>161</v>
      </c>
      <c r="AF2" s="199" t="s">
        <v>162</v>
      </c>
      <c r="AG2" s="213" t="s">
        <v>165</v>
      </c>
      <c r="AH2" s="211" t="s">
        <v>165</v>
      </c>
      <c r="AI2" s="230"/>
      <c r="AJ2" s="230"/>
      <c r="AK2" s="230"/>
      <c r="AM2" s="230"/>
      <c r="AO2" s="230"/>
      <c r="AP2" s="213"/>
      <c r="AQ2" s="230"/>
      <c r="AS2" s="214"/>
      <c r="AV2" s="213"/>
      <c r="AZ2" s="213"/>
      <c r="BB2" s="214"/>
    </row>
    <row r="3" spans="1:54" s="199" customFormat="1" x14ac:dyDescent="0.25">
      <c r="A3" s="218" t="s">
        <v>166</v>
      </c>
      <c r="B3" s="219" t="s">
        <v>167</v>
      </c>
      <c r="C3" s="210" t="s">
        <v>168</v>
      </c>
      <c r="D3" s="199" t="s">
        <v>169</v>
      </c>
      <c r="E3" s="211" t="s">
        <v>170</v>
      </c>
      <c r="G3" s="212" t="s">
        <v>171</v>
      </c>
      <c r="H3" s="199" t="s">
        <v>145</v>
      </c>
      <c r="I3" s="199" t="s">
        <v>145</v>
      </c>
      <c r="J3" s="199" t="s">
        <v>145</v>
      </c>
      <c r="K3" s="213" t="s">
        <v>145</v>
      </c>
      <c r="L3" s="199" t="s">
        <v>145</v>
      </c>
      <c r="M3" s="214" t="s">
        <v>145</v>
      </c>
      <c r="N3" s="199" t="s">
        <v>145</v>
      </c>
      <c r="O3" s="214" t="s">
        <v>145</v>
      </c>
      <c r="P3" s="214" t="s">
        <v>145</v>
      </c>
      <c r="Q3" s="211" t="s">
        <v>172</v>
      </c>
      <c r="S3" s="217" t="s">
        <v>173</v>
      </c>
      <c r="T3" s="211" t="s">
        <v>173</v>
      </c>
      <c r="V3" s="217" t="s">
        <v>173</v>
      </c>
      <c r="W3" s="199" t="s">
        <v>173</v>
      </c>
      <c r="X3" s="199" t="s">
        <v>173</v>
      </c>
      <c r="Y3" s="199" t="s">
        <v>173</v>
      </c>
      <c r="Z3" s="199" t="s">
        <v>173</v>
      </c>
      <c r="AA3" s="199" t="s">
        <v>173</v>
      </c>
      <c r="AB3" s="199" t="s">
        <v>173</v>
      </c>
      <c r="AC3" s="199" t="s">
        <v>173</v>
      </c>
      <c r="AD3" s="199" t="s">
        <v>173</v>
      </c>
      <c r="AE3" s="199" t="s">
        <v>173</v>
      </c>
      <c r="AF3" s="199" t="s">
        <v>172</v>
      </c>
      <c r="AG3" s="220" t="s">
        <v>174</v>
      </c>
      <c r="AH3" s="221" t="s">
        <v>175</v>
      </c>
      <c r="AI3" s="230"/>
      <c r="AJ3" s="230"/>
      <c r="AK3" s="230"/>
      <c r="AM3" s="230"/>
      <c r="AO3" s="230"/>
      <c r="AP3" s="213"/>
      <c r="AQ3" s="230"/>
      <c r="AS3" s="214"/>
      <c r="AV3" s="213"/>
      <c r="AZ3" s="213"/>
      <c r="BB3" s="214"/>
    </row>
    <row r="4" spans="1:54" s="199" customFormat="1" x14ac:dyDescent="0.25">
      <c r="A4" s="222"/>
      <c r="B4" s="223" t="s">
        <v>176</v>
      </c>
      <c r="C4" s="224" t="s">
        <v>177</v>
      </c>
      <c r="D4" s="225" t="s">
        <v>178</v>
      </c>
      <c r="E4" s="226" t="s">
        <v>179</v>
      </c>
      <c r="G4" s="227" t="s">
        <v>180</v>
      </c>
      <c r="H4" s="225" t="s">
        <v>181</v>
      </c>
      <c r="I4" s="225" t="s">
        <v>182</v>
      </c>
      <c r="J4" s="225" t="s">
        <v>183</v>
      </c>
      <c r="K4" s="228" t="s">
        <v>184</v>
      </c>
      <c r="L4" s="225" t="s">
        <v>185</v>
      </c>
      <c r="M4" s="225" t="s">
        <v>186</v>
      </c>
      <c r="N4" s="225" t="s">
        <v>187</v>
      </c>
      <c r="O4" s="225" t="s">
        <v>188</v>
      </c>
      <c r="P4" s="225" t="s">
        <v>189</v>
      </c>
      <c r="Q4" s="226" t="s">
        <v>190</v>
      </c>
      <c r="S4" s="229" t="s">
        <v>177</v>
      </c>
      <c r="T4" s="226" t="s">
        <v>178</v>
      </c>
      <c r="U4" s="230"/>
      <c r="V4" s="229" t="s">
        <v>179</v>
      </c>
      <c r="W4" s="225" t="s">
        <v>180</v>
      </c>
      <c r="X4" s="225" t="s">
        <v>181</v>
      </c>
      <c r="Y4" s="228" t="s">
        <v>182</v>
      </c>
      <c r="Z4" s="225" t="s">
        <v>183</v>
      </c>
      <c r="AA4" s="225" t="s">
        <v>184</v>
      </c>
      <c r="AB4" s="225" t="s">
        <v>185</v>
      </c>
      <c r="AC4" s="225" t="s">
        <v>186</v>
      </c>
      <c r="AD4" s="225" t="s">
        <v>187</v>
      </c>
      <c r="AE4" s="225" t="s">
        <v>188</v>
      </c>
      <c r="AF4" s="231" t="s">
        <v>189</v>
      </c>
      <c r="AG4" s="225" t="s">
        <v>190</v>
      </c>
      <c r="AH4" s="232" t="s">
        <v>191</v>
      </c>
      <c r="AI4" s="230"/>
      <c r="AJ4" s="230"/>
      <c r="AK4" s="230"/>
      <c r="AM4" s="230"/>
      <c r="AO4" s="230"/>
      <c r="AP4" s="213"/>
      <c r="AQ4" s="230"/>
      <c r="AS4" s="214"/>
      <c r="AV4" s="213"/>
      <c r="AZ4" s="213"/>
      <c r="BB4" s="214"/>
    </row>
    <row r="6" spans="1:54" x14ac:dyDescent="0.25">
      <c r="A6" s="134" t="s">
        <v>32</v>
      </c>
      <c r="B6" s="233"/>
      <c r="C6" s="234">
        <v>26849999999</v>
      </c>
      <c r="D6" s="235">
        <v>2872947678.7441454</v>
      </c>
      <c r="E6" s="235">
        <v>3192164087.4934945</v>
      </c>
      <c r="F6" s="235">
        <v>0</v>
      </c>
      <c r="G6" s="235">
        <v>903791586.83646715</v>
      </c>
      <c r="H6" s="235">
        <v>237137288.95095149</v>
      </c>
      <c r="I6" s="235">
        <v>142194562.59719023</v>
      </c>
      <c r="J6" s="235">
        <v>1050501547.8482853</v>
      </c>
      <c r="K6" s="235">
        <v>93475121.58865644</v>
      </c>
      <c r="L6" s="235">
        <v>11303463.637070142</v>
      </c>
      <c r="M6" s="235">
        <v>92978837.092709005</v>
      </c>
      <c r="N6" s="235">
        <v>2531382408.5513296</v>
      </c>
      <c r="O6" s="235">
        <v>296053469.98897374</v>
      </c>
      <c r="P6" s="235">
        <v>-45842542.396354765</v>
      </c>
      <c r="Q6" s="235">
        <v>2781593336.1439486</v>
      </c>
      <c r="R6" s="234">
        <v>0</v>
      </c>
      <c r="S6" s="236">
        <v>11.888879283472562</v>
      </c>
      <c r="T6" s="236">
        <v>10.699991355125309</v>
      </c>
      <c r="U6" s="236"/>
      <c r="V6" s="236">
        <v>3.3660766736317611</v>
      </c>
      <c r="W6" s="236">
        <v>0.88319288253178185</v>
      </c>
      <c r="X6" s="236">
        <v>0.52958868753253674</v>
      </c>
      <c r="Y6" s="236">
        <v>3.9124824874763884</v>
      </c>
      <c r="Z6" s="236">
        <v>0.34813825546420046</v>
      </c>
      <c r="AA6" s="236">
        <v>4.2098561033486505E-2</v>
      </c>
      <c r="AB6" s="236">
        <v>0.34628989607512811</v>
      </c>
      <c r="AC6" s="236">
        <v>9.4278674437452814</v>
      </c>
      <c r="AD6" s="236">
        <v>1.1026199999999997</v>
      </c>
      <c r="AE6" s="236">
        <v>-0.17073572587732633</v>
      </c>
      <c r="AF6" s="236">
        <v>10.359751717867956</v>
      </c>
      <c r="AG6" s="237">
        <v>-0.12861831036760032</v>
      </c>
      <c r="AH6" s="237">
        <v>-3.1798122630667142E-2</v>
      </c>
      <c r="AI6" s="236"/>
      <c r="AJ6" s="234"/>
      <c r="AK6" s="234"/>
      <c r="AL6" s="234"/>
      <c r="AM6" s="234">
        <f>'[1]For rate design'!AM10</f>
        <v>0</v>
      </c>
      <c r="AN6" s="234">
        <f>'[1]For rate design'!AN10</f>
        <v>1002244329.8279476</v>
      </c>
    </row>
    <row r="7" spans="1:54" x14ac:dyDescent="0.25">
      <c r="B7" s="238"/>
      <c r="C7" s="234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4"/>
      <c r="S7" s="236" t="s">
        <v>197</v>
      </c>
      <c r="T7" s="236" t="s">
        <v>197</v>
      </c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7"/>
      <c r="AH7" s="237"/>
      <c r="AI7" s="236"/>
      <c r="AJ7" s="234"/>
      <c r="AK7" s="234"/>
      <c r="AL7" s="234"/>
      <c r="AM7" s="234"/>
      <c r="AN7" s="234"/>
    </row>
    <row r="8" spans="1:54" x14ac:dyDescent="0.25">
      <c r="A8" s="134" t="s">
        <v>33</v>
      </c>
      <c r="B8" s="238"/>
      <c r="C8" s="234">
        <v>7341842982.4262733</v>
      </c>
      <c r="D8" s="235">
        <v>827131406.94010377</v>
      </c>
      <c r="E8" s="235">
        <v>918984728.82207417</v>
      </c>
      <c r="F8" s="235">
        <v>0</v>
      </c>
      <c r="G8" s="235">
        <v>260347119.25839412</v>
      </c>
      <c r="H8" s="235">
        <v>64732669.706688344</v>
      </c>
      <c r="I8" s="235">
        <v>38189397.792685002</v>
      </c>
      <c r="J8" s="235">
        <v>296233469.78586966</v>
      </c>
      <c r="K8" s="235">
        <v>26956616.393313896</v>
      </c>
      <c r="L8" s="235">
        <v>3090810.2489394709</v>
      </c>
      <c r="M8" s="235">
        <v>24971338.304786205</v>
      </c>
      <c r="N8" s="235">
        <v>714521421.49067664</v>
      </c>
      <c r="O8" s="235">
        <v>84603370.791578397</v>
      </c>
      <c r="P8" s="235">
        <v>-13100449.768522905</v>
      </c>
      <c r="Q8" s="235">
        <v>786024342.51373208</v>
      </c>
      <c r="R8" s="234">
        <v>0</v>
      </c>
      <c r="S8" s="236">
        <v>12.517085029219398</v>
      </c>
      <c r="T8" s="236">
        <v>11.265991508126207</v>
      </c>
      <c r="U8" s="236"/>
      <c r="V8" s="236">
        <v>3.5460731029194075</v>
      </c>
      <c r="W8" s="236">
        <v>0.88169509837836402</v>
      </c>
      <c r="X8" s="236">
        <v>0.52016091714432822</v>
      </c>
      <c r="Y8" s="236">
        <v>4.0348652306368553</v>
      </c>
      <c r="Z8" s="236">
        <v>0.36716416379154826</v>
      </c>
      <c r="AA8" s="236">
        <v>4.2098561033486505E-2</v>
      </c>
      <c r="AB8" s="236">
        <v>0.34012356794552256</v>
      </c>
      <c r="AC8" s="236">
        <v>9.7321806418495118</v>
      </c>
      <c r="AD8" s="236">
        <v>1.1523451399612927</v>
      </c>
      <c r="AE8" s="236">
        <v>-0.17843543916535209</v>
      </c>
      <c r="AF8" s="236">
        <v>10.706090342645453</v>
      </c>
      <c r="AG8" s="237">
        <v>-0.14468182347139386</v>
      </c>
      <c r="AH8" s="237">
        <v>-4.9698347906342331E-2</v>
      </c>
      <c r="AI8" s="236"/>
      <c r="AJ8" s="234"/>
      <c r="AK8" s="234"/>
      <c r="AL8" s="234"/>
      <c r="AM8" s="234">
        <f>'[1]For rate design'!AM14+'[1]For rate design'!AM15+'[1]For rate design'!AM16</f>
        <v>0</v>
      </c>
      <c r="AN8" s="234">
        <f>'[1]For rate design'!AN14+'[1]For rate design'!AN15+'[1]For rate design'!AN16</f>
        <v>265445768.89871022</v>
      </c>
    </row>
    <row r="9" spans="1:54" x14ac:dyDescent="0.25">
      <c r="B9" s="238"/>
      <c r="C9" s="234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4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7"/>
      <c r="AH9" s="237"/>
      <c r="AI9" s="236"/>
      <c r="AJ9" s="234"/>
      <c r="AK9" s="234"/>
      <c r="AL9" s="234"/>
      <c r="AM9" s="234"/>
      <c r="AN9" s="234"/>
    </row>
    <row r="10" spans="1:54" x14ac:dyDescent="0.25">
      <c r="A10" s="134" t="s">
        <v>34</v>
      </c>
      <c r="B10" s="238"/>
      <c r="C10" s="234">
        <v>17321063452.825062</v>
      </c>
      <c r="D10" s="235">
        <v>1662091668.5053949</v>
      </c>
      <c r="E10" s="235">
        <v>1665401013.2203269</v>
      </c>
      <c r="F10" s="235">
        <v>0</v>
      </c>
      <c r="G10" s="235">
        <v>606868775.65250421</v>
      </c>
      <c r="H10" s="235">
        <v>130438063.79748908</v>
      </c>
      <c r="I10" s="235">
        <v>86684162.337868601</v>
      </c>
      <c r="J10" s="235">
        <v>363820730.38218796</v>
      </c>
      <c r="K10" s="235">
        <v>50379737.823898606</v>
      </c>
      <c r="L10" s="235">
        <v>7291918.4693364846</v>
      </c>
      <c r="M10" s="235">
        <v>56681243.029280566</v>
      </c>
      <c r="N10" s="235">
        <v>1302164631.4925654</v>
      </c>
      <c r="O10" s="235">
        <v>3414506.0398282753</v>
      </c>
      <c r="P10" s="235">
        <v>-528720.83512234094</v>
      </c>
      <c r="Q10" s="235">
        <v>1305050416.6972713</v>
      </c>
      <c r="R10" s="234">
        <v>0</v>
      </c>
      <c r="S10" s="236">
        <v>9.6148889342513222</v>
      </c>
      <c r="T10" s="236">
        <v>9.5957830362564032</v>
      </c>
      <c r="U10" s="236"/>
      <c r="V10" s="236">
        <v>3.5036461664455372</v>
      </c>
      <c r="W10" s="236">
        <v>0.75306036579534996</v>
      </c>
      <c r="X10" s="236">
        <v>0.50045519764971724</v>
      </c>
      <c r="Y10" s="236">
        <v>2.1004526158170091</v>
      </c>
      <c r="Z10" s="236">
        <v>0.29085822565751113</v>
      </c>
      <c r="AA10" s="236">
        <v>4.2098561033486505E-2</v>
      </c>
      <c r="AB10" s="236">
        <v>0.32723881639054825</v>
      </c>
      <c r="AC10" s="236">
        <v>7.517809948789159</v>
      </c>
      <c r="AD10" s="236">
        <v>1.9713027719850364E-2</v>
      </c>
      <c r="AE10" s="236">
        <v>-3.0524732881577585E-3</v>
      </c>
      <c r="AF10" s="236">
        <v>7.5344705032208514</v>
      </c>
      <c r="AG10" s="237">
        <v>-0.21637467112275763</v>
      </c>
      <c r="AH10" s="237">
        <v>-0.21481441642095847</v>
      </c>
      <c r="AI10" s="236"/>
      <c r="AJ10" s="234"/>
      <c r="AK10" s="234"/>
      <c r="AL10" s="234"/>
      <c r="AM10" s="234">
        <f>'[1]For rate design'!AM28</f>
        <v>0</v>
      </c>
      <c r="AN10" s="234">
        <f>'[1]For rate design'!AN28</f>
        <v>365226550.09842366</v>
      </c>
    </row>
    <row r="11" spans="1:54" x14ac:dyDescent="0.25">
      <c r="B11" s="238"/>
      <c r="C11" s="234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4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7"/>
      <c r="AH11" s="237"/>
      <c r="AI11" s="236"/>
      <c r="AJ11" s="234"/>
      <c r="AK11" s="234"/>
      <c r="AL11" s="234"/>
      <c r="AM11" s="234"/>
      <c r="AN11" s="234"/>
    </row>
    <row r="12" spans="1:54" x14ac:dyDescent="0.25">
      <c r="A12" s="134" t="s">
        <v>35</v>
      </c>
      <c r="B12" s="238"/>
      <c r="C12" s="234">
        <v>3548799999</v>
      </c>
      <c r="D12" s="235">
        <v>388432628.2328012</v>
      </c>
      <c r="E12" s="235">
        <v>388432628.2328012</v>
      </c>
      <c r="F12" s="235">
        <v>0</v>
      </c>
      <c r="G12" s="235">
        <v>122773186.04888618</v>
      </c>
      <c r="H12" s="235">
        <v>32961589.581639703</v>
      </c>
      <c r="I12" s="235">
        <v>14966001.487530828</v>
      </c>
      <c r="J12" s="235">
        <v>149963366.82171956</v>
      </c>
      <c r="K12" s="235">
        <v>11563493.236560011</v>
      </c>
      <c r="L12" s="235">
        <v>1493993.7335353836</v>
      </c>
      <c r="M12" s="235">
        <v>9786038.1495759487</v>
      </c>
      <c r="N12" s="235">
        <v>343507669.05944765</v>
      </c>
      <c r="O12" s="235">
        <v>0</v>
      </c>
      <c r="P12" s="235">
        <v>0</v>
      </c>
      <c r="Q12" s="235">
        <v>343507669.05944765</v>
      </c>
      <c r="R12" s="234">
        <v>0</v>
      </c>
      <c r="S12" s="236">
        <v>10.94546405382822</v>
      </c>
      <c r="T12" s="236">
        <v>10.94546405382822</v>
      </c>
      <c r="U12" s="236"/>
      <c r="V12" s="236">
        <v>3.4595690397734975</v>
      </c>
      <c r="W12" s="236">
        <v>0.92880944519070663</v>
      </c>
      <c r="X12" s="236">
        <v>0.42172006006954543</v>
      </c>
      <c r="Y12" s="236">
        <v>4.2257486154186497</v>
      </c>
      <c r="Z12" s="236">
        <v>0.32584234783077193</v>
      </c>
      <c r="AA12" s="236">
        <v>4.2098561033486505E-2</v>
      </c>
      <c r="AB12" s="236">
        <v>0.27575625992824371</v>
      </c>
      <c r="AC12" s="236">
        <v>9.6795443292449015</v>
      </c>
      <c r="AD12" s="236">
        <v>0</v>
      </c>
      <c r="AE12" s="236">
        <v>0</v>
      </c>
      <c r="AF12" s="236">
        <v>9.6795443292449015</v>
      </c>
      <c r="AG12" s="237">
        <v>-0.11565701722263265</v>
      </c>
      <c r="AH12" s="237">
        <v>-0.11565701722263265</v>
      </c>
      <c r="AI12" s="236"/>
      <c r="AJ12" s="234"/>
      <c r="AK12" s="234"/>
      <c r="AL12" s="234"/>
      <c r="AM12" s="234">
        <f>'[1]For rate design'!AM89</f>
        <v>0</v>
      </c>
      <c r="AN12" s="234">
        <f>'[1]For rate design'!AN89</f>
        <v>133359561.3879858</v>
      </c>
    </row>
    <row r="13" spans="1:54" x14ac:dyDescent="0.25">
      <c r="B13" s="238"/>
      <c r="C13" s="234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4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7"/>
      <c r="AH13" s="237"/>
      <c r="AI13" s="236"/>
      <c r="AJ13" s="234"/>
      <c r="AK13" s="234"/>
      <c r="AL13" s="234"/>
      <c r="AM13" s="234"/>
      <c r="AN13" s="234"/>
    </row>
    <row r="14" spans="1:54" x14ac:dyDescent="0.25">
      <c r="A14" s="134" t="s">
        <v>192</v>
      </c>
      <c r="B14" s="238" t="s">
        <v>38</v>
      </c>
      <c r="C14" s="234">
        <v>5918732.0006073425</v>
      </c>
      <c r="D14" s="235">
        <v>484374.37593012687</v>
      </c>
      <c r="E14" s="235">
        <v>484374.37593012687</v>
      </c>
      <c r="F14" s="235">
        <v>0</v>
      </c>
      <c r="G14" s="235">
        <v>197828.49013299023</v>
      </c>
      <c r="H14" s="235">
        <v>35852.654188527777</v>
      </c>
      <c r="I14" s="235">
        <v>22652.786842117879</v>
      </c>
      <c r="J14" s="235">
        <v>52140.228857875307</v>
      </c>
      <c r="K14" s="235">
        <v>14988.01072678263</v>
      </c>
      <c r="L14" s="235">
        <v>2491.7010036841789</v>
      </c>
      <c r="M14" s="235">
        <v>14812.308846546284</v>
      </c>
      <c r="N14" s="235">
        <v>340766.18059852428</v>
      </c>
      <c r="O14" s="235">
        <v>0</v>
      </c>
      <c r="P14" s="235">
        <v>0</v>
      </c>
      <c r="Q14" s="235">
        <v>340766.18059852428</v>
      </c>
      <c r="R14" s="234">
        <v>0</v>
      </c>
      <c r="S14" s="236">
        <v>8.1837524638794843</v>
      </c>
      <c r="T14" s="236">
        <v>8.1837524638794843</v>
      </c>
      <c r="U14" s="236"/>
      <c r="V14" s="236">
        <v>3.3424133769309092</v>
      </c>
      <c r="W14" s="236">
        <v>0.60574890339432175</v>
      </c>
      <c r="X14" s="236">
        <v>0.38273040306257144</v>
      </c>
      <c r="Y14" s="236">
        <v>0.88093579591921067</v>
      </c>
      <c r="Z14" s="236">
        <v>0.25323009599428825</v>
      </c>
      <c r="AA14" s="236">
        <v>4.2098561033486505E-2</v>
      </c>
      <c r="AB14" s="236">
        <v>0.25026152299219395</v>
      </c>
      <c r="AC14" s="236">
        <v>5.7574186593269818</v>
      </c>
      <c r="AD14" s="236">
        <v>0</v>
      </c>
      <c r="AE14" s="236">
        <v>0</v>
      </c>
      <c r="AF14" s="236">
        <v>5.7574186593269818</v>
      </c>
      <c r="AG14" s="237">
        <v>-0.2964818175111697</v>
      </c>
      <c r="AH14" s="237">
        <v>-0.2964818175111697</v>
      </c>
      <c r="AI14" s="236"/>
      <c r="AJ14" s="234"/>
      <c r="AK14" s="234"/>
      <c r="AL14" s="234"/>
      <c r="AM14" s="234">
        <f>'[1]For rate design'!AM50</f>
        <v>0</v>
      </c>
      <c r="AN14" s="234">
        <f>'[1]For rate design'!AN50</f>
        <v>76354.486192677592</v>
      </c>
    </row>
    <row r="15" spans="1:54" x14ac:dyDescent="0.25">
      <c r="B15" s="238" t="s">
        <v>39</v>
      </c>
      <c r="C15" s="234">
        <v>534824662.28554738</v>
      </c>
      <c r="D15" s="235">
        <v>41260459.924086578</v>
      </c>
      <c r="E15" s="235">
        <v>41260459.924086578</v>
      </c>
      <c r="F15" s="235">
        <v>0</v>
      </c>
      <c r="G15" s="235">
        <v>17992345.025668442</v>
      </c>
      <c r="H15" s="235">
        <v>3239694.5268770875</v>
      </c>
      <c r="I15" s="235">
        <v>2174584.3229558705</v>
      </c>
      <c r="J15" s="235">
        <v>6827539.8834043434</v>
      </c>
      <c r="K15" s="235">
        <v>1288388.4528989722</v>
      </c>
      <c r="L15" s="235">
        <v>225153.48687441924</v>
      </c>
      <c r="M15" s="235">
        <v>1421869.5705042647</v>
      </c>
      <c r="N15" s="235">
        <v>33169575.269183397</v>
      </c>
      <c r="O15" s="235">
        <v>0</v>
      </c>
      <c r="P15" s="235">
        <v>0</v>
      </c>
      <c r="Q15" s="235">
        <v>33169575.269183397</v>
      </c>
      <c r="R15" s="234">
        <v>0</v>
      </c>
      <c r="S15" s="236">
        <v>7.7147638906108025</v>
      </c>
      <c r="T15" s="236">
        <v>7.7147638906108025</v>
      </c>
      <c r="U15" s="236"/>
      <c r="V15" s="236">
        <v>3.364157693996201</v>
      </c>
      <c r="W15" s="236">
        <v>0.60574890339432164</v>
      </c>
      <c r="X15" s="236">
        <v>0.40659761531244454</v>
      </c>
      <c r="Y15" s="236">
        <v>1.2765940624778187</v>
      </c>
      <c r="Z15" s="236">
        <v>0.24089922244668119</v>
      </c>
      <c r="AA15" s="236">
        <v>4.2098561033486505E-2</v>
      </c>
      <c r="AB15" s="236">
        <v>0.26585714361562418</v>
      </c>
      <c r="AC15" s="236">
        <v>6.2019532022765773</v>
      </c>
      <c r="AD15" s="236">
        <v>0</v>
      </c>
      <c r="AE15" s="236">
        <v>0</v>
      </c>
      <c r="AF15" s="236">
        <v>6.2019532022765773</v>
      </c>
      <c r="AG15" s="237">
        <v>-0.19609293424720098</v>
      </c>
      <c r="AH15" s="237">
        <v>-0.19609293424720098</v>
      </c>
      <c r="AI15" s="236"/>
      <c r="AJ15" s="234"/>
      <c r="AK15" s="234"/>
      <c r="AL15" s="234"/>
      <c r="AM15" s="234">
        <f>'[1]For rate design'!AM51</f>
        <v>0</v>
      </c>
      <c r="AN15" s="234">
        <f>'[1]For rate design'!AN51</f>
        <v>6136691.65955857</v>
      </c>
    </row>
    <row r="16" spans="1:54" x14ac:dyDescent="0.25">
      <c r="B16" s="238" t="s">
        <v>40</v>
      </c>
      <c r="C16" s="234">
        <v>3727881537.130599</v>
      </c>
      <c r="D16" s="235">
        <v>344891617.99268144</v>
      </c>
      <c r="E16" s="235">
        <v>344891617.99268144</v>
      </c>
      <c r="F16" s="235">
        <v>0</v>
      </c>
      <c r="G16" s="235">
        <v>130116612.02834794</v>
      </c>
      <c r="H16" s="235">
        <v>25849011.940081924</v>
      </c>
      <c r="I16" s="235">
        <v>15912071.941929081</v>
      </c>
      <c r="J16" s="235">
        <v>63156760.062816203</v>
      </c>
      <c r="K16" s="235">
        <v>10486848.537837766</v>
      </c>
      <c r="L16" s="235">
        <v>1569384.484165</v>
      </c>
      <c r="M16" s="235">
        <v>10404567.059036382</v>
      </c>
      <c r="N16" s="235">
        <v>257495256.0542143</v>
      </c>
      <c r="O16" s="235">
        <v>0</v>
      </c>
      <c r="P16" s="235">
        <v>0</v>
      </c>
      <c r="Q16" s="235">
        <v>257495256.0542143</v>
      </c>
      <c r="R16" s="234">
        <v>0</v>
      </c>
      <c r="S16" s="236">
        <v>9.2516785889647437</v>
      </c>
      <c r="T16" s="236">
        <v>9.2516785889647437</v>
      </c>
      <c r="U16" s="236"/>
      <c r="V16" s="236">
        <v>3.4903633801759821</v>
      </c>
      <c r="W16" s="236">
        <v>0.69339681753884963</v>
      </c>
      <c r="X16" s="236">
        <v>0.42683952758264998</v>
      </c>
      <c r="Y16" s="236">
        <v>1.6941729353188841</v>
      </c>
      <c r="Z16" s="236">
        <v>0.28130852424859065</v>
      </c>
      <c r="AA16" s="236">
        <v>4.2098561033486505E-2</v>
      </c>
      <c r="AB16" s="236">
        <v>0.27910133289924544</v>
      </c>
      <c r="AC16" s="236">
        <v>6.9072810787976895</v>
      </c>
      <c r="AD16" s="236">
        <v>0</v>
      </c>
      <c r="AE16" s="236">
        <v>0</v>
      </c>
      <c r="AF16" s="236">
        <v>6.9072810787976895</v>
      </c>
      <c r="AG16" s="237">
        <v>-0.25340239477876114</v>
      </c>
      <c r="AH16" s="237">
        <v>-0.25340239477876114</v>
      </c>
      <c r="AI16" s="236"/>
      <c r="AJ16" s="234"/>
      <c r="AK16" s="234"/>
      <c r="AL16" s="234"/>
      <c r="AM16" s="234">
        <f>'[1]For rate design'!AM52</f>
        <v>0</v>
      </c>
      <c r="AN16" s="234">
        <f>'[1]For rate design'!AN52</f>
        <v>70257982.027482331</v>
      </c>
    </row>
    <row r="17" spans="1:40" x14ac:dyDescent="0.25">
      <c r="A17" s="134" t="s">
        <v>193</v>
      </c>
      <c r="B17" s="238"/>
      <c r="C17" s="234">
        <v>4268624931.4167538</v>
      </c>
      <c r="D17" s="235">
        <v>386636452.29269814</v>
      </c>
      <c r="E17" s="235">
        <v>386636452.29269814</v>
      </c>
      <c r="F17" s="235">
        <v>0</v>
      </c>
      <c r="G17" s="235">
        <v>148306785.54414937</v>
      </c>
      <c r="H17" s="235">
        <v>29124559.121147539</v>
      </c>
      <c r="I17" s="235">
        <v>18109309.051727071</v>
      </c>
      <c r="J17" s="235">
        <v>70036440.175078422</v>
      </c>
      <c r="K17" s="235">
        <v>11790225.001463521</v>
      </c>
      <c r="L17" s="235">
        <v>1797029.6720431035</v>
      </c>
      <c r="M17" s="235">
        <v>11841248.938387193</v>
      </c>
      <c r="N17" s="235">
        <v>291005597.50399619</v>
      </c>
      <c r="O17" s="235">
        <v>0</v>
      </c>
      <c r="P17" s="235">
        <v>0</v>
      </c>
      <c r="Q17" s="235">
        <v>291005597.50399619</v>
      </c>
      <c r="R17" s="234">
        <v>0</v>
      </c>
      <c r="S17" s="236">
        <v>9.0576346834101855</v>
      </c>
      <c r="T17" s="236">
        <v>9.0576346834101855</v>
      </c>
      <c r="U17" s="236"/>
      <c r="V17" s="236">
        <v>3.4743456716616805</v>
      </c>
      <c r="W17" s="236">
        <v>0.68229370322028071</v>
      </c>
      <c r="X17" s="236">
        <v>0.42424221717031024</v>
      </c>
      <c r="Y17" s="236">
        <v>1.6407260253674565</v>
      </c>
      <c r="Z17" s="236">
        <v>0.27620662838490129</v>
      </c>
      <c r="AA17" s="236">
        <v>4.2098561033486505E-2</v>
      </c>
      <c r="AB17" s="236">
        <v>0.27740195329030909</v>
      </c>
      <c r="AC17" s="236">
        <v>6.8173147601284247</v>
      </c>
      <c r="AD17" s="236">
        <v>0</v>
      </c>
      <c r="AE17" s="236">
        <v>0</v>
      </c>
      <c r="AF17" s="236">
        <v>6.8173147601284247</v>
      </c>
      <c r="AG17" s="237">
        <v>-0.24734050351855041</v>
      </c>
      <c r="AH17" s="237">
        <v>-0.24734050351855041</v>
      </c>
      <c r="AI17" s="236"/>
      <c r="AJ17" s="234"/>
      <c r="AK17" s="234"/>
      <c r="AL17" s="234"/>
      <c r="AM17" s="234">
        <f>SUM(AM14:AM16)</f>
        <v>0</v>
      </c>
      <c r="AN17" s="234">
        <f>SUM(AN14:AN16)</f>
        <v>76471028.173233584</v>
      </c>
    </row>
    <row r="18" spans="1:40" x14ac:dyDescent="0.25">
      <c r="B18" s="238"/>
      <c r="C18" s="234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4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7"/>
      <c r="AH18" s="237"/>
      <c r="AI18" s="236"/>
      <c r="AJ18" s="234"/>
      <c r="AK18" s="234"/>
      <c r="AL18" s="234"/>
      <c r="AM18" s="234"/>
      <c r="AN18" s="234"/>
    </row>
    <row r="19" spans="1:40" x14ac:dyDescent="0.25">
      <c r="A19" s="134" t="s">
        <v>194</v>
      </c>
      <c r="B19" s="238" t="s">
        <v>38</v>
      </c>
      <c r="C19" s="234">
        <v>6320290897.0819321</v>
      </c>
      <c r="D19" s="235">
        <v>294234540.336631</v>
      </c>
      <c r="E19" s="235">
        <v>294234540.336631</v>
      </c>
      <c r="F19" s="235">
        <v>0</v>
      </c>
      <c r="G19" s="235">
        <v>200238264.45854646</v>
      </c>
      <c r="H19" s="235">
        <v>31857785.042455856</v>
      </c>
      <c r="I19" s="235">
        <v>26069887.724888049</v>
      </c>
      <c r="J19" s="235">
        <v>-4025989.9635742647</v>
      </c>
      <c r="K19" s="235">
        <v>10141591.582719944</v>
      </c>
      <c r="L19" s="235">
        <v>2660751.5208019288</v>
      </c>
      <c r="M19" s="235">
        <v>17045903.933289044</v>
      </c>
      <c r="N19" s="235">
        <v>283988194.29912704</v>
      </c>
      <c r="O19" s="235">
        <v>0</v>
      </c>
      <c r="P19" s="235">
        <v>0</v>
      </c>
      <c r="Q19" s="235">
        <v>283988194.29912704</v>
      </c>
      <c r="R19" s="234">
        <v>0</v>
      </c>
      <c r="S19" s="236">
        <v>4.6553955368174371</v>
      </c>
      <c r="T19" s="236">
        <v>4.6553955368174371</v>
      </c>
      <c r="U19" s="236"/>
      <c r="V19" s="236">
        <v>3.1681811441779701</v>
      </c>
      <c r="W19" s="236">
        <v>0.50405567656964245</v>
      </c>
      <c r="X19" s="236">
        <v>0.41247923789274438</v>
      </c>
      <c r="Y19" s="236">
        <v>-6.3699440882271058E-2</v>
      </c>
      <c r="Z19" s="236">
        <v>0.16046083555113422</v>
      </c>
      <c r="AA19" s="236">
        <v>4.2098561033486505E-2</v>
      </c>
      <c r="AB19" s="236">
        <v>0.26970125601590755</v>
      </c>
      <c r="AC19" s="236">
        <v>4.4932772703586155</v>
      </c>
      <c r="AD19" s="236">
        <v>0</v>
      </c>
      <c r="AE19" s="236">
        <v>0</v>
      </c>
      <c r="AF19" s="236">
        <v>4.4932772703586155</v>
      </c>
      <c r="AG19" s="237">
        <v>-3.482373628120345E-2</v>
      </c>
      <c r="AH19" s="237">
        <v>-3.482373628120345E-2</v>
      </c>
      <c r="AI19" s="236"/>
      <c r="AJ19" s="234"/>
      <c r="AK19" s="234"/>
      <c r="AL19" s="234"/>
      <c r="AM19" s="234">
        <f>'[1]For rate design'!AM110</f>
        <v>0</v>
      </c>
      <c r="AN19" s="234">
        <f>'[1]For rate design'!AN110</f>
        <v>9259808.3264383841</v>
      </c>
    </row>
    <row r="20" spans="1:40" x14ac:dyDescent="0.25">
      <c r="B20" s="238" t="s">
        <v>39</v>
      </c>
      <c r="C20" s="234">
        <v>6543660767.1894884</v>
      </c>
      <c r="D20" s="235">
        <v>444414702.18692636</v>
      </c>
      <c r="E20" s="235">
        <v>444414702.18692636</v>
      </c>
      <c r="F20" s="235">
        <v>0</v>
      </c>
      <c r="G20" s="235">
        <v>218570304.37373996</v>
      </c>
      <c r="H20" s="235">
        <v>38595090.798248827</v>
      </c>
      <c r="I20" s="235">
        <v>28777283.765185572</v>
      </c>
      <c r="J20" s="235">
        <v>71538338.229009315</v>
      </c>
      <c r="K20" s="235">
        <v>14175212.950500865</v>
      </c>
      <c r="L20" s="235">
        <v>2754787.0218995782</v>
      </c>
      <c r="M20" s="235">
        <v>18815917.686387714</v>
      </c>
      <c r="N20" s="235">
        <v>393226934.82497185</v>
      </c>
      <c r="O20" s="235">
        <v>0</v>
      </c>
      <c r="P20" s="235">
        <v>0</v>
      </c>
      <c r="Q20" s="235">
        <v>393226934.82497185</v>
      </c>
      <c r="R20" s="234">
        <v>0</v>
      </c>
      <c r="S20" s="236">
        <v>6.7915302763746892</v>
      </c>
      <c r="T20" s="236">
        <v>6.7915302763746892</v>
      </c>
      <c r="U20" s="236"/>
      <c r="V20" s="236">
        <v>3.3401839146318739</v>
      </c>
      <c r="W20" s="236">
        <v>0.58980885732598076</v>
      </c>
      <c r="X20" s="236">
        <v>0.43977346609221396</v>
      </c>
      <c r="Y20" s="236">
        <v>1.0932464376470898</v>
      </c>
      <c r="Z20" s="236">
        <v>0.21662511940681084</v>
      </c>
      <c r="AA20" s="236">
        <v>4.2098561033486505E-2</v>
      </c>
      <c r="AB20" s="236">
        <v>0.287544210432369</v>
      </c>
      <c r="AC20" s="236">
        <v>6.0092805665698252</v>
      </c>
      <c r="AD20" s="236">
        <v>0</v>
      </c>
      <c r="AE20" s="236">
        <v>0</v>
      </c>
      <c r="AF20" s="236">
        <v>6.0092805665698252</v>
      </c>
      <c r="AG20" s="237">
        <v>-0.11518018443148692</v>
      </c>
      <c r="AH20" s="237">
        <v>-0.11518018443148692</v>
      </c>
      <c r="AI20" s="236"/>
      <c r="AJ20" s="234"/>
      <c r="AK20" s="234"/>
      <c r="AL20" s="234"/>
      <c r="AM20" s="234">
        <f>'[1]For rate design'!AM111</f>
        <v>0</v>
      </c>
      <c r="AN20" s="234">
        <f>'[1]For rate design'!AN111</f>
        <v>65617606.001316115</v>
      </c>
    </row>
    <row r="21" spans="1:40" x14ac:dyDescent="0.25">
      <c r="B21" s="238" t="s">
        <v>40</v>
      </c>
      <c r="C21" s="234">
        <v>4092079705.60219</v>
      </c>
      <c r="D21" s="235">
        <v>340382016.87370819</v>
      </c>
      <c r="E21" s="235">
        <v>340382016.87370819</v>
      </c>
      <c r="F21" s="235">
        <v>0</v>
      </c>
      <c r="G21" s="235">
        <v>141747511.54202756</v>
      </c>
      <c r="H21" s="235">
        <v>26520838.106144723</v>
      </c>
      <c r="I21" s="235">
        <v>19427843.452795669</v>
      </c>
      <c r="J21" s="235">
        <v>65993266.07741347</v>
      </c>
      <c r="K21" s="235">
        <v>10506889.868942592</v>
      </c>
      <c r="L21" s="235">
        <v>1722706.6724018529</v>
      </c>
      <c r="M21" s="235">
        <v>12703149.738351239</v>
      </c>
      <c r="N21" s="235">
        <v>278622205.45807707</v>
      </c>
      <c r="O21" s="235">
        <v>0</v>
      </c>
      <c r="P21" s="235">
        <v>0</v>
      </c>
      <c r="Q21" s="235">
        <v>278622205.45807707</v>
      </c>
      <c r="R21" s="234">
        <v>0</v>
      </c>
      <c r="S21" s="236">
        <v>8.3180690837403333</v>
      </c>
      <c r="T21" s="236">
        <v>8.3180690837403333</v>
      </c>
      <c r="U21" s="236"/>
      <c r="V21" s="236">
        <v>3.4639479614233957</v>
      </c>
      <c r="W21" s="236">
        <v>0.64810169923711003</v>
      </c>
      <c r="X21" s="236">
        <v>0.47476698526175631</v>
      </c>
      <c r="Y21" s="236">
        <v>1.6127072497406771</v>
      </c>
      <c r="Z21" s="236">
        <v>0.25676161328329744</v>
      </c>
      <c r="AA21" s="236">
        <v>4.2098561033486505E-2</v>
      </c>
      <c r="AB21" s="236">
        <v>0.31043260767771003</v>
      </c>
      <c r="AC21" s="236">
        <v>6.8088166776574326</v>
      </c>
      <c r="AD21" s="236">
        <v>0</v>
      </c>
      <c r="AE21" s="236">
        <v>0</v>
      </c>
      <c r="AF21" s="236">
        <v>6.8088166776574326</v>
      </c>
      <c r="AG21" s="237">
        <v>-0.18144263901740096</v>
      </c>
      <c r="AH21" s="237">
        <v>-0.18144263901740096</v>
      </c>
      <c r="AI21" s="236"/>
      <c r="AJ21" s="234"/>
      <c r="AK21" s="234"/>
      <c r="AL21" s="234"/>
      <c r="AM21" s="234">
        <f>'[1]For rate design'!AM112</f>
        <v>0</v>
      </c>
      <c r="AN21" s="234">
        <f>'[1]For rate design'!AN112</f>
        <v>74730237.260795817</v>
      </c>
    </row>
    <row r="22" spans="1:40" x14ac:dyDescent="0.25">
      <c r="A22" s="134" t="s">
        <v>195</v>
      </c>
      <c r="B22" s="238"/>
      <c r="C22" s="234">
        <v>16956031369.87361</v>
      </c>
      <c r="D22" s="235">
        <v>1079031259.3972657</v>
      </c>
      <c r="E22" s="235">
        <v>1079031259.3972657</v>
      </c>
      <c r="F22" s="235">
        <v>0</v>
      </c>
      <c r="G22" s="235">
        <v>560556080.37431395</v>
      </c>
      <c r="H22" s="235">
        <v>96973713.946849406</v>
      </c>
      <c r="I22" s="235">
        <v>74275014.942869291</v>
      </c>
      <c r="J22" s="235">
        <v>133505614.34284852</v>
      </c>
      <c r="K22" s="235">
        <v>34823694.402163401</v>
      </c>
      <c r="L22" s="235">
        <v>7138245.2151033599</v>
      </c>
      <c r="M22" s="235">
        <v>48564971.358027995</v>
      </c>
      <c r="N22" s="235">
        <v>955837334.58217597</v>
      </c>
      <c r="O22" s="235">
        <v>0</v>
      </c>
      <c r="P22" s="235">
        <v>0</v>
      </c>
      <c r="Q22" s="235">
        <v>955837334.58217597</v>
      </c>
      <c r="R22" s="234">
        <v>0</v>
      </c>
      <c r="S22" s="236">
        <v>6.3637017168676593</v>
      </c>
      <c r="T22" s="236">
        <v>6.3637017168676593</v>
      </c>
      <c r="U22" s="236"/>
      <c r="V22" s="236">
        <v>3.3059391560826787</v>
      </c>
      <c r="W22" s="236">
        <v>0.57191280100570052</v>
      </c>
      <c r="X22" s="236">
        <v>0.43804480731756829</v>
      </c>
      <c r="Y22" s="236">
        <v>0.78736357246927924</v>
      </c>
      <c r="Z22" s="236">
        <v>0.20537644477372172</v>
      </c>
      <c r="AA22" s="236">
        <v>4.2098561033486505E-2</v>
      </c>
      <c r="AB22" s="236">
        <v>0.28641708840144708</v>
      </c>
      <c r="AC22" s="236">
        <v>5.6371524310838828</v>
      </c>
      <c r="AD22" s="236">
        <v>0</v>
      </c>
      <c r="AE22" s="236">
        <v>0</v>
      </c>
      <c r="AF22" s="236">
        <v>5.6371524310838828</v>
      </c>
      <c r="AG22" s="237">
        <v>-0.11417085811202948</v>
      </c>
      <c r="AH22" s="237">
        <v>-0.11417085811202948</v>
      </c>
      <c r="AI22" s="236"/>
      <c r="AJ22" s="234"/>
      <c r="AK22" s="234"/>
      <c r="AL22" s="234"/>
      <c r="AM22" s="234">
        <f>SUM(AM19:AM21)</f>
        <v>0</v>
      </c>
      <c r="AN22" s="234">
        <f>SUM(AN19:AN21)</f>
        <v>149607651.58855033</v>
      </c>
    </row>
    <row r="23" spans="1:40" x14ac:dyDescent="0.25">
      <c r="B23" s="238"/>
      <c r="C23" s="234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4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7"/>
      <c r="AH23" s="237"/>
      <c r="AI23" s="236"/>
      <c r="AJ23" s="234"/>
      <c r="AK23" s="234"/>
      <c r="AL23" s="234"/>
      <c r="AM23" s="234"/>
      <c r="AN23" s="234"/>
    </row>
    <row r="24" spans="1:40" x14ac:dyDescent="0.25">
      <c r="A24" s="134" t="s">
        <v>41</v>
      </c>
      <c r="B24" s="238"/>
      <c r="C24" s="234">
        <v>237442979</v>
      </c>
      <c r="D24" s="235">
        <v>20027933.356832772</v>
      </c>
      <c r="E24" s="235">
        <v>20027933.356832772</v>
      </c>
      <c r="F24" s="235">
        <v>0</v>
      </c>
      <c r="G24" s="235">
        <v>7205711.4741665795</v>
      </c>
      <c r="H24" s="235">
        <v>635164.16084181028</v>
      </c>
      <c r="I24" s="235">
        <v>5189206.688537159</v>
      </c>
      <c r="J24" s="235">
        <v>3998143.5415623938</v>
      </c>
      <c r="K24" s="235">
        <v>616952.3382627184</v>
      </c>
      <c r="L24" s="235">
        <v>99960.077434043546</v>
      </c>
      <c r="M24" s="235">
        <v>3393142.427679766</v>
      </c>
      <c r="N24" s="235">
        <v>21138280.708484471</v>
      </c>
      <c r="O24" s="235">
        <v>0</v>
      </c>
      <c r="P24" s="235">
        <v>0</v>
      </c>
      <c r="Q24" s="235">
        <v>21138280.708484471</v>
      </c>
      <c r="R24" s="234">
        <v>0</v>
      </c>
      <c r="S24" s="236">
        <v>8.434839152196103</v>
      </c>
      <c r="T24" s="236">
        <v>8.434839152196103</v>
      </c>
      <c r="U24" s="236"/>
      <c r="V24" s="236">
        <v>3.0347123778996137</v>
      </c>
      <c r="W24" s="236">
        <v>0.26750176548358173</v>
      </c>
      <c r="X24" s="236">
        <v>2.1854538341759766</v>
      </c>
      <c r="Y24" s="236">
        <v>1.6838331284423425</v>
      </c>
      <c r="Z24" s="236">
        <v>0.25983178818806785</v>
      </c>
      <c r="AA24" s="236">
        <v>4.2098561033486505E-2</v>
      </c>
      <c r="AB24" s="236">
        <v>1.4290346431678513</v>
      </c>
      <c r="AC24" s="236">
        <v>8.902466098390919</v>
      </c>
      <c r="AD24" s="236">
        <v>0</v>
      </c>
      <c r="AE24" s="236">
        <v>0</v>
      </c>
      <c r="AF24" s="236">
        <v>8.902466098390919</v>
      </c>
      <c r="AG24" s="237">
        <v>5.5439936406263796E-2</v>
      </c>
      <c r="AH24" s="237">
        <v>5.5439936406263796E-2</v>
      </c>
      <c r="AI24" s="236"/>
      <c r="AJ24" s="234"/>
      <c r="AK24" s="234"/>
      <c r="AL24" s="234"/>
      <c r="AM24" s="234">
        <f>'[1]For rate design'!AM69</f>
        <v>0</v>
      </c>
      <c r="AN24" s="234">
        <f>'[1]For rate design'!AN69</f>
        <v>4386481.4128701817</v>
      </c>
    </row>
    <row r="25" spans="1:40" x14ac:dyDescent="0.25">
      <c r="B25" s="238"/>
      <c r="C25" s="234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4"/>
      <c r="S25" s="236" t="s">
        <v>197</v>
      </c>
      <c r="T25" s="236" t="s">
        <v>197</v>
      </c>
      <c r="U25" s="236"/>
      <c r="V25" s="236" t="s">
        <v>197</v>
      </c>
      <c r="W25" s="236" t="s">
        <v>197</v>
      </c>
      <c r="X25" s="236" t="s">
        <v>197</v>
      </c>
      <c r="Y25" s="236" t="s">
        <v>197</v>
      </c>
      <c r="Z25" s="236" t="s">
        <v>197</v>
      </c>
      <c r="AA25" s="236" t="s">
        <v>197</v>
      </c>
      <c r="AB25" s="236" t="s">
        <v>197</v>
      </c>
      <c r="AC25" s="236" t="s">
        <v>197</v>
      </c>
      <c r="AD25" s="236" t="s">
        <v>197</v>
      </c>
      <c r="AE25" s="236" t="s">
        <v>197</v>
      </c>
      <c r="AF25" s="236" t="s">
        <v>197</v>
      </c>
      <c r="AG25" s="237" t="s">
        <v>197</v>
      </c>
      <c r="AH25" s="237" t="s">
        <v>197</v>
      </c>
      <c r="AI25" s="236"/>
      <c r="AJ25" s="234"/>
      <c r="AK25" s="234"/>
      <c r="AL25" s="234"/>
      <c r="AM25" s="234"/>
      <c r="AN25" s="234"/>
    </row>
    <row r="26" spans="1:40" x14ac:dyDescent="0.25">
      <c r="A26" s="134" t="s">
        <v>42</v>
      </c>
      <c r="B26" s="238"/>
      <c r="C26" s="234">
        <v>336169766.96122003</v>
      </c>
      <c r="D26" s="235">
        <v>42872078.581371143</v>
      </c>
      <c r="E26" s="235">
        <v>42872078.581371143</v>
      </c>
      <c r="F26" s="235">
        <v>0</v>
      </c>
      <c r="G26" s="235">
        <v>9799433.6570196748</v>
      </c>
      <c r="H26" s="235">
        <v>473266.48722208961</v>
      </c>
      <c r="I26" s="235">
        <v>840814.82408215664</v>
      </c>
      <c r="J26" s="235">
        <v>26722215.581276935</v>
      </c>
      <c r="K26" s="235">
        <v>1132730.8381605549</v>
      </c>
      <c r="L26" s="235">
        <v>141522.63452029857</v>
      </c>
      <c r="M26" s="235">
        <v>549795.87914998399</v>
      </c>
      <c r="N26" s="235">
        <v>39659779.901431687</v>
      </c>
      <c r="O26" s="235">
        <v>0</v>
      </c>
      <c r="P26" s="235">
        <v>0</v>
      </c>
      <c r="Q26" s="235">
        <v>39659779.901431687</v>
      </c>
      <c r="R26" s="234">
        <v>0</v>
      </c>
      <c r="S26" s="236">
        <v>12.753103578858354</v>
      </c>
      <c r="T26" s="236">
        <v>12.753103578858354</v>
      </c>
      <c r="U26" s="236"/>
      <c r="V26" s="236">
        <v>2.9150252700000001</v>
      </c>
      <c r="W26" s="236">
        <v>0.14078198985594229</v>
      </c>
      <c r="X26" s="236">
        <v>0.25011613378640074</v>
      </c>
      <c r="Y26" s="236">
        <v>7.9490240371197816</v>
      </c>
      <c r="Z26" s="236">
        <v>0.33695202528168594</v>
      </c>
      <c r="AA26" s="236">
        <v>4.2098561033486505E-2</v>
      </c>
      <c r="AB26" s="236">
        <v>0.16354709232773082</v>
      </c>
      <c r="AC26" s="236">
        <v>11.797545109405027</v>
      </c>
      <c r="AD26" s="236">
        <v>0</v>
      </c>
      <c r="AE26" s="236">
        <v>0</v>
      </c>
      <c r="AF26" s="236">
        <v>11.797545109405027</v>
      </c>
      <c r="AG26" s="237">
        <v>-7.4927523605894636E-2</v>
      </c>
      <c r="AH26" s="237">
        <v>-7.4927523605894636E-2</v>
      </c>
      <c r="AI26" s="236"/>
      <c r="AJ26" s="234"/>
      <c r="AK26" s="234"/>
      <c r="AL26" s="234"/>
      <c r="AM26" s="234">
        <f>'[1]For rate design'!AM55</f>
        <v>0</v>
      </c>
      <c r="AN26" s="234">
        <f>'[1]For rate design'!AN55</f>
        <v>25766917.864452027</v>
      </c>
    </row>
    <row r="27" spans="1:40" x14ac:dyDescent="0.25">
      <c r="B27" s="238"/>
      <c r="C27" s="234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4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7"/>
      <c r="AH27" s="237"/>
      <c r="AI27" s="236"/>
      <c r="AJ27" s="234"/>
      <c r="AK27" s="234"/>
      <c r="AL27" s="234"/>
      <c r="AM27" s="234"/>
      <c r="AN27" s="234"/>
    </row>
    <row r="28" spans="1:40" x14ac:dyDescent="0.25">
      <c r="A28" s="134" t="s">
        <v>43</v>
      </c>
      <c r="B28" s="238"/>
      <c r="C28" s="234">
        <v>140327462.49708226</v>
      </c>
      <c r="D28" s="235">
        <v>15252797.119613187</v>
      </c>
      <c r="E28" s="235">
        <v>15252797.119613187</v>
      </c>
      <c r="F28" s="235">
        <v>0</v>
      </c>
      <c r="G28" s="235">
        <v>4648544.3553006584</v>
      </c>
      <c r="H28" s="235">
        <v>620185.80491372931</v>
      </c>
      <c r="I28" s="235">
        <v>729748.10715563397</v>
      </c>
      <c r="J28" s="235">
        <v>4244689.5513594775</v>
      </c>
      <c r="K28" s="235">
        <v>401033.89133428858</v>
      </c>
      <c r="L28" s="235">
        <v>59075.842446077069</v>
      </c>
      <c r="M28" s="235">
        <v>477171.06149934581</v>
      </c>
      <c r="N28" s="235">
        <v>11180448.614009211</v>
      </c>
      <c r="O28" s="235">
        <v>0</v>
      </c>
      <c r="P28" s="235">
        <v>0</v>
      </c>
      <c r="Q28" s="235">
        <v>11180448.614009211</v>
      </c>
      <c r="R28" s="234">
        <v>0</v>
      </c>
      <c r="S28" s="236">
        <v>10.869431291776069</v>
      </c>
      <c r="T28" s="236">
        <v>10.869431291776069</v>
      </c>
      <c r="U28" s="236"/>
      <c r="V28" s="236">
        <v>3.3126404999999997</v>
      </c>
      <c r="W28" s="236">
        <v>0.4419561174111763</v>
      </c>
      <c r="X28" s="236">
        <v>0.52003228318249328</v>
      </c>
      <c r="Y28" s="236">
        <v>3.0248459395093348</v>
      </c>
      <c r="Z28" s="236">
        <v>0.28578432489123573</v>
      </c>
      <c r="AA28" s="236">
        <v>4.2098561033486505E-2</v>
      </c>
      <c r="AB28" s="236">
        <v>0.34004111027751771</v>
      </c>
      <c r="AC28" s="236">
        <v>7.9673988363052448</v>
      </c>
      <c r="AD28" s="236">
        <v>0</v>
      </c>
      <c r="AE28" s="236">
        <v>0</v>
      </c>
      <c r="AF28" s="236">
        <v>7.9673988363052448</v>
      </c>
      <c r="AG28" s="237">
        <v>-0.2669902755323118</v>
      </c>
      <c r="AH28" s="237">
        <v>-0.2669902755323118</v>
      </c>
      <c r="AI28" s="236"/>
      <c r="AJ28" s="234"/>
      <c r="AK28" s="234"/>
      <c r="AL28" s="234"/>
      <c r="AM28" s="234">
        <f>'[1]For rate design'!AM17</f>
        <v>0</v>
      </c>
      <c r="AN28" s="234">
        <f>'[1]For rate design'!AN17</f>
        <v>6059322.7955671661</v>
      </c>
    </row>
    <row r="29" spans="1:40" x14ac:dyDescent="0.25">
      <c r="B29" s="238"/>
      <c r="C29" s="234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4"/>
      <c r="S29" s="236" t="s">
        <v>197</v>
      </c>
      <c r="T29" s="236" t="s">
        <v>197</v>
      </c>
      <c r="U29" s="236"/>
      <c r="V29" s="236" t="s">
        <v>197</v>
      </c>
      <c r="W29" s="236" t="s">
        <v>197</v>
      </c>
      <c r="X29" s="236" t="s">
        <v>197</v>
      </c>
      <c r="Y29" s="236" t="s">
        <v>197</v>
      </c>
      <c r="Z29" s="236" t="s">
        <v>197</v>
      </c>
      <c r="AA29" s="236" t="s">
        <v>197</v>
      </c>
      <c r="AB29" s="236" t="s">
        <v>197</v>
      </c>
      <c r="AC29" s="236" t="s">
        <v>197</v>
      </c>
      <c r="AD29" s="236" t="s">
        <v>197</v>
      </c>
      <c r="AE29" s="236" t="s">
        <v>197</v>
      </c>
      <c r="AF29" s="236" t="s">
        <v>197</v>
      </c>
      <c r="AG29" s="237" t="s">
        <v>197</v>
      </c>
      <c r="AH29" s="237" t="s">
        <v>197</v>
      </c>
      <c r="AI29" s="236"/>
      <c r="AJ29" s="234"/>
      <c r="AK29" s="234"/>
      <c r="AL29" s="234"/>
      <c r="AM29" s="234"/>
      <c r="AN29" s="234"/>
    </row>
    <row r="30" spans="1:40" x14ac:dyDescent="0.25">
      <c r="A30" s="134" t="s">
        <v>44</v>
      </c>
      <c r="B30" s="238"/>
      <c r="C30" s="234">
        <v>819459053</v>
      </c>
      <c r="D30" s="235">
        <v>40026441.491510309</v>
      </c>
      <c r="E30" s="235">
        <v>40026441.491510309</v>
      </c>
      <c r="F30" s="235">
        <v>0</v>
      </c>
      <c r="G30" s="235">
        <v>25783839.160700001</v>
      </c>
      <c r="H30" s="235">
        <v>4173498.4422569838</v>
      </c>
      <c r="I30" s="235">
        <v>3336403.2467422574</v>
      </c>
      <c r="J30" s="235">
        <v>678781.97274396312</v>
      </c>
      <c r="K30" s="235">
        <v>1052394.4861866543</v>
      </c>
      <c r="L30" s="235">
        <v>344980.46957163553</v>
      </c>
      <c r="M30" s="235">
        <v>2181622.7589040296</v>
      </c>
      <c r="N30" s="235">
        <v>37551520.537105523</v>
      </c>
      <c r="O30" s="235">
        <v>0</v>
      </c>
      <c r="P30" s="235">
        <v>0</v>
      </c>
      <c r="Q30" s="235">
        <v>37551520.537105523</v>
      </c>
      <c r="R30" s="234">
        <v>0</v>
      </c>
      <c r="S30" s="236">
        <v>4.884495612681981</v>
      </c>
      <c r="T30" s="236">
        <v>4.884495612681981</v>
      </c>
      <c r="U30" s="236"/>
      <c r="V30" s="236">
        <v>3.1464463131265203</v>
      </c>
      <c r="W30" s="236">
        <v>0.50929920500335046</v>
      </c>
      <c r="X30" s="236">
        <v>0.40714703614876746</v>
      </c>
      <c r="Y30" s="236">
        <v>8.2832933538164608E-2</v>
      </c>
      <c r="Z30" s="236">
        <v>0.1284255122124637</v>
      </c>
      <c r="AA30" s="236">
        <v>4.2098561033486505E-2</v>
      </c>
      <c r="AB30" s="236">
        <v>0.26622718376436433</v>
      </c>
      <c r="AC30" s="236">
        <v>4.5824767448271171</v>
      </c>
      <c r="AD30" s="236">
        <v>0</v>
      </c>
      <c r="AE30" s="236">
        <v>0</v>
      </c>
      <c r="AF30" s="236">
        <v>4.5824767448271171</v>
      </c>
      <c r="AG30" s="237">
        <v>-6.1832150503054892E-2</v>
      </c>
      <c r="AH30" s="237">
        <v>-6.1832150503054892E-2</v>
      </c>
      <c r="AI30" s="236"/>
      <c r="AJ30" s="234"/>
      <c r="AK30" s="234"/>
      <c r="AL30" s="234"/>
      <c r="AM30" s="234">
        <f>'[1]For rate design'!AM118</f>
        <v>0</v>
      </c>
      <c r="AN30" s="234">
        <f>'[1]For rate design'!AN118</f>
        <v>1283819.0047390033</v>
      </c>
    </row>
    <row r="31" spans="1:40" x14ac:dyDescent="0.25">
      <c r="B31" s="238"/>
      <c r="C31" s="234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4"/>
      <c r="S31" s="236" t="s">
        <v>197</v>
      </c>
      <c r="T31" s="236" t="s">
        <v>197</v>
      </c>
      <c r="U31" s="236"/>
      <c r="V31" s="236" t="s">
        <v>197</v>
      </c>
      <c r="W31" s="236" t="s">
        <v>197</v>
      </c>
      <c r="X31" s="236" t="s">
        <v>197</v>
      </c>
      <c r="Y31" s="236" t="s">
        <v>197</v>
      </c>
      <c r="Z31" s="236" t="s">
        <v>197</v>
      </c>
      <c r="AA31" s="236" t="s">
        <v>197</v>
      </c>
      <c r="AB31" s="236" t="s">
        <v>197</v>
      </c>
      <c r="AC31" s="236" t="s">
        <v>197</v>
      </c>
      <c r="AD31" s="236" t="s">
        <v>197</v>
      </c>
      <c r="AE31" s="236" t="s">
        <v>197</v>
      </c>
      <c r="AF31" s="236" t="s">
        <v>197</v>
      </c>
      <c r="AG31" s="237" t="s">
        <v>197</v>
      </c>
      <c r="AH31" s="237" t="s">
        <v>197</v>
      </c>
      <c r="AI31" s="236"/>
      <c r="AJ31" s="234"/>
      <c r="AK31" s="234"/>
      <c r="AL31" s="234"/>
      <c r="AM31" s="234"/>
      <c r="AN31" s="234"/>
    </row>
    <row r="32" spans="1:40" x14ac:dyDescent="0.25">
      <c r="B32" s="238"/>
      <c r="C32" s="234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4"/>
      <c r="S32" s="236" t="s">
        <v>197</v>
      </c>
      <c r="T32" s="236" t="s">
        <v>197</v>
      </c>
      <c r="U32" s="236"/>
      <c r="V32" s="236" t="s">
        <v>197</v>
      </c>
      <c r="W32" s="236" t="s">
        <v>197</v>
      </c>
      <c r="X32" s="236" t="s">
        <v>197</v>
      </c>
      <c r="Y32" s="236" t="s">
        <v>197</v>
      </c>
      <c r="Z32" s="236" t="s">
        <v>197</v>
      </c>
      <c r="AA32" s="236" t="s">
        <v>197</v>
      </c>
      <c r="AB32" s="236" t="s">
        <v>197</v>
      </c>
      <c r="AC32" s="236" t="s">
        <v>197</v>
      </c>
      <c r="AD32" s="236" t="s">
        <v>197</v>
      </c>
      <c r="AE32" s="236" t="s">
        <v>197</v>
      </c>
      <c r="AF32" s="236" t="s">
        <v>197</v>
      </c>
      <c r="AG32" s="237" t="s">
        <v>197</v>
      </c>
      <c r="AH32" s="237" t="s">
        <v>197</v>
      </c>
      <c r="AI32" s="236"/>
      <c r="AJ32" s="234"/>
      <c r="AK32" s="234"/>
      <c r="AL32" s="234"/>
      <c r="AM32" s="234"/>
      <c r="AN32" s="234"/>
    </row>
    <row r="33" spans="1:40" x14ac:dyDescent="0.25">
      <c r="A33" s="134" t="s">
        <v>196</v>
      </c>
      <c r="B33" s="238"/>
      <c r="C33" s="234">
        <v>77819761996</v>
      </c>
      <c r="D33" s="235">
        <v>7334450344.6617365</v>
      </c>
      <c r="E33" s="235">
        <v>7748829420.007988</v>
      </c>
      <c r="F33" s="235">
        <v>0</v>
      </c>
      <c r="G33" s="235">
        <v>2650081062.3619022</v>
      </c>
      <c r="H33" s="235">
        <v>597270000.00000024</v>
      </c>
      <c r="I33" s="235">
        <v>384514621.07638824</v>
      </c>
      <c r="J33" s="235">
        <v>2099705000.0029321</v>
      </c>
      <c r="K33" s="235">
        <v>232192000.00000006</v>
      </c>
      <c r="L33" s="235">
        <v>32760999.999999996</v>
      </c>
      <c r="M33" s="235">
        <v>251425409.00000003</v>
      </c>
      <c r="N33" s="235">
        <v>6247949092.4412222</v>
      </c>
      <c r="O33" s="235">
        <v>384071346.82038039</v>
      </c>
      <c r="P33" s="235">
        <v>-59471713.000000015</v>
      </c>
      <c r="Q33" s="235">
        <v>6572548726.2616024</v>
      </c>
      <c r="R33" s="234">
        <v>0</v>
      </c>
      <c r="S33" s="236">
        <v>9.9574057042300943</v>
      </c>
      <c r="T33" s="236">
        <v>9.4249200415682761</v>
      </c>
      <c r="U33" s="236"/>
      <c r="V33" s="236">
        <v>3.4054088503870248</v>
      </c>
      <c r="W33" s="236">
        <v>0.76750427485334682</v>
      </c>
      <c r="X33" s="236">
        <v>0.49410922266268642</v>
      </c>
      <c r="Y33" s="236">
        <v>2.6981642530734784</v>
      </c>
      <c r="Z33" s="236">
        <v>0.29837151135457712</v>
      </c>
      <c r="AA33" s="236">
        <v>4.2098561033486505E-2</v>
      </c>
      <c r="AB33" s="236">
        <v>0.3230868388069903</v>
      </c>
      <c r="AC33" s="236">
        <v>8.0287435121715891</v>
      </c>
      <c r="AD33" s="236">
        <v>0.49353960609661329</v>
      </c>
      <c r="AE33" s="236">
        <v>-7.6422378422407553E-2</v>
      </c>
      <c r="AF33" s="236">
        <v>8.445860739845795</v>
      </c>
      <c r="AG33" s="237">
        <v>-0.15180108245887455</v>
      </c>
      <c r="AH33" s="237">
        <v>-0.10387985228568247</v>
      </c>
      <c r="AI33" s="236"/>
      <c r="AJ33" s="234"/>
      <c r="AK33" s="234"/>
      <c r="AL33" s="234"/>
      <c r="AM33" s="234">
        <f>AM30+AM28+AM26+AM24+AM22+AM17+AM12+AM10+AM8+AM6</f>
        <v>0</v>
      </c>
      <c r="AN33" s="234">
        <f>AN30+AN28+AN26+AN24+AN22+AN17+AN12+AN10+AN8+AN6</f>
        <v>2029851431.0524795</v>
      </c>
    </row>
    <row r="34" spans="1:40" x14ac:dyDescent="0.25">
      <c r="B34" s="238"/>
      <c r="C34" s="234"/>
      <c r="D34" s="234"/>
      <c r="E34" s="234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S34" s="236" t="str">
        <f>IF(AND(ISNUMBER(C34),C34&gt;0),100*(E34/C34),"")</f>
        <v/>
      </c>
      <c r="T34" s="236" t="str">
        <f>IF(AND(ISNUMBER(C34),C34&gt;0),100*(D34/C34),"")</f>
        <v/>
      </c>
      <c r="U34" s="236"/>
      <c r="V34" s="236" t="str">
        <f t="shared" ref="V34:AF34" si="0">IF(AND(ISNUMBER($C34),$C34&gt;0),100*(G34/$C34),"")</f>
        <v/>
      </c>
      <c r="W34" s="236" t="str">
        <f t="shared" si="0"/>
        <v/>
      </c>
      <c r="X34" s="236" t="str">
        <f t="shared" si="0"/>
        <v/>
      </c>
      <c r="Y34" s="236" t="str">
        <f t="shared" si="0"/>
        <v/>
      </c>
      <c r="Z34" s="236" t="str">
        <f t="shared" si="0"/>
        <v/>
      </c>
      <c r="AA34" s="236" t="str">
        <f t="shared" si="0"/>
        <v/>
      </c>
      <c r="AB34" s="236" t="str">
        <f t="shared" si="0"/>
        <v/>
      </c>
      <c r="AC34" s="236" t="str">
        <f t="shared" si="0"/>
        <v/>
      </c>
      <c r="AD34" s="236" t="str">
        <f t="shared" si="0"/>
        <v/>
      </c>
      <c r="AE34" s="236" t="str">
        <f t="shared" si="0"/>
        <v/>
      </c>
      <c r="AF34" s="236" t="str">
        <f t="shared" si="0"/>
        <v/>
      </c>
      <c r="AG34" s="237" t="str">
        <f>IF(AND( ISNUMBER(E34),E34&gt;0),(Q34-E34)/E34,"")</f>
        <v/>
      </c>
      <c r="AH34" s="237" t="str">
        <f>IF(AND( ISNUMBER(D34),D34&gt;0),(Q34-D34)/D34,"")</f>
        <v/>
      </c>
      <c r="AI34" s="243"/>
    </row>
    <row r="35" spans="1:40" x14ac:dyDescent="0.25">
      <c r="B35" s="238"/>
      <c r="C35" s="234"/>
      <c r="D35" s="234"/>
      <c r="E35" s="234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</row>
    <row r="36" spans="1:40" x14ac:dyDescent="0.25">
      <c r="B36" s="238"/>
      <c r="C36" s="234"/>
      <c r="D36" s="234"/>
      <c r="E36" s="234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</row>
    <row r="37" spans="1:40" x14ac:dyDescent="0.25">
      <c r="B37" s="238"/>
      <c r="C37" s="234"/>
      <c r="D37" s="234"/>
      <c r="E37" s="234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</row>
    <row r="38" spans="1:40" x14ac:dyDescent="0.25">
      <c r="B38" s="238"/>
      <c r="C38" s="234"/>
      <c r="D38" s="234"/>
      <c r="E38" s="234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</row>
    <row r="39" spans="1:40" x14ac:dyDescent="0.25">
      <c r="B39" s="238"/>
      <c r="C39" s="234"/>
      <c r="D39" s="234"/>
      <c r="E39" s="234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</row>
    <row r="40" spans="1:40" x14ac:dyDescent="0.25">
      <c r="B40" s="238"/>
      <c r="C40" s="234"/>
      <c r="D40" s="234"/>
      <c r="E40" s="234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</row>
    <row r="41" spans="1:40" x14ac:dyDescent="0.25">
      <c r="B41" s="238"/>
      <c r="C41" s="234"/>
      <c r="D41" s="234"/>
      <c r="E41" s="234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</row>
    <row r="42" spans="1:40" x14ac:dyDescent="0.25">
      <c r="B42" s="238"/>
      <c r="C42" s="234"/>
      <c r="D42" s="234"/>
      <c r="E42" s="234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</row>
    <row r="43" spans="1:40" x14ac:dyDescent="0.25">
      <c r="B43" s="238"/>
      <c r="C43" s="234"/>
      <c r="D43" s="234"/>
      <c r="E43" s="234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</row>
    <row r="44" spans="1:40" x14ac:dyDescent="0.25">
      <c r="B44" s="238"/>
      <c r="C44" s="234"/>
      <c r="D44" s="234"/>
      <c r="E44" s="234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</row>
    <row r="45" spans="1:40" x14ac:dyDescent="0.25">
      <c r="B45" s="238"/>
      <c r="C45" s="234"/>
      <c r="D45" s="234"/>
      <c r="E45" s="234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</row>
    <row r="46" spans="1:40" x14ac:dyDescent="0.25">
      <c r="B46" s="238"/>
      <c r="C46" s="234"/>
      <c r="D46" s="234"/>
      <c r="E46" s="234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</row>
    <row r="47" spans="1:40" x14ac:dyDescent="0.25">
      <c r="B47" s="238"/>
      <c r="C47" s="234"/>
      <c r="D47" s="234"/>
      <c r="E47" s="234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</row>
    <row r="48" spans="1:40" x14ac:dyDescent="0.25">
      <c r="B48" s="238"/>
      <c r="C48" s="234"/>
      <c r="D48" s="234"/>
      <c r="E48" s="234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</row>
    <row r="49" spans="2:35" x14ac:dyDescent="0.25">
      <c r="B49" s="238"/>
      <c r="C49" s="234"/>
      <c r="D49" s="234"/>
      <c r="E49" s="234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</row>
    <row r="50" spans="2:35" x14ac:dyDescent="0.25">
      <c r="B50" s="238"/>
      <c r="C50" s="234"/>
      <c r="D50" s="234"/>
      <c r="E50" s="234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</row>
    <row r="51" spans="2:35" x14ac:dyDescent="0.25">
      <c r="B51" s="238"/>
      <c r="C51" s="234"/>
      <c r="D51" s="234"/>
      <c r="E51" s="234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</row>
    <row r="52" spans="2:35" x14ac:dyDescent="0.25">
      <c r="B52" s="238"/>
      <c r="C52" s="234"/>
      <c r="D52" s="234"/>
      <c r="E52" s="234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</row>
    <row r="53" spans="2:35" x14ac:dyDescent="0.25">
      <c r="B53" s="238"/>
      <c r="C53" s="234"/>
      <c r="D53" s="234"/>
      <c r="E53" s="234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</row>
    <row r="54" spans="2:35" x14ac:dyDescent="0.25">
      <c r="B54" s="238"/>
      <c r="C54" s="234"/>
      <c r="D54" s="234"/>
      <c r="E54" s="234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</row>
    <row r="55" spans="2:35" x14ac:dyDescent="0.25">
      <c r="B55" s="238"/>
      <c r="C55" s="234"/>
      <c r="D55" s="234"/>
      <c r="E55" s="234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2:35" x14ac:dyDescent="0.25">
      <c r="B56" s="238"/>
      <c r="C56" s="234"/>
      <c r="D56" s="234"/>
      <c r="E56" s="234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2:35" x14ac:dyDescent="0.25">
      <c r="B57" s="238"/>
      <c r="C57" s="234"/>
      <c r="D57" s="234"/>
      <c r="E57" s="234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</row>
    <row r="58" spans="2:35" x14ac:dyDescent="0.25">
      <c r="B58" s="238"/>
      <c r="C58" s="234"/>
      <c r="D58" s="234"/>
      <c r="E58" s="234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</row>
    <row r="59" spans="2:35" x14ac:dyDescent="0.25">
      <c r="B59" s="238"/>
      <c r="C59" s="234"/>
      <c r="D59" s="234"/>
      <c r="E59" s="234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</row>
    <row r="60" spans="2:35" x14ac:dyDescent="0.25">
      <c r="B60" s="238"/>
      <c r="C60" s="234"/>
      <c r="D60" s="234"/>
      <c r="E60" s="234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</row>
    <row r="61" spans="2:35" x14ac:dyDescent="0.25">
      <c r="B61" s="238"/>
      <c r="C61" s="234"/>
      <c r="D61" s="234"/>
      <c r="E61" s="234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</row>
    <row r="62" spans="2:35" x14ac:dyDescent="0.25">
      <c r="B62" s="238"/>
      <c r="C62" s="234"/>
      <c r="D62" s="234"/>
      <c r="E62" s="234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</row>
    <row r="63" spans="2:35" x14ac:dyDescent="0.25">
      <c r="B63" s="238"/>
      <c r="C63" s="234"/>
      <c r="D63" s="234"/>
      <c r="E63" s="234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</row>
    <row r="64" spans="2:35" x14ac:dyDescent="0.25">
      <c r="B64" s="238"/>
      <c r="C64" s="234"/>
      <c r="D64" s="234"/>
      <c r="E64" s="234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2:35" x14ac:dyDescent="0.25">
      <c r="B65" s="238"/>
      <c r="C65" s="234"/>
      <c r="D65" s="234"/>
      <c r="E65" s="234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2:35" x14ac:dyDescent="0.25">
      <c r="B66" s="238"/>
      <c r="C66" s="234"/>
      <c r="D66" s="234"/>
      <c r="E66" s="234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</row>
    <row r="67" spans="2:35" x14ac:dyDescent="0.25">
      <c r="B67" s="238"/>
      <c r="C67" s="234"/>
      <c r="D67" s="234"/>
      <c r="E67" s="234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</row>
    <row r="68" spans="2:35" x14ac:dyDescent="0.25">
      <c r="B68" s="238"/>
      <c r="C68" s="234"/>
      <c r="D68" s="234"/>
      <c r="E68" s="234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</row>
    <row r="69" spans="2:35" x14ac:dyDescent="0.25">
      <c r="B69" s="238"/>
      <c r="C69" s="234"/>
      <c r="D69" s="234"/>
      <c r="E69" s="234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</row>
    <row r="70" spans="2:35" x14ac:dyDescent="0.25">
      <c r="B70" s="238"/>
      <c r="C70" s="234"/>
      <c r="D70" s="234"/>
      <c r="E70" s="234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</row>
    <row r="71" spans="2:35" x14ac:dyDescent="0.25">
      <c r="B71" s="238"/>
      <c r="C71" s="234"/>
      <c r="D71" s="234"/>
      <c r="E71" s="234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</row>
    <row r="72" spans="2:35" x14ac:dyDescent="0.25">
      <c r="B72" s="238"/>
      <c r="C72" s="234"/>
      <c r="D72" s="234"/>
      <c r="E72" s="234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</row>
    <row r="73" spans="2:35" x14ac:dyDescent="0.25">
      <c r="B73" s="238"/>
      <c r="C73" s="234"/>
      <c r="D73" s="234"/>
      <c r="E73" s="234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</row>
    <row r="74" spans="2:35" x14ac:dyDescent="0.25">
      <c r="B74" s="238"/>
      <c r="C74" s="234"/>
      <c r="D74" s="234"/>
      <c r="E74" s="234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</row>
    <row r="75" spans="2:35" x14ac:dyDescent="0.25">
      <c r="B75" s="238"/>
      <c r="C75" s="234"/>
      <c r="D75" s="234"/>
      <c r="E75" s="234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</row>
    <row r="76" spans="2:35" x14ac:dyDescent="0.25">
      <c r="B76" s="238"/>
      <c r="C76" s="234"/>
      <c r="D76" s="234"/>
      <c r="E76" s="234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</row>
    <row r="77" spans="2:35" x14ac:dyDescent="0.25">
      <c r="B77" s="238"/>
      <c r="C77" s="234"/>
      <c r="D77" s="234"/>
      <c r="E77" s="234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</row>
    <row r="78" spans="2:35" x14ac:dyDescent="0.25">
      <c r="B78" s="238"/>
      <c r="C78" s="234"/>
      <c r="D78" s="234"/>
      <c r="E78" s="234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</row>
    <row r="79" spans="2:35" x14ac:dyDescent="0.25">
      <c r="B79" s="238"/>
      <c r="C79" s="234"/>
      <c r="D79" s="234"/>
      <c r="E79" s="234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</row>
    <row r="80" spans="2:35" x14ac:dyDescent="0.25">
      <c r="B80" s="238"/>
      <c r="C80" s="234"/>
      <c r="D80" s="234"/>
      <c r="E80" s="234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</row>
    <row r="81" spans="2:35" x14ac:dyDescent="0.25">
      <c r="B81" s="238"/>
      <c r="C81" s="234"/>
      <c r="D81" s="234"/>
      <c r="E81" s="234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</row>
    <row r="82" spans="2:35" x14ac:dyDescent="0.25">
      <c r="B82" s="238"/>
      <c r="C82" s="234"/>
      <c r="D82" s="234"/>
      <c r="E82" s="234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</row>
    <row r="83" spans="2:35" x14ac:dyDescent="0.25">
      <c r="B83" s="238"/>
      <c r="C83" s="234"/>
      <c r="D83" s="234"/>
      <c r="E83" s="234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</row>
    <row r="84" spans="2:35" x14ac:dyDescent="0.25">
      <c r="B84" s="238"/>
      <c r="C84" s="234"/>
      <c r="D84" s="234"/>
      <c r="E84" s="234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</row>
    <row r="85" spans="2:35" x14ac:dyDescent="0.25">
      <c r="B85" s="238"/>
      <c r="C85" s="234"/>
      <c r="D85" s="234"/>
      <c r="E85" s="234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</row>
    <row r="86" spans="2:35" x14ac:dyDescent="0.25">
      <c r="B86" s="238"/>
      <c r="C86" s="234"/>
      <c r="D86" s="234"/>
      <c r="E86" s="234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</row>
    <row r="87" spans="2:35" x14ac:dyDescent="0.25">
      <c r="B87" s="238"/>
      <c r="C87" s="234"/>
      <c r="D87" s="234"/>
      <c r="E87" s="234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</row>
    <row r="88" spans="2:35" x14ac:dyDescent="0.25">
      <c r="B88" s="238"/>
      <c r="C88" s="234"/>
      <c r="D88" s="234"/>
      <c r="E88" s="234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</row>
    <row r="89" spans="2:35" x14ac:dyDescent="0.25">
      <c r="B89" s="238"/>
      <c r="C89" s="234"/>
      <c r="D89" s="234"/>
      <c r="E89" s="234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</row>
    <row r="90" spans="2:35" x14ac:dyDescent="0.25">
      <c r="B90" s="238"/>
      <c r="C90" s="234"/>
      <c r="D90" s="234"/>
      <c r="E90" s="234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</row>
    <row r="91" spans="2:35" x14ac:dyDescent="0.25">
      <c r="B91" s="238"/>
      <c r="C91" s="234"/>
      <c r="D91" s="234"/>
      <c r="E91" s="234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</row>
    <row r="92" spans="2:35" x14ac:dyDescent="0.25">
      <c r="B92" s="238"/>
      <c r="C92" s="234"/>
      <c r="D92" s="234"/>
      <c r="E92" s="234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</row>
    <row r="93" spans="2:35" x14ac:dyDescent="0.25">
      <c r="B93" s="238"/>
      <c r="C93" s="234"/>
      <c r="D93" s="234"/>
      <c r="E93" s="234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</row>
    <row r="94" spans="2:35" x14ac:dyDescent="0.25">
      <c r="B94" s="238"/>
      <c r="C94" s="234"/>
      <c r="D94" s="234"/>
      <c r="E94" s="234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</row>
    <row r="95" spans="2:35" x14ac:dyDescent="0.25">
      <c r="B95" s="238"/>
      <c r="C95" s="234"/>
      <c r="D95" s="234"/>
      <c r="E95" s="234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</row>
    <row r="96" spans="2:35" x14ac:dyDescent="0.25">
      <c r="B96" s="238"/>
      <c r="C96" s="234"/>
      <c r="D96" s="234"/>
      <c r="E96" s="234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</row>
    <row r="97" spans="2:35" x14ac:dyDescent="0.25">
      <c r="B97" s="238"/>
      <c r="C97" s="234"/>
      <c r="D97" s="234"/>
      <c r="E97" s="234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</row>
    <row r="98" spans="2:35" x14ac:dyDescent="0.25">
      <c r="B98" s="238"/>
      <c r="C98" s="234"/>
      <c r="D98" s="234"/>
      <c r="E98" s="234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S98" s="243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</row>
    <row r="99" spans="2:35" x14ac:dyDescent="0.25">
      <c r="B99" s="238"/>
      <c r="C99" s="234"/>
      <c r="D99" s="234"/>
      <c r="E99" s="234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</row>
    <row r="100" spans="2:35" x14ac:dyDescent="0.25">
      <c r="B100" s="238"/>
      <c r="C100" s="234"/>
      <c r="D100" s="234"/>
      <c r="E100" s="234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</row>
    <row r="101" spans="2:35" x14ac:dyDescent="0.25">
      <c r="B101" s="238"/>
      <c r="C101" s="234"/>
      <c r="D101" s="234"/>
      <c r="E101" s="234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</row>
    <row r="102" spans="2:35" x14ac:dyDescent="0.25">
      <c r="B102" s="238"/>
      <c r="C102" s="234"/>
      <c r="D102" s="234"/>
      <c r="E102" s="234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</row>
    <row r="103" spans="2:35" x14ac:dyDescent="0.25">
      <c r="B103" s="238"/>
      <c r="C103" s="234"/>
      <c r="D103" s="234"/>
      <c r="E103" s="234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</row>
    <row r="104" spans="2:35" x14ac:dyDescent="0.25">
      <c r="B104" s="238"/>
      <c r="C104" s="234"/>
      <c r="D104" s="234"/>
      <c r="E104" s="234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</row>
    <row r="105" spans="2:35" x14ac:dyDescent="0.25">
      <c r="B105" s="238"/>
      <c r="C105" s="234"/>
      <c r="D105" s="234"/>
      <c r="E105" s="234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</row>
    <row r="106" spans="2:35" x14ac:dyDescent="0.25">
      <c r="B106" s="238"/>
      <c r="C106" s="234"/>
      <c r="D106" s="234"/>
      <c r="E106" s="234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</row>
    <row r="107" spans="2:35" x14ac:dyDescent="0.25"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</row>
    <row r="108" spans="2:35" x14ac:dyDescent="0.25"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</row>
    <row r="109" spans="2:35" x14ac:dyDescent="0.25"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</row>
    <row r="110" spans="2:35" x14ac:dyDescent="0.25"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</row>
    <row r="111" spans="2:35" x14ac:dyDescent="0.25"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</row>
    <row r="112" spans="2:35" x14ac:dyDescent="0.25">
      <c r="S112" s="243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</row>
    <row r="113" spans="19:35" x14ac:dyDescent="0.25">
      <c r="S113" s="243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</row>
    <row r="114" spans="19:35" x14ac:dyDescent="0.25"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</row>
    <row r="115" spans="19:35" x14ac:dyDescent="0.25"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</row>
    <row r="116" spans="19:35" x14ac:dyDescent="0.25"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</row>
    <row r="117" spans="19:35" x14ac:dyDescent="0.25"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</row>
    <row r="118" spans="19:35" x14ac:dyDescent="0.25"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</row>
    <row r="119" spans="19:35" x14ac:dyDescent="0.25"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</row>
    <row r="120" spans="19:35" x14ac:dyDescent="0.25"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</row>
    <row r="121" spans="19:35" x14ac:dyDescent="0.25"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</row>
    <row r="122" spans="19:35" x14ac:dyDescent="0.25"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</row>
    <row r="123" spans="19:35" x14ac:dyDescent="0.25"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</row>
    <row r="124" spans="19:35" x14ac:dyDescent="0.25"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</row>
    <row r="125" spans="19:35" x14ac:dyDescent="0.25"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</row>
    <row r="126" spans="19:35" x14ac:dyDescent="0.25">
      <c r="S126" s="243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</row>
    <row r="127" spans="19:35" x14ac:dyDescent="0.25"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</row>
    <row r="128" spans="19:35" x14ac:dyDescent="0.25"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</row>
    <row r="129" spans="19:35" x14ac:dyDescent="0.25"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</row>
    <row r="130" spans="19:35" x14ac:dyDescent="0.25"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</row>
    <row r="131" spans="19:35" x14ac:dyDescent="0.25"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</row>
    <row r="132" spans="19:35" x14ac:dyDescent="0.25"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</row>
    <row r="133" spans="19:35" x14ac:dyDescent="0.25"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</row>
    <row r="134" spans="19:35" x14ac:dyDescent="0.25"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</row>
    <row r="135" spans="19:35" x14ac:dyDescent="0.25"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</row>
    <row r="136" spans="19:35" x14ac:dyDescent="0.25"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</row>
    <row r="137" spans="19:35" x14ac:dyDescent="0.25"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</row>
    <row r="138" spans="19:35" x14ac:dyDescent="0.25"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</row>
    <row r="139" spans="19:35" x14ac:dyDescent="0.25"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</row>
    <row r="140" spans="19:35" x14ac:dyDescent="0.25">
      <c r="S140" s="243"/>
      <c r="T140" s="243"/>
      <c r="U140" s="243"/>
      <c r="V140" s="243"/>
      <c r="W140" s="243"/>
      <c r="X140" s="243"/>
      <c r="Y140" s="243"/>
      <c r="Z140" s="243"/>
      <c r="AA140" s="243"/>
      <c r="AB140" s="243"/>
      <c r="AC140" s="243"/>
      <c r="AD140" s="243"/>
      <c r="AE140" s="243"/>
      <c r="AF140" s="243"/>
      <c r="AG140" s="243"/>
      <c r="AH140" s="243"/>
      <c r="AI140" s="243"/>
    </row>
    <row r="141" spans="19:35" x14ac:dyDescent="0.25">
      <c r="S141" s="243"/>
      <c r="T141" s="243"/>
      <c r="U141" s="243"/>
      <c r="V141" s="243"/>
      <c r="W141" s="243"/>
      <c r="X141" s="243"/>
      <c r="Y141" s="243"/>
      <c r="Z141" s="243"/>
      <c r="AA141" s="243"/>
      <c r="AB141" s="243"/>
      <c r="AC141" s="243"/>
      <c r="AD141" s="243"/>
      <c r="AE141" s="243"/>
      <c r="AF141" s="243"/>
      <c r="AG141" s="243"/>
      <c r="AH141" s="243"/>
      <c r="AI141" s="243"/>
    </row>
    <row r="142" spans="19:35" x14ac:dyDescent="0.25">
      <c r="S142" s="243"/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</row>
    <row r="143" spans="19:35" x14ac:dyDescent="0.25">
      <c r="S143" s="243"/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</row>
    <row r="144" spans="19:35" x14ac:dyDescent="0.25">
      <c r="S144" s="243"/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</row>
    <row r="145" spans="19:35" x14ac:dyDescent="0.25"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</row>
    <row r="146" spans="19:35" x14ac:dyDescent="0.25"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</row>
    <row r="147" spans="19:35" x14ac:dyDescent="0.25">
      <c r="S147" s="243"/>
      <c r="T147" s="243"/>
      <c r="U147" s="243"/>
      <c r="V147" s="243"/>
      <c r="W147" s="243"/>
      <c r="X147" s="243"/>
      <c r="Y147" s="243"/>
      <c r="Z147" s="243"/>
      <c r="AA147" s="243"/>
      <c r="AB147" s="243"/>
      <c r="AC147" s="243"/>
      <c r="AD147" s="243"/>
      <c r="AE147" s="243"/>
      <c r="AF147" s="243"/>
      <c r="AG147" s="243"/>
      <c r="AH147" s="243"/>
      <c r="AI147" s="243"/>
    </row>
    <row r="148" spans="19:35" x14ac:dyDescent="0.25">
      <c r="S148" s="243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3"/>
      <c r="AD148" s="243"/>
      <c r="AE148" s="243"/>
      <c r="AF148" s="243"/>
      <c r="AG148" s="243"/>
      <c r="AH148" s="243"/>
      <c r="AI148" s="243"/>
    </row>
    <row r="149" spans="19:35" x14ac:dyDescent="0.25"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243"/>
      <c r="AF149" s="243"/>
      <c r="AG149" s="243"/>
      <c r="AH149" s="243"/>
      <c r="AI149" s="243"/>
    </row>
    <row r="150" spans="19:35" x14ac:dyDescent="0.25"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</row>
    <row r="151" spans="19:35" x14ac:dyDescent="0.25">
      <c r="S151" s="243"/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</row>
    <row r="152" spans="19:35" x14ac:dyDescent="0.25"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</row>
    <row r="153" spans="19:35" x14ac:dyDescent="0.25"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</row>
    <row r="154" spans="19:35" x14ac:dyDescent="0.25">
      <c r="S154" s="243"/>
      <c r="T154" s="243"/>
      <c r="U154" s="243"/>
      <c r="V154" s="243"/>
      <c r="W154" s="243"/>
      <c r="X154" s="243"/>
      <c r="Y154" s="243"/>
      <c r="Z154" s="243"/>
      <c r="AA154" s="243"/>
      <c r="AB154" s="243"/>
      <c r="AC154" s="243"/>
      <c r="AD154" s="243"/>
      <c r="AE154" s="243"/>
      <c r="AF154" s="243"/>
      <c r="AG154" s="243"/>
      <c r="AH154" s="243"/>
      <c r="AI154" s="243"/>
    </row>
    <row r="155" spans="19:35" x14ac:dyDescent="0.25">
      <c r="S155" s="243"/>
      <c r="T155" s="243"/>
      <c r="U155" s="243"/>
      <c r="V155" s="243"/>
      <c r="W155" s="243"/>
      <c r="X155" s="243"/>
      <c r="Y155" s="243"/>
      <c r="Z155" s="243"/>
      <c r="AA155" s="243"/>
      <c r="AB155" s="243"/>
      <c r="AC155" s="243"/>
      <c r="AD155" s="243"/>
      <c r="AE155" s="243"/>
      <c r="AF155" s="243"/>
      <c r="AG155" s="243"/>
      <c r="AH155" s="243"/>
      <c r="AI155" s="243"/>
    </row>
    <row r="156" spans="19:35" x14ac:dyDescent="0.25">
      <c r="S156" s="243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</row>
    <row r="157" spans="19:35" x14ac:dyDescent="0.25">
      <c r="S157" s="243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</row>
    <row r="158" spans="19:35" x14ac:dyDescent="0.25">
      <c r="S158" s="24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</row>
    <row r="159" spans="19:35" x14ac:dyDescent="0.25"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</row>
    <row r="160" spans="19:35" x14ac:dyDescent="0.25">
      <c r="S160" s="243"/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</row>
    <row r="161" spans="19:35" x14ac:dyDescent="0.25">
      <c r="S161" s="243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</row>
    <row r="162" spans="19:35" x14ac:dyDescent="0.25">
      <c r="S162" s="243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</row>
    <row r="163" spans="19:35" x14ac:dyDescent="0.25"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</row>
    <row r="164" spans="19:35" x14ac:dyDescent="0.25"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</row>
    <row r="165" spans="19:35" x14ac:dyDescent="0.25">
      <c r="S165" s="243"/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</row>
    <row r="166" spans="19:35" x14ac:dyDescent="0.25">
      <c r="S166" s="243"/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</row>
    <row r="167" spans="19:35" x14ac:dyDescent="0.25">
      <c r="S167" s="243"/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</row>
    <row r="168" spans="19:35" x14ac:dyDescent="0.25">
      <c r="S168" s="243"/>
      <c r="T168" s="243"/>
      <c r="U168" s="243"/>
      <c r="V168" s="243"/>
      <c r="W168" s="243"/>
      <c r="X168" s="243"/>
      <c r="Y168" s="243"/>
      <c r="Z168" s="243"/>
      <c r="AA168" s="243"/>
      <c r="AB168" s="243"/>
      <c r="AC168" s="243"/>
      <c r="AD168" s="243"/>
      <c r="AE168" s="243"/>
      <c r="AF168" s="243"/>
      <c r="AG168" s="243"/>
      <c r="AH168" s="243"/>
      <c r="AI168" s="243"/>
    </row>
  </sheetData>
  <pageMargins left="0.34" right="0.28000000000000003" top="1.8" bottom="0.94" header="0.61" footer="0.39"/>
  <pageSetup scale="90" orientation="landscape" r:id="rId1"/>
  <headerFooter alignWithMargins="0">
    <oddHeader>&amp;C&amp;"Times New Roman,Bold"&amp;12&amp;UTABLE 4-17&amp;U
FUNCTIONAL REVENUE ALLOCATIONS AND AVERAGE RATES&amp;"Times New Roman,Regular"&amp;10
&amp;"Times New Roman,Bold"Scenario NO. 1
&amp;"Times New Roman,Regular"
(Dollars in Thousands, Average Rates in Cents/kWh)</oddHeader>
    <oddFooter>&amp;C&amp;"Times New Roman,Regular"4-34&amp;&amp;35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3.2" x14ac:dyDescent="0.25"/>
  <sheetData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8"/>
  <sheetViews>
    <sheetView topLeftCell="V1" workbookViewId="0">
      <selection activeCell="Y10" sqref="Y10"/>
    </sheetView>
  </sheetViews>
  <sheetFormatPr defaultColWidth="7.21875" defaultRowHeight="13.2" x14ac:dyDescent="0.25"/>
  <cols>
    <col min="1" max="1" width="11.6640625" style="134" customWidth="1"/>
    <col min="2" max="2" width="1.88671875" style="166" customWidth="1"/>
    <col min="3" max="3" width="10.109375" style="134" customWidth="1"/>
    <col min="4" max="4" width="10.6640625" style="134" customWidth="1"/>
    <col min="5" max="5" width="11.5546875" style="134" customWidth="1"/>
    <col min="6" max="6" width="1.33203125" style="134" customWidth="1"/>
    <col min="7" max="7" width="10.21875" style="134" customWidth="1"/>
    <col min="8" max="8" width="8.44140625" style="134" customWidth="1"/>
    <col min="9" max="9" width="9.77734375" style="134" customWidth="1"/>
    <col min="10" max="10" width="10.33203125" style="134" customWidth="1"/>
    <col min="11" max="11" width="9.77734375" style="134" customWidth="1"/>
    <col min="12" max="12" width="7.6640625" style="134" customWidth="1"/>
    <col min="13" max="13" width="8.44140625" style="134" customWidth="1"/>
    <col min="14" max="14" width="9.77734375" style="134" customWidth="1"/>
    <col min="15" max="15" width="8.77734375" style="134" customWidth="1"/>
    <col min="16" max="16" width="7.88671875" style="134" customWidth="1"/>
    <col min="17" max="17" width="9.6640625" style="134" customWidth="1"/>
    <col min="18" max="18" width="2.5546875" style="134" customWidth="1"/>
    <col min="19" max="19" width="7.21875" style="134" customWidth="1"/>
    <col min="20" max="20" width="8" style="134" customWidth="1"/>
    <col min="21" max="21" width="3.33203125" style="134" customWidth="1"/>
    <col min="22" max="22" width="9.21875" style="134" customWidth="1"/>
    <col min="23" max="23" width="8.77734375" style="134" customWidth="1"/>
    <col min="24" max="24" width="10.33203125" style="134" customWidth="1"/>
    <col min="25" max="25" width="8.88671875" style="134" customWidth="1"/>
    <col min="26" max="26" width="9.5546875" style="134" customWidth="1"/>
    <col min="27" max="27" width="8.44140625" style="134" customWidth="1"/>
    <col min="28" max="28" width="7.88671875" style="134" customWidth="1"/>
    <col min="29" max="29" width="10" style="134" customWidth="1"/>
    <col min="30" max="30" width="7" style="134" customWidth="1"/>
    <col min="31" max="31" width="7.88671875" style="134" customWidth="1"/>
    <col min="32" max="32" width="9.109375" style="134" customWidth="1"/>
    <col min="33" max="33" width="8.5546875" style="134" customWidth="1"/>
    <col min="34" max="34" width="7.77734375" style="134" customWidth="1"/>
    <col min="35" max="39" width="7.21875" style="134" customWidth="1"/>
    <col min="40" max="40" width="8.109375" style="134" hidden="1" customWidth="1"/>
    <col min="41" max="16384" width="7.21875" style="134"/>
  </cols>
  <sheetData>
    <row r="1" spans="1:54" s="199" customFormat="1" ht="14.4" thickBot="1" x14ac:dyDescent="0.35">
      <c r="A1" s="194"/>
      <c r="B1" s="195" t="s">
        <v>144</v>
      </c>
      <c r="C1" s="196"/>
      <c r="D1" s="197" t="s">
        <v>145</v>
      </c>
      <c r="E1" s="198" t="s">
        <v>145</v>
      </c>
      <c r="G1" s="200" t="s">
        <v>146</v>
      </c>
      <c r="H1" s="201"/>
      <c r="I1" s="197"/>
      <c r="J1" s="202" t="str">
        <f>'[1]For rate design'!J1</f>
        <v>Option 3</v>
      </c>
      <c r="K1" s="203"/>
      <c r="L1" s="201"/>
      <c r="M1" s="204" t="s">
        <v>147</v>
      </c>
      <c r="N1" s="197" t="s">
        <v>45</v>
      </c>
      <c r="O1" s="205"/>
      <c r="P1" s="205"/>
      <c r="Q1" s="198" t="s">
        <v>148</v>
      </c>
      <c r="S1" s="206" t="s">
        <v>149</v>
      </c>
      <c r="T1" s="198" t="s">
        <v>149</v>
      </c>
      <c r="V1" s="206"/>
      <c r="W1" s="197"/>
      <c r="X1" s="197"/>
      <c r="Y1" s="197"/>
      <c r="Z1" s="197" t="s">
        <v>150</v>
      </c>
      <c r="AA1" s="197" t="s">
        <v>151</v>
      </c>
      <c r="AB1" s="197" t="s">
        <v>147</v>
      </c>
      <c r="AC1" s="197" t="s">
        <v>45</v>
      </c>
      <c r="AD1" s="197"/>
      <c r="AE1" s="197"/>
      <c r="AF1" s="197" t="s">
        <v>148</v>
      </c>
      <c r="AG1" s="207" t="s">
        <v>152</v>
      </c>
      <c r="AH1" s="198" t="s">
        <v>152</v>
      </c>
      <c r="AJ1" s="239"/>
      <c r="AL1" s="230"/>
      <c r="AN1" s="240"/>
      <c r="AO1" s="241"/>
      <c r="AP1" s="240"/>
      <c r="AQ1" s="230"/>
      <c r="AS1" s="239"/>
      <c r="AU1" s="239"/>
    </row>
    <row r="2" spans="1:54" s="199" customFormat="1" x14ac:dyDescent="0.25">
      <c r="A2" s="208"/>
      <c r="B2" s="209" t="s">
        <v>153</v>
      </c>
      <c r="C2" s="210"/>
      <c r="D2" s="199" t="s">
        <v>154</v>
      </c>
      <c r="E2" s="211" t="s">
        <v>154</v>
      </c>
      <c r="G2" s="212" t="s">
        <v>145</v>
      </c>
      <c r="H2" s="199" t="s">
        <v>116</v>
      </c>
      <c r="I2" s="199" t="s">
        <v>155</v>
      </c>
      <c r="J2" s="199" t="s">
        <v>94</v>
      </c>
      <c r="K2" s="213" t="s">
        <v>156</v>
      </c>
      <c r="L2" s="199" t="s">
        <v>157</v>
      </c>
      <c r="M2" s="214" t="s">
        <v>158</v>
      </c>
      <c r="N2" s="199" t="s">
        <v>159</v>
      </c>
      <c r="O2" s="214" t="s">
        <v>160</v>
      </c>
      <c r="P2" s="214" t="s">
        <v>161</v>
      </c>
      <c r="Q2" s="211" t="s">
        <v>162</v>
      </c>
      <c r="S2" s="215">
        <v>35226</v>
      </c>
      <c r="T2" s="216">
        <v>36161</v>
      </c>
      <c r="V2" s="217" t="s">
        <v>146</v>
      </c>
      <c r="W2" s="199" t="s">
        <v>116</v>
      </c>
      <c r="X2" s="199" t="s">
        <v>155</v>
      </c>
      <c r="Y2" s="199" t="s">
        <v>94</v>
      </c>
      <c r="Z2" s="199" t="s">
        <v>163</v>
      </c>
      <c r="AA2" s="199" t="s">
        <v>164</v>
      </c>
      <c r="AB2" s="199" t="s">
        <v>158</v>
      </c>
      <c r="AC2" s="199" t="s">
        <v>159</v>
      </c>
      <c r="AD2" s="199" t="s">
        <v>160</v>
      </c>
      <c r="AE2" s="199" t="s">
        <v>161</v>
      </c>
      <c r="AF2" s="199" t="s">
        <v>162</v>
      </c>
      <c r="AG2" s="213" t="s">
        <v>165</v>
      </c>
      <c r="AH2" s="211" t="s">
        <v>165</v>
      </c>
      <c r="AI2" s="230"/>
      <c r="AJ2" s="230"/>
      <c r="AK2" s="230"/>
      <c r="AM2" s="230"/>
      <c r="AO2" s="230"/>
      <c r="AP2" s="213"/>
      <c r="AQ2" s="230"/>
      <c r="AS2" s="214"/>
      <c r="AV2" s="213"/>
      <c r="AZ2" s="213"/>
      <c r="BB2" s="214"/>
    </row>
    <row r="3" spans="1:54" s="199" customFormat="1" x14ac:dyDescent="0.25">
      <c r="A3" s="218" t="s">
        <v>166</v>
      </c>
      <c r="B3" s="219" t="s">
        <v>167</v>
      </c>
      <c r="C3" s="210" t="s">
        <v>168</v>
      </c>
      <c r="D3" s="199" t="s">
        <v>169</v>
      </c>
      <c r="E3" s="211" t="s">
        <v>170</v>
      </c>
      <c r="G3" s="212" t="s">
        <v>171</v>
      </c>
      <c r="H3" s="199" t="s">
        <v>145</v>
      </c>
      <c r="I3" s="199" t="s">
        <v>145</v>
      </c>
      <c r="J3" s="199" t="s">
        <v>145</v>
      </c>
      <c r="K3" s="213" t="s">
        <v>145</v>
      </c>
      <c r="L3" s="199" t="s">
        <v>145</v>
      </c>
      <c r="M3" s="214" t="s">
        <v>145</v>
      </c>
      <c r="N3" s="199" t="s">
        <v>145</v>
      </c>
      <c r="O3" s="214" t="s">
        <v>145</v>
      </c>
      <c r="P3" s="214" t="s">
        <v>145</v>
      </c>
      <c r="Q3" s="211" t="s">
        <v>172</v>
      </c>
      <c r="S3" s="217" t="s">
        <v>173</v>
      </c>
      <c r="T3" s="211" t="s">
        <v>173</v>
      </c>
      <c r="V3" s="217" t="s">
        <v>173</v>
      </c>
      <c r="W3" s="199" t="s">
        <v>173</v>
      </c>
      <c r="X3" s="199" t="s">
        <v>173</v>
      </c>
      <c r="Y3" s="199" t="s">
        <v>173</v>
      </c>
      <c r="Z3" s="199" t="s">
        <v>173</v>
      </c>
      <c r="AA3" s="199" t="s">
        <v>173</v>
      </c>
      <c r="AB3" s="199" t="s">
        <v>173</v>
      </c>
      <c r="AC3" s="199" t="s">
        <v>173</v>
      </c>
      <c r="AD3" s="199" t="s">
        <v>173</v>
      </c>
      <c r="AE3" s="199" t="s">
        <v>173</v>
      </c>
      <c r="AF3" s="199" t="s">
        <v>172</v>
      </c>
      <c r="AG3" s="220" t="s">
        <v>174</v>
      </c>
      <c r="AH3" s="221" t="s">
        <v>175</v>
      </c>
      <c r="AI3" s="230"/>
      <c r="AJ3" s="230"/>
      <c r="AK3" s="230"/>
      <c r="AM3" s="230"/>
      <c r="AO3" s="230"/>
      <c r="AP3" s="213"/>
      <c r="AQ3" s="230"/>
      <c r="AS3" s="214"/>
      <c r="AV3" s="213"/>
      <c r="AZ3" s="213"/>
      <c r="BB3" s="214"/>
    </row>
    <row r="4" spans="1:54" s="199" customFormat="1" x14ac:dyDescent="0.25">
      <c r="A4" s="222"/>
      <c r="B4" s="223" t="s">
        <v>176</v>
      </c>
      <c r="C4" s="224" t="s">
        <v>177</v>
      </c>
      <c r="D4" s="225" t="s">
        <v>178</v>
      </c>
      <c r="E4" s="226" t="s">
        <v>179</v>
      </c>
      <c r="G4" s="227" t="s">
        <v>180</v>
      </c>
      <c r="H4" s="225" t="s">
        <v>181</v>
      </c>
      <c r="I4" s="225" t="s">
        <v>182</v>
      </c>
      <c r="J4" s="225" t="s">
        <v>183</v>
      </c>
      <c r="K4" s="228" t="s">
        <v>184</v>
      </c>
      <c r="L4" s="225" t="s">
        <v>185</v>
      </c>
      <c r="M4" s="225" t="s">
        <v>186</v>
      </c>
      <c r="N4" s="225" t="s">
        <v>187</v>
      </c>
      <c r="O4" s="225" t="s">
        <v>188</v>
      </c>
      <c r="P4" s="225" t="s">
        <v>189</v>
      </c>
      <c r="Q4" s="226" t="s">
        <v>190</v>
      </c>
      <c r="S4" s="229" t="s">
        <v>177</v>
      </c>
      <c r="T4" s="226" t="s">
        <v>178</v>
      </c>
      <c r="U4" s="230"/>
      <c r="V4" s="229" t="s">
        <v>179</v>
      </c>
      <c r="W4" s="225" t="s">
        <v>180</v>
      </c>
      <c r="X4" s="225" t="s">
        <v>181</v>
      </c>
      <c r="Y4" s="228" t="s">
        <v>182</v>
      </c>
      <c r="Z4" s="225" t="s">
        <v>183</v>
      </c>
      <c r="AA4" s="225" t="s">
        <v>184</v>
      </c>
      <c r="AB4" s="225" t="s">
        <v>185</v>
      </c>
      <c r="AC4" s="225" t="s">
        <v>186</v>
      </c>
      <c r="AD4" s="225" t="s">
        <v>187</v>
      </c>
      <c r="AE4" s="225" t="s">
        <v>188</v>
      </c>
      <c r="AF4" s="231" t="s">
        <v>189</v>
      </c>
      <c r="AG4" s="225" t="s">
        <v>190</v>
      </c>
      <c r="AH4" s="232" t="s">
        <v>191</v>
      </c>
      <c r="AI4" s="230"/>
      <c r="AJ4" s="230"/>
      <c r="AK4" s="230"/>
      <c r="AM4" s="230"/>
      <c r="AO4" s="230"/>
      <c r="AP4" s="213"/>
      <c r="AQ4" s="230"/>
      <c r="AS4" s="214"/>
      <c r="AV4" s="213"/>
      <c r="AZ4" s="213"/>
      <c r="BB4" s="214"/>
    </row>
    <row r="6" spans="1:54" x14ac:dyDescent="0.25">
      <c r="A6" s="134" t="s">
        <v>32</v>
      </c>
      <c r="B6" s="233"/>
      <c r="C6" s="234">
        <v>26849999999</v>
      </c>
      <c r="D6" s="235">
        <v>2872947678.7441454</v>
      </c>
      <c r="E6" s="235">
        <v>3192164087.4934945</v>
      </c>
      <c r="F6" s="235">
        <v>0</v>
      </c>
      <c r="G6" s="235">
        <v>903791586.83646715</v>
      </c>
      <c r="H6" s="235">
        <v>201920255.56580007</v>
      </c>
      <c r="I6" s="235">
        <v>142194562.59719023</v>
      </c>
      <c r="J6" s="235">
        <v>1011584115.8951732</v>
      </c>
      <c r="K6" s="235">
        <v>93533107.4476109</v>
      </c>
      <c r="L6" s="235">
        <v>11303463.637070142</v>
      </c>
      <c r="M6" s="235">
        <v>92978837.092709005</v>
      </c>
      <c r="N6" s="235">
        <v>2457305929.0720205</v>
      </c>
      <c r="O6" s="235">
        <v>296053469.98897374</v>
      </c>
      <c r="P6" s="235">
        <v>-45842542.396354765</v>
      </c>
      <c r="Q6" s="235">
        <v>2707516856.6646395</v>
      </c>
      <c r="R6" s="234">
        <v>0</v>
      </c>
      <c r="S6" s="236">
        <v>11.888879283472562</v>
      </c>
      <c r="T6" s="236">
        <v>10.699991355125309</v>
      </c>
      <c r="U6" s="236"/>
      <c r="V6" s="236">
        <v>3.3660766736317611</v>
      </c>
      <c r="W6" s="236">
        <v>0.75203074701422856</v>
      </c>
      <c r="X6" s="236">
        <v>0.52958868753253674</v>
      </c>
      <c r="Y6" s="236">
        <v>3.767538606826252</v>
      </c>
      <c r="Z6" s="236">
        <v>0.3483542176949514</v>
      </c>
      <c r="AA6" s="236">
        <v>4.2098561033486505E-2</v>
      </c>
      <c r="AB6" s="236">
        <v>0.34628989607512811</v>
      </c>
      <c r="AC6" s="236">
        <v>9.1519773898083443</v>
      </c>
      <c r="AD6" s="236">
        <v>1.1026199999999997</v>
      </c>
      <c r="AE6" s="236">
        <v>-0.17073572587732633</v>
      </c>
      <c r="AF6" s="236">
        <v>10.083861663931017</v>
      </c>
      <c r="AG6" s="237">
        <v>-0.15182403458758376</v>
      </c>
      <c r="AH6" s="237">
        <v>-5.7582260652870948E-2</v>
      </c>
      <c r="AI6" s="236"/>
      <c r="AJ6" s="234"/>
      <c r="AK6" s="234"/>
      <c r="AL6" s="234"/>
      <c r="AM6" s="234">
        <f>'[1]For rate design'!AM10</f>
        <v>0</v>
      </c>
      <c r="AN6" s="234">
        <f>'[1]For rate design'!AN10</f>
        <v>1002244329.8279476</v>
      </c>
    </row>
    <row r="7" spans="1:54" x14ac:dyDescent="0.25">
      <c r="B7" s="238"/>
      <c r="C7" s="234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4"/>
      <c r="S7" s="236" t="s">
        <v>197</v>
      </c>
      <c r="T7" s="236" t="s">
        <v>197</v>
      </c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7"/>
      <c r="AH7" s="237"/>
      <c r="AI7" s="236"/>
      <c r="AJ7" s="234"/>
      <c r="AK7" s="234"/>
      <c r="AL7" s="234"/>
      <c r="AM7" s="234"/>
      <c r="AN7" s="234"/>
    </row>
    <row r="8" spans="1:54" x14ac:dyDescent="0.25">
      <c r="A8" s="134" t="s">
        <v>33</v>
      </c>
      <c r="B8" s="238"/>
      <c r="C8" s="234">
        <v>7341842982.4262733</v>
      </c>
      <c r="D8" s="235">
        <v>827131406.94010377</v>
      </c>
      <c r="E8" s="235">
        <v>918984728.82207417</v>
      </c>
      <c r="F8" s="235">
        <v>0</v>
      </c>
      <c r="G8" s="235">
        <v>260347119.25839412</v>
      </c>
      <c r="H8" s="235">
        <v>55119282.456394084</v>
      </c>
      <c r="I8" s="235">
        <v>38189397.792685002</v>
      </c>
      <c r="J8" s="235">
        <v>285332853.78398383</v>
      </c>
      <c r="K8" s="235">
        <v>26972077.326258734</v>
      </c>
      <c r="L8" s="235">
        <v>3090810.2489394709</v>
      </c>
      <c r="M8" s="235">
        <v>24971338.304786205</v>
      </c>
      <c r="N8" s="235">
        <v>694022879.17144156</v>
      </c>
      <c r="O8" s="235">
        <v>84603370.791578397</v>
      </c>
      <c r="P8" s="235">
        <v>-13100449.768522905</v>
      </c>
      <c r="Q8" s="235">
        <v>765525800.19449699</v>
      </c>
      <c r="R8" s="234">
        <v>0</v>
      </c>
      <c r="S8" s="236">
        <v>12.517085029219398</v>
      </c>
      <c r="T8" s="236">
        <v>11.265991508126207</v>
      </c>
      <c r="U8" s="236"/>
      <c r="V8" s="236">
        <v>3.5460731029194075</v>
      </c>
      <c r="W8" s="236">
        <v>0.75075539736180386</v>
      </c>
      <c r="X8" s="236">
        <v>0.52016091714432822</v>
      </c>
      <c r="Y8" s="236">
        <v>3.8863927554289552</v>
      </c>
      <c r="Z8" s="236">
        <v>0.36737475032931333</v>
      </c>
      <c r="AA8" s="236">
        <v>4.2098561033486505E-2</v>
      </c>
      <c r="AB8" s="236">
        <v>0.34012356794552256</v>
      </c>
      <c r="AC8" s="236">
        <v>9.452979052162819</v>
      </c>
      <c r="AD8" s="236">
        <v>1.1523451399612927</v>
      </c>
      <c r="AE8" s="236">
        <v>-0.17843543916535209</v>
      </c>
      <c r="AF8" s="236">
        <v>10.426888752958758</v>
      </c>
      <c r="AG8" s="237">
        <v>-0.16698746324574515</v>
      </c>
      <c r="AH8" s="237">
        <v>-7.4481039202115448E-2</v>
      </c>
      <c r="AI8" s="236"/>
      <c r="AJ8" s="234"/>
      <c r="AK8" s="234"/>
      <c r="AL8" s="234"/>
      <c r="AM8" s="234">
        <f>'[1]For rate design'!AM14+'[1]For rate design'!AM15+'[1]For rate design'!AM16</f>
        <v>0</v>
      </c>
      <c r="AN8" s="234">
        <f>'[1]For rate design'!AN14+'[1]For rate design'!AN15+'[1]For rate design'!AN16</f>
        <v>265445768.89871022</v>
      </c>
    </row>
    <row r="9" spans="1:54" x14ac:dyDescent="0.25">
      <c r="B9" s="238"/>
      <c r="C9" s="234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4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7"/>
      <c r="AH9" s="237"/>
      <c r="AI9" s="236"/>
      <c r="AJ9" s="234"/>
      <c r="AK9" s="234"/>
      <c r="AL9" s="234"/>
      <c r="AM9" s="234"/>
      <c r="AN9" s="234"/>
    </row>
    <row r="10" spans="1:54" x14ac:dyDescent="0.25">
      <c r="A10" s="134" t="s">
        <v>34</v>
      </c>
      <c r="B10" s="238"/>
      <c r="C10" s="234">
        <v>17321063452.825062</v>
      </c>
      <c r="D10" s="235">
        <v>1662091668.5053949</v>
      </c>
      <c r="E10" s="235">
        <v>1665401013.2203269</v>
      </c>
      <c r="F10" s="235">
        <v>0</v>
      </c>
      <c r="G10" s="235">
        <v>606868775.65250421</v>
      </c>
      <c r="H10" s="235">
        <v>111066830.92318219</v>
      </c>
      <c r="I10" s="235">
        <v>86684162.337868601</v>
      </c>
      <c r="J10" s="235">
        <v>350445651.36595809</v>
      </c>
      <c r="K10" s="235">
        <v>50367052.005948015</v>
      </c>
      <c r="L10" s="235">
        <v>7291918.4693364846</v>
      </c>
      <c r="M10" s="235">
        <v>56681243.029280566</v>
      </c>
      <c r="N10" s="235">
        <v>1269405633.7840784</v>
      </c>
      <c r="O10" s="235">
        <v>3414506.0398282753</v>
      </c>
      <c r="P10" s="235">
        <v>-528720.83512234094</v>
      </c>
      <c r="Q10" s="235">
        <v>1272291418.9887843</v>
      </c>
      <c r="R10" s="234">
        <v>0</v>
      </c>
      <c r="S10" s="236">
        <v>9.6148889342513222</v>
      </c>
      <c r="T10" s="236">
        <v>9.5957830362564032</v>
      </c>
      <c r="U10" s="236"/>
      <c r="V10" s="236">
        <v>3.5036461664455372</v>
      </c>
      <c r="W10" s="236">
        <v>0.64122408664848585</v>
      </c>
      <c r="X10" s="236">
        <v>0.50045519764971724</v>
      </c>
      <c r="Y10" s="236">
        <v>2.0232340371041162</v>
      </c>
      <c r="Z10" s="236">
        <v>0.29078498640182027</v>
      </c>
      <c r="AA10" s="236">
        <v>4.2098561033486505E-2</v>
      </c>
      <c r="AB10" s="236">
        <v>0.32723881639054825</v>
      </c>
      <c r="AC10" s="236">
        <v>7.3286818516737116</v>
      </c>
      <c r="AD10" s="236">
        <v>1.9713027719850364E-2</v>
      </c>
      <c r="AE10" s="236">
        <v>-3.0524732881577585E-3</v>
      </c>
      <c r="AF10" s="236">
        <v>7.3453424061054058</v>
      </c>
      <c r="AG10" s="237">
        <v>-0.23604500724507216</v>
      </c>
      <c r="AH10" s="237">
        <v>-0.23452391760505681</v>
      </c>
      <c r="AI10" s="236"/>
      <c r="AJ10" s="234"/>
      <c r="AK10" s="234"/>
      <c r="AL10" s="234"/>
      <c r="AM10" s="234">
        <f>'[1]For rate design'!AM28</f>
        <v>0</v>
      </c>
      <c r="AN10" s="234">
        <f>'[1]For rate design'!AN28</f>
        <v>365226550.09842366</v>
      </c>
    </row>
    <row r="11" spans="1:54" x14ac:dyDescent="0.25">
      <c r="B11" s="238"/>
      <c r="C11" s="234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4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7"/>
      <c r="AH11" s="237"/>
      <c r="AI11" s="236"/>
      <c r="AJ11" s="234"/>
      <c r="AK11" s="234"/>
      <c r="AL11" s="234"/>
      <c r="AM11" s="234"/>
      <c r="AN11" s="234"/>
    </row>
    <row r="12" spans="1:54" x14ac:dyDescent="0.25">
      <c r="A12" s="134" t="s">
        <v>35</v>
      </c>
      <c r="B12" s="238"/>
      <c r="C12" s="234">
        <v>3548799999</v>
      </c>
      <c r="D12" s="235">
        <v>388432628.2328012</v>
      </c>
      <c r="E12" s="235">
        <v>388432628.2328012</v>
      </c>
      <c r="F12" s="235">
        <v>0</v>
      </c>
      <c r="G12" s="235">
        <v>122773186.04888618</v>
      </c>
      <c r="H12" s="235">
        <v>28066495.242577903</v>
      </c>
      <c r="I12" s="235">
        <v>14966001.487530828</v>
      </c>
      <c r="J12" s="235">
        <v>149963366.82171956</v>
      </c>
      <c r="K12" s="235">
        <v>11565512.037865994</v>
      </c>
      <c r="L12" s="235">
        <v>1493993.7335353836</v>
      </c>
      <c r="M12" s="235">
        <v>9786038.1495759487</v>
      </c>
      <c r="N12" s="235">
        <v>338614593.5216918</v>
      </c>
      <c r="O12" s="235">
        <v>0</v>
      </c>
      <c r="P12" s="235">
        <v>0</v>
      </c>
      <c r="Q12" s="235">
        <v>338614593.5216918</v>
      </c>
      <c r="R12" s="234">
        <v>0</v>
      </c>
      <c r="S12" s="236">
        <v>10.94546405382822</v>
      </c>
      <c r="T12" s="236">
        <v>10.94546405382822</v>
      </c>
      <c r="U12" s="236"/>
      <c r="V12" s="236">
        <v>3.4595690397734975</v>
      </c>
      <c r="W12" s="236">
        <v>0.79087283731082703</v>
      </c>
      <c r="X12" s="236">
        <v>0.42172006006954543</v>
      </c>
      <c r="Y12" s="236">
        <v>4.2257486154186497</v>
      </c>
      <c r="Z12" s="236">
        <v>0.32589923470257515</v>
      </c>
      <c r="AA12" s="236">
        <v>4.2098561033486505E-2</v>
      </c>
      <c r="AB12" s="236">
        <v>0.27575625992824371</v>
      </c>
      <c r="AC12" s="236">
        <v>9.5416646082368253</v>
      </c>
      <c r="AD12" s="236">
        <v>0</v>
      </c>
      <c r="AE12" s="236">
        <v>0</v>
      </c>
      <c r="AF12" s="236">
        <v>9.5416646082368253</v>
      </c>
      <c r="AG12" s="237">
        <v>-0.12825399075705793</v>
      </c>
      <c r="AH12" s="237">
        <v>-0.12825399075705793</v>
      </c>
      <c r="AI12" s="236"/>
      <c r="AJ12" s="234"/>
      <c r="AK12" s="234"/>
      <c r="AL12" s="234"/>
      <c r="AM12" s="234">
        <f>'[1]For rate design'!AM89</f>
        <v>0</v>
      </c>
      <c r="AN12" s="234">
        <f>'[1]For rate design'!AN89</f>
        <v>133359561.3879858</v>
      </c>
    </row>
    <row r="13" spans="1:54" x14ac:dyDescent="0.25">
      <c r="B13" s="238"/>
      <c r="C13" s="234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4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7"/>
      <c r="AH13" s="237"/>
      <c r="AI13" s="236"/>
      <c r="AJ13" s="234"/>
      <c r="AK13" s="234"/>
      <c r="AL13" s="234"/>
      <c r="AM13" s="234"/>
      <c r="AN13" s="234"/>
    </row>
    <row r="14" spans="1:54" x14ac:dyDescent="0.25">
      <c r="A14" s="134" t="s">
        <v>192</v>
      </c>
      <c r="B14" s="238" t="s">
        <v>38</v>
      </c>
      <c r="C14" s="234">
        <v>5918732.0006073425</v>
      </c>
      <c r="D14" s="235">
        <v>484374.37593012687</v>
      </c>
      <c r="E14" s="235">
        <v>484374.37593012687</v>
      </c>
      <c r="F14" s="235">
        <v>0</v>
      </c>
      <c r="G14" s="235">
        <v>197828.49013299023</v>
      </c>
      <c r="H14" s="235">
        <v>30528.210592629079</v>
      </c>
      <c r="I14" s="235">
        <v>22652.786842117879</v>
      </c>
      <c r="J14" s="235">
        <v>49716.776070223044</v>
      </c>
      <c r="K14" s="235">
        <v>14975.391991816099</v>
      </c>
      <c r="L14" s="235">
        <v>2491.7010036841789</v>
      </c>
      <c r="M14" s="235">
        <v>14812.308846546284</v>
      </c>
      <c r="N14" s="235">
        <v>333005.66548000678</v>
      </c>
      <c r="O14" s="235">
        <v>0</v>
      </c>
      <c r="P14" s="235">
        <v>0</v>
      </c>
      <c r="Q14" s="235">
        <v>333005.66548000678</v>
      </c>
      <c r="R14" s="234">
        <v>0</v>
      </c>
      <c r="S14" s="236">
        <v>8.1837524638794843</v>
      </c>
      <c r="T14" s="236">
        <v>8.1837524638794843</v>
      </c>
      <c r="U14" s="236"/>
      <c r="V14" s="236">
        <v>3.3424133769309092</v>
      </c>
      <c r="W14" s="236">
        <v>0.51578970951035574</v>
      </c>
      <c r="X14" s="236">
        <v>0.38273040306257144</v>
      </c>
      <c r="Y14" s="236">
        <v>0.83999032335171497</v>
      </c>
      <c r="Z14" s="236">
        <v>0.25301689602231392</v>
      </c>
      <c r="AA14" s="236">
        <v>4.2098561033486505E-2</v>
      </c>
      <c r="AB14" s="236">
        <v>0.25026152299219395</v>
      </c>
      <c r="AC14" s="236">
        <v>5.6263007929035451</v>
      </c>
      <c r="AD14" s="236">
        <v>0</v>
      </c>
      <c r="AE14" s="236">
        <v>0</v>
      </c>
      <c r="AF14" s="236">
        <v>5.6263007929035451</v>
      </c>
      <c r="AG14" s="237">
        <v>-0.31250354678538095</v>
      </c>
      <c r="AH14" s="237">
        <v>-0.31250354678538095</v>
      </c>
      <c r="AI14" s="236"/>
      <c r="AJ14" s="234"/>
      <c r="AK14" s="234"/>
      <c r="AL14" s="234"/>
      <c r="AM14" s="234">
        <f>'[1]For rate design'!AM50</f>
        <v>0</v>
      </c>
      <c r="AN14" s="234">
        <f>'[1]For rate design'!AN50</f>
        <v>76354.486192677592</v>
      </c>
    </row>
    <row r="15" spans="1:54" x14ac:dyDescent="0.25">
      <c r="B15" s="238" t="s">
        <v>39</v>
      </c>
      <c r="C15" s="234">
        <v>534824662.28554738</v>
      </c>
      <c r="D15" s="235">
        <v>41260459.924086578</v>
      </c>
      <c r="E15" s="235">
        <v>41260459.924086578</v>
      </c>
      <c r="F15" s="235">
        <v>0</v>
      </c>
      <c r="G15" s="235">
        <v>17992345.025668442</v>
      </c>
      <c r="H15" s="235">
        <v>2758570.5719923656</v>
      </c>
      <c r="I15" s="235">
        <v>2174584.3229558705</v>
      </c>
      <c r="J15" s="235">
        <v>6827539.8834043434</v>
      </c>
      <c r="K15" s="235">
        <v>1287002.9061650732</v>
      </c>
      <c r="L15" s="235">
        <v>225153.48687441924</v>
      </c>
      <c r="M15" s="235">
        <v>1421869.5705042647</v>
      </c>
      <c r="N15" s="235">
        <v>32687065.767564781</v>
      </c>
      <c r="O15" s="235">
        <v>0</v>
      </c>
      <c r="P15" s="235">
        <v>0</v>
      </c>
      <c r="Q15" s="235">
        <v>32687065.767564781</v>
      </c>
      <c r="R15" s="234">
        <v>0</v>
      </c>
      <c r="S15" s="236">
        <v>7.7147638906108025</v>
      </c>
      <c r="T15" s="236">
        <v>7.7147638906108025</v>
      </c>
      <c r="U15" s="236"/>
      <c r="V15" s="236">
        <v>3.364157693996201</v>
      </c>
      <c r="W15" s="236">
        <v>0.51578970951035563</v>
      </c>
      <c r="X15" s="236">
        <v>0.40659761531244454</v>
      </c>
      <c r="Y15" s="236">
        <v>1.2765940624778187</v>
      </c>
      <c r="Z15" s="236">
        <v>0.24064015684413811</v>
      </c>
      <c r="AA15" s="236">
        <v>4.2098561033486505E-2</v>
      </c>
      <c r="AB15" s="236">
        <v>0.26585714361562418</v>
      </c>
      <c r="AC15" s="236">
        <v>6.1117349427900693</v>
      </c>
      <c r="AD15" s="236">
        <v>0</v>
      </c>
      <c r="AE15" s="236">
        <v>0</v>
      </c>
      <c r="AF15" s="236">
        <v>6.1117349427900693</v>
      </c>
      <c r="AG15" s="237">
        <v>-0.20778716893354152</v>
      </c>
      <c r="AH15" s="237">
        <v>-0.20778716893354152</v>
      </c>
      <c r="AI15" s="236"/>
      <c r="AJ15" s="234"/>
      <c r="AK15" s="234"/>
      <c r="AL15" s="234"/>
      <c r="AM15" s="234">
        <f>'[1]For rate design'!AM51</f>
        <v>0</v>
      </c>
      <c r="AN15" s="234">
        <f>'[1]For rate design'!AN51</f>
        <v>6136691.65955857</v>
      </c>
    </row>
    <row r="16" spans="1:54" x14ac:dyDescent="0.25">
      <c r="B16" s="238" t="s">
        <v>40</v>
      </c>
      <c r="C16" s="234">
        <v>3727881537.130599</v>
      </c>
      <c r="D16" s="235">
        <v>344891617.99268144</v>
      </c>
      <c r="E16" s="235">
        <v>344891617.99268144</v>
      </c>
      <c r="F16" s="235">
        <v>0</v>
      </c>
      <c r="G16" s="235">
        <v>130116612.02834794</v>
      </c>
      <c r="H16" s="235">
        <v>22010199.74612397</v>
      </c>
      <c r="I16" s="235">
        <v>15912071.941929081</v>
      </c>
      <c r="J16" s="235">
        <v>60569353.537806049</v>
      </c>
      <c r="K16" s="235">
        <v>10482794.090037087</v>
      </c>
      <c r="L16" s="235">
        <v>1569384.484165</v>
      </c>
      <c r="M16" s="235">
        <v>10404567.059036382</v>
      </c>
      <c r="N16" s="235">
        <v>251064982.88744548</v>
      </c>
      <c r="O16" s="235">
        <v>0</v>
      </c>
      <c r="P16" s="235">
        <v>0</v>
      </c>
      <c r="Q16" s="235">
        <v>251064982.88744548</v>
      </c>
      <c r="R16" s="234">
        <v>0</v>
      </c>
      <c r="S16" s="236">
        <v>9.2516785889647437</v>
      </c>
      <c r="T16" s="236">
        <v>9.2516785889647437</v>
      </c>
      <c r="U16" s="236"/>
      <c r="V16" s="236">
        <v>3.4903633801759821</v>
      </c>
      <c r="W16" s="236">
        <v>0.59042111523386875</v>
      </c>
      <c r="X16" s="236">
        <v>0.42683952758264998</v>
      </c>
      <c r="Y16" s="236">
        <v>1.6247660483446342</v>
      </c>
      <c r="Z16" s="236">
        <v>0.28119976414555908</v>
      </c>
      <c r="AA16" s="236">
        <v>4.2098561033486505E-2</v>
      </c>
      <c r="AB16" s="236">
        <v>0.27910133289924544</v>
      </c>
      <c r="AC16" s="236">
        <v>6.734789729415426</v>
      </c>
      <c r="AD16" s="236">
        <v>0</v>
      </c>
      <c r="AE16" s="236">
        <v>0</v>
      </c>
      <c r="AF16" s="236">
        <v>6.734789729415426</v>
      </c>
      <c r="AG16" s="237">
        <v>-0.27204672485611686</v>
      </c>
      <c r="AH16" s="237">
        <v>-0.27204672485611686</v>
      </c>
      <c r="AI16" s="236"/>
      <c r="AJ16" s="234"/>
      <c r="AK16" s="234"/>
      <c r="AL16" s="234"/>
      <c r="AM16" s="234">
        <f>'[1]For rate design'!AM52</f>
        <v>0</v>
      </c>
      <c r="AN16" s="234">
        <f>'[1]For rate design'!AN52</f>
        <v>70257982.027482331</v>
      </c>
    </row>
    <row r="17" spans="1:40" x14ac:dyDescent="0.25">
      <c r="A17" s="134" t="s">
        <v>193</v>
      </c>
      <c r="B17" s="238"/>
      <c r="C17" s="234">
        <v>4268624931.4167538</v>
      </c>
      <c r="D17" s="235">
        <v>386636452.29269814</v>
      </c>
      <c r="E17" s="235">
        <v>386636452.29269814</v>
      </c>
      <c r="F17" s="235">
        <v>0</v>
      </c>
      <c r="G17" s="235">
        <v>148306785.54414937</v>
      </c>
      <c r="H17" s="235">
        <v>24799298.528708965</v>
      </c>
      <c r="I17" s="235">
        <v>18109309.051727071</v>
      </c>
      <c r="J17" s="235">
        <v>67446610.197280616</v>
      </c>
      <c r="K17" s="235">
        <v>11784772.388193976</v>
      </c>
      <c r="L17" s="235">
        <v>1797029.6720431035</v>
      </c>
      <c r="M17" s="235">
        <v>11841248.938387193</v>
      </c>
      <c r="N17" s="235">
        <v>284085054.32049024</v>
      </c>
      <c r="O17" s="235">
        <v>0</v>
      </c>
      <c r="P17" s="235">
        <v>0</v>
      </c>
      <c r="Q17" s="235">
        <v>284085054.32049024</v>
      </c>
      <c r="R17" s="234">
        <v>0</v>
      </c>
      <c r="S17" s="236">
        <v>9.0576346834101855</v>
      </c>
      <c r="T17" s="236">
        <v>9.0576346834101855</v>
      </c>
      <c r="U17" s="236"/>
      <c r="V17" s="236">
        <v>3.4743456716616805</v>
      </c>
      <c r="W17" s="236">
        <v>0.58096691386933574</v>
      </c>
      <c r="X17" s="236">
        <v>0.42424221717031024</v>
      </c>
      <c r="Y17" s="236">
        <v>1.580054731463491</v>
      </c>
      <c r="Z17" s="236">
        <v>0.27607889138862846</v>
      </c>
      <c r="AA17" s="236">
        <v>4.2098561033486505E-2</v>
      </c>
      <c r="AB17" s="236">
        <v>0.27740195329030909</v>
      </c>
      <c r="AC17" s="236">
        <v>6.6551889398772408</v>
      </c>
      <c r="AD17" s="236">
        <v>0</v>
      </c>
      <c r="AE17" s="236">
        <v>0</v>
      </c>
      <c r="AF17" s="236">
        <v>6.6551889398772408</v>
      </c>
      <c r="AG17" s="237">
        <v>-0.26523985869437033</v>
      </c>
      <c r="AH17" s="237">
        <v>-0.26523985869437033</v>
      </c>
      <c r="AI17" s="236"/>
      <c r="AJ17" s="234"/>
      <c r="AK17" s="234"/>
      <c r="AL17" s="234"/>
      <c r="AM17" s="234">
        <f>SUM(AM14:AM16)</f>
        <v>0</v>
      </c>
      <c r="AN17" s="234">
        <f>SUM(AN14:AN16)</f>
        <v>76471028.173233584</v>
      </c>
    </row>
    <row r="18" spans="1:40" x14ac:dyDescent="0.25">
      <c r="B18" s="238"/>
      <c r="C18" s="234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4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7"/>
      <c r="AH18" s="237"/>
      <c r="AI18" s="236"/>
      <c r="AJ18" s="234"/>
      <c r="AK18" s="234"/>
      <c r="AL18" s="234"/>
      <c r="AM18" s="234"/>
      <c r="AN18" s="234"/>
    </row>
    <row r="19" spans="1:40" x14ac:dyDescent="0.25">
      <c r="A19" s="134" t="s">
        <v>194</v>
      </c>
      <c r="B19" s="238" t="s">
        <v>38</v>
      </c>
      <c r="C19" s="234">
        <v>6320290897.0819321</v>
      </c>
      <c r="D19" s="235">
        <v>294234540.336631</v>
      </c>
      <c r="E19" s="235">
        <v>294234540.336631</v>
      </c>
      <c r="F19" s="235">
        <v>0</v>
      </c>
      <c r="G19" s="235">
        <v>200238264.45854646</v>
      </c>
      <c r="H19" s="235">
        <v>27126615.666351523</v>
      </c>
      <c r="I19" s="235">
        <v>26069887.724888049</v>
      </c>
      <c r="J19" s="235">
        <v>-4347722.9300267994</v>
      </c>
      <c r="K19" s="235">
        <v>10106307.777830515</v>
      </c>
      <c r="L19" s="235">
        <v>2660751.5208019288</v>
      </c>
      <c r="M19" s="235">
        <v>17045903.933289044</v>
      </c>
      <c r="N19" s="235">
        <v>278900008.15168071</v>
      </c>
      <c r="O19" s="235">
        <v>0</v>
      </c>
      <c r="P19" s="235">
        <v>0</v>
      </c>
      <c r="Q19" s="235">
        <v>278900008.15168071</v>
      </c>
      <c r="R19" s="234">
        <v>0</v>
      </c>
      <c r="S19" s="236">
        <v>4.6553955368174371</v>
      </c>
      <c r="T19" s="236">
        <v>4.6553955368174371</v>
      </c>
      <c r="U19" s="236"/>
      <c r="V19" s="236">
        <v>3.1681811441779701</v>
      </c>
      <c r="W19" s="236">
        <v>0.42919884714287182</v>
      </c>
      <c r="X19" s="236">
        <v>0.41247923789274438</v>
      </c>
      <c r="Y19" s="236">
        <v>-6.8789918072190884E-2</v>
      </c>
      <c r="Z19" s="236">
        <v>0.15990257319479678</v>
      </c>
      <c r="AA19" s="236">
        <v>4.2098561033486505E-2</v>
      </c>
      <c r="AB19" s="236">
        <v>0.26970125601590755</v>
      </c>
      <c r="AC19" s="236">
        <v>4.4127717013855863</v>
      </c>
      <c r="AD19" s="236">
        <v>0</v>
      </c>
      <c r="AE19" s="236">
        <v>0</v>
      </c>
      <c r="AF19" s="236">
        <v>4.4127717013855863</v>
      </c>
      <c r="AG19" s="237">
        <v>-5.2116696317863281E-2</v>
      </c>
      <c r="AH19" s="237">
        <v>-5.2116696317863281E-2</v>
      </c>
      <c r="AI19" s="236"/>
      <c r="AJ19" s="234"/>
      <c r="AK19" s="234"/>
      <c r="AL19" s="234"/>
      <c r="AM19" s="234">
        <f>'[1]For rate design'!AM110</f>
        <v>0</v>
      </c>
      <c r="AN19" s="234">
        <f>'[1]For rate design'!AN110</f>
        <v>9259808.3264383841</v>
      </c>
    </row>
    <row r="20" spans="1:40" x14ac:dyDescent="0.25">
      <c r="B20" s="238" t="s">
        <v>39</v>
      </c>
      <c r="C20" s="234">
        <v>6543660767.1894884</v>
      </c>
      <c r="D20" s="235">
        <v>444414702.18692636</v>
      </c>
      <c r="E20" s="235">
        <v>444414702.18692636</v>
      </c>
      <c r="F20" s="235">
        <v>0</v>
      </c>
      <c r="G20" s="235">
        <v>218570304.37373996</v>
      </c>
      <c r="H20" s="235">
        <v>32863370.548102882</v>
      </c>
      <c r="I20" s="235">
        <v>28777283.765185572</v>
      </c>
      <c r="J20" s="235">
        <v>71538338.229009315</v>
      </c>
      <c r="K20" s="235">
        <v>14152352.34496001</v>
      </c>
      <c r="L20" s="235">
        <v>2754787.0218995782</v>
      </c>
      <c r="M20" s="235">
        <v>18815917.686387714</v>
      </c>
      <c r="N20" s="235">
        <v>387472353.96928507</v>
      </c>
      <c r="O20" s="235">
        <v>0</v>
      </c>
      <c r="P20" s="235">
        <v>0</v>
      </c>
      <c r="Q20" s="235">
        <v>387472353.96928507</v>
      </c>
      <c r="R20" s="234">
        <v>0</v>
      </c>
      <c r="S20" s="236">
        <v>6.7915302763746892</v>
      </c>
      <c r="T20" s="236">
        <v>6.7915302763746892</v>
      </c>
      <c r="U20" s="236"/>
      <c r="V20" s="236">
        <v>3.3401839146318739</v>
      </c>
      <c r="W20" s="236">
        <v>0.50221690453274748</v>
      </c>
      <c r="X20" s="236">
        <v>0.43977346609221396</v>
      </c>
      <c r="Y20" s="236">
        <v>1.0932464376470898</v>
      </c>
      <c r="Z20" s="236">
        <v>0.21627576441494636</v>
      </c>
      <c r="AA20" s="236">
        <v>4.2098561033486505E-2</v>
      </c>
      <c r="AB20" s="236">
        <v>0.287544210432369</v>
      </c>
      <c r="AC20" s="236">
        <v>5.9213392587847276</v>
      </c>
      <c r="AD20" s="236">
        <v>0</v>
      </c>
      <c r="AE20" s="236">
        <v>0</v>
      </c>
      <c r="AF20" s="236">
        <v>5.9213392587847276</v>
      </c>
      <c r="AG20" s="237">
        <v>-0.12812885788303788</v>
      </c>
      <c r="AH20" s="237">
        <v>-0.12812885788303788</v>
      </c>
      <c r="AI20" s="236"/>
      <c r="AJ20" s="234"/>
      <c r="AK20" s="234"/>
      <c r="AL20" s="234"/>
      <c r="AM20" s="234">
        <f>'[1]For rate design'!AM111</f>
        <v>0</v>
      </c>
      <c r="AN20" s="234">
        <f>'[1]For rate design'!AN111</f>
        <v>65617606.001316115</v>
      </c>
    </row>
    <row r="21" spans="1:40" x14ac:dyDescent="0.25">
      <c r="B21" s="238" t="s">
        <v>40</v>
      </c>
      <c r="C21" s="234">
        <v>4092079705.60219</v>
      </c>
      <c r="D21" s="235">
        <v>340382016.87370819</v>
      </c>
      <c r="E21" s="235">
        <v>340382016.87370819</v>
      </c>
      <c r="F21" s="235">
        <v>0</v>
      </c>
      <c r="G21" s="235">
        <v>141747511.54202756</v>
      </c>
      <c r="H21" s="235">
        <v>22582253.646829776</v>
      </c>
      <c r="I21" s="235">
        <v>19427843.452795669</v>
      </c>
      <c r="J21" s="235">
        <v>60587106.859483927</v>
      </c>
      <c r="K21" s="235">
        <v>10498703.081500821</v>
      </c>
      <c r="L21" s="235">
        <v>1722706.6724018529</v>
      </c>
      <c r="M21" s="235">
        <v>12703149.738351239</v>
      </c>
      <c r="N21" s="235">
        <v>269269274.99339086</v>
      </c>
      <c r="O21" s="235">
        <v>0</v>
      </c>
      <c r="P21" s="235">
        <v>0</v>
      </c>
      <c r="Q21" s="235">
        <v>269269274.99339086</v>
      </c>
      <c r="R21" s="234">
        <v>0</v>
      </c>
      <c r="S21" s="236">
        <v>8.3180690837403333</v>
      </c>
      <c r="T21" s="236">
        <v>8.3180690837403333</v>
      </c>
      <c r="U21" s="236"/>
      <c r="V21" s="236">
        <v>3.4639479614233957</v>
      </c>
      <c r="W21" s="236">
        <v>0.55185273189849982</v>
      </c>
      <c r="X21" s="236">
        <v>0.47476698526175631</v>
      </c>
      <c r="Y21" s="236">
        <v>1.4805944951790213</v>
      </c>
      <c r="Z21" s="236">
        <v>0.25656154906092754</v>
      </c>
      <c r="AA21" s="236">
        <v>4.2098561033486505E-2</v>
      </c>
      <c r="AB21" s="236">
        <v>0.31043260767771003</v>
      </c>
      <c r="AC21" s="236">
        <v>6.580254891534798</v>
      </c>
      <c r="AD21" s="236">
        <v>0</v>
      </c>
      <c r="AE21" s="236">
        <v>0</v>
      </c>
      <c r="AF21" s="236">
        <v>6.580254891534798</v>
      </c>
      <c r="AG21" s="237">
        <v>-0.20892038461215848</v>
      </c>
      <c r="AH21" s="237">
        <v>-0.20892038461215848</v>
      </c>
      <c r="AI21" s="236"/>
      <c r="AJ21" s="234"/>
      <c r="AK21" s="234"/>
      <c r="AL21" s="234"/>
      <c r="AM21" s="234">
        <f>'[1]For rate design'!AM112</f>
        <v>0</v>
      </c>
      <c r="AN21" s="234">
        <f>'[1]For rate design'!AN112</f>
        <v>74730237.260795817</v>
      </c>
    </row>
    <row r="22" spans="1:40" x14ac:dyDescent="0.25">
      <c r="A22" s="134" t="s">
        <v>195</v>
      </c>
      <c r="B22" s="238"/>
      <c r="C22" s="234">
        <v>16956031369.87361</v>
      </c>
      <c r="D22" s="235">
        <v>1079031259.3972657</v>
      </c>
      <c r="E22" s="235">
        <v>1079031259.3972657</v>
      </c>
      <c r="F22" s="235">
        <v>0</v>
      </c>
      <c r="G22" s="235">
        <v>560556080.37431395</v>
      </c>
      <c r="H22" s="235">
        <v>82572239.861284181</v>
      </c>
      <c r="I22" s="235">
        <v>74275014.942869291</v>
      </c>
      <c r="J22" s="235">
        <v>127777722.15846644</v>
      </c>
      <c r="K22" s="235">
        <v>34757363.204291344</v>
      </c>
      <c r="L22" s="235">
        <v>7138245.2151033599</v>
      </c>
      <c r="M22" s="235">
        <v>48564971.358027995</v>
      </c>
      <c r="N22" s="235">
        <v>935641637.11435652</v>
      </c>
      <c r="O22" s="235">
        <v>0</v>
      </c>
      <c r="P22" s="235">
        <v>0</v>
      </c>
      <c r="Q22" s="235">
        <v>935641637.11435652</v>
      </c>
      <c r="R22" s="234">
        <v>0</v>
      </c>
      <c r="S22" s="236">
        <v>6.3637017168676593</v>
      </c>
      <c r="T22" s="236">
        <v>6.3637017168676593</v>
      </c>
      <c r="U22" s="236"/>
      <c r="V22" s="236">
        <v>3.3059391560826787</v>
      </c>
      <c r="W22" s="236">
        <v>0.48697857452654431</v>
      </c>
      <c r="X22" s="236">
        <v>0.43804480731756829</v>
      </c>
      <c r="Y22" s="236">
        <v>0.75358271856876669</v>
      </c>
      <c r="Z22" s="236">
        <v>0.20498524947321103</v>
      </c>
      <c r="AA22" s="236">
        <v>4.2098561033486505E-2</v>
      </c>
      <c r="AB22" s="236">
        <v>0.28641708840144708</v>
      </c>
      <c r="AC22" s="236">
        <v>5.5180461554037032</v>
      </c>
      <c r="AD22" s="236">
        <v>0</v>
      </c>
      <c r="AE22" s="236">
        <v>0</v>
      </c>
      <c r="AF22" s="236">
        <v>5.5180461554037032</v>
      </c>
      <c r="AG22" s="237">
        <v>-0.13288736636138321</v>
      </c>
      <c r="AH22" s="237">
        <v>-0.13288736636138321</v>
      </c>
      <c r="AI22" s="236"/>
      <c r="AJ22" s="234"/>
      <c r="AK22" s="234"/>
      <c r="AL22" s="234"/>
      <c r="AM22" s="234">
        <f>SUM(AM19:AM21)</f>
        <v>0</v>
      </c>
      <c r="AN22" s="234">
        <f>SUM(AN19:AN21)</f>
        <v>149607651.58855033</v>
      </c>
    </row>
    <row r="23" spans="1:40" x14ac:dyDescent="0.25">
      <c r="B23" s="238"/>
      <c r="C23" s="234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4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7"/>
      <c r="AH23" s="237"/>
      <c r="AI23" s="236"/>
      <c r="AJ23" s="234"/>
      <c r="AK23" s="234"/>
      <c r="AL23" s="234"/>
      <c r="AM23" s="234"/>
      <c r="AN23" s="234"/>
    </row>
    <row r="24" spans="1:40" x14ac:dyDescent="0.25">
      <c r="A24" s="134" t="s">
        <v>41</v>
      </c>
      <c r="B24" s="238"/>
      <c r="C24" s="234">
        <v>237442979</v>
      </c>
      <c r="D24" s="235">
        <v>20027933.356832772</v>
      </c>
      <c r="E24" s="235">
        <v>20027933.356832772</v>
      </c>
      <c r="F24" s="235">
        <v>0</v>
      </c>
      <c r="G24" s="235">
        <v>7205711.4741665795</v>
      </c>
      <c r="H24" s="235">
        <v>540836.53503326722</v>
      </c>
      <c r="I24" s="235">
        <v>5189206.688537159</v>
      </c>
      <c r="J24" s="235">
        <v>3851329.7852179115</v>
      </c>
      <c r="K24" s="235">
        <v>616504.41521064797</v>
      </c>
      <c r="L24" s="235">
        <v>99960.077434043546</v>
      </c>
      <c r="M24" s="235">
        <v>3393142.427679766</v>
      </c>
      <c r="N24" s="235">
        <v>20896691.403279375</v>
      </c>
      <c r="O24" s="235">
        <v>0</v>
      </c>
      <c r="P24" s="235">
        <v>0</v>
      </c>
      <c r="Q24" s="235">
        <v>20896691.403279375</v>
      </c>
      <c r="R24" s="234">
        <v>0</v>
      </c>
      <c r="S24" s="236">
        <v>8.434839152196103</v>
      </c>
      <c r="T24" s="236">
        <v>8.434839152196103</v>
      </c>
      <c r="U24" s="236"/>
      <c r="V24" s="236">
        <v>3.0347123778996137</v>
      </c>
      <c r="W24" s="236">
        <v>0.22777533254974333</v>
      </c>
      <c r="X24" s="236">
        <v>2.1854538341759766</v>
      </c>
      <c r="Y24" s="236">
        <v>1.6220019650351132</v>
      </c>
      <c r="Z24" s="236">
        <v>0.25964314371689551</v>
      </c>
      <c r="AA24" s="236">
        <v>4.2098561033486505E-2</v>
      </c>
      <c r="AB24" s="236">
        <v>1.4290346431678513</v>
      </c>
      <c r="AC24" s="236">
        <v>8.8007198575786809</v>
      </c>
      <c r="AD24" s="236">
        <v>0</v>
      </c>
      <c r="AE24" s="236">
        <v>0</v>
      </c>
      <c r="AF24" s="236">
        <v>8.8007198575786809</v>
      </c>
      <c r="AG24" s="237">
        <v>4.3377318616362154E-2</v>
      </c>
      <c r="AH24" s="237">
        <v>4.3377318616362154E-2</v>
      </c>
      <c r="AI24" s="236"/>
      <c r="AJ24" s="234"/>
      <c r="AK24" s="234"/>
      <c r="AL24" s="234"/>
      <c r="AM24" s="234">
        <f>'[1]For rate design'!AM69</f>
        <v>0</v>
      </c>
      <c r="AN24" s="234">
        <f>'[1]For rate design'!AN69</f>
        <v>4386481.4128701817</v>
      </c>
    </row>
    <row r="25" spans="1:40" x14ac:dyDescent="0.25">
      <c r="B25" s="238"/>
      <c r="C25" s="234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4"/>
      <c r="S25" s="236" t="s">
        <v>197</v>
      </c>
      <c r="T25" s="236" t="s">
        <v>197</v>
      </c>
      <c r="U25" s="236"/>
      <c r="V25" s="236" t="s">
        <v>197</v>
      </c>
      <c r="W25" s="236" t="s">
        <v>197</v>
      </c>
      <c r="X25" s="236" t="s">
        <v>197</v>
      </c>
      <c r="Y25" s="236" t="s">
        <v>197</v>
      </c>
      <c r="Z25" s="236" t="s">
        <v>197</v>
      </c>
      <c r="AA25" s="236" t="s">
        <v>197</v>
      </c>
      <c r="AB25" s="236" t="s">
        <v>197</v>
      </c>
      <c r="AC25" s="236" t="s">
        <v>197</v>
      </c>
      <c r="AD25" s="236" t="s">
        <v>197</v>
      </c>
      <c r="AE25" s="236" t="s">
        <v>197</v>
      </c>
      <c r="AF25" s="236" t="s">
        <v>197</v>
      </c>
      <c r="AG25" s="237" t="s">
        <v>197</v>
      </c>
      <c r="AH25" s="237" t="s">
        <v>197</v>
      </c>
      <c r="AI25" s="236"/>
      <c r="AJ25" s="234"/>
      <c r="AK25" s="234"/>
      <c r="AL25" s="234"/>
      <c r="AM25" s="234"/>
      <c r="AN25" s="234"/>
    </row>
    <row r="26" spans="1:40" x14ac:dyDescent="0.25">
      <c r="A26" s="134" t="s">
        <v>42</v>
      </c>
      <c r="B26" s="238"/>
      <c r="C26" s="234">
        <v>336169766.96122003</v>
      </c>
      <c r="D26" s="235">
        <v>42872078.581371143</v>
      </c>
      <c r="E26" s="235">
        <v>42872078.581371143</v>
      </c>
      <c r="F26" s="235">
        <v>0</v>
      </c>
      <c r="G26" s="235">
        <v>9799433.6570196748</v>
      </c>
      <c r="H26" s="235">
        <v>402982.13104046433</v>
      </c>
      <c r="I26" s="235">
        <v>840814.82408215664</v>
      </c>
      <c r="J26" s="235">
        <v>26281659.944488801</v>
      </c>
      <c r="K26" s="235">
        <v>1136776.6586970664</v>
      </c>
      <c r="L26" s="235">
        <v>141522.63452029857</v>
      </c>
      <c r="M26" s="235">
        <v>549795.87914998399</v>
      </c>
      <c r="N26" s="235">
        <v>39152985.728998445</v>
      </c>
      <c r="O26" s="235">
        <v>0</v>
      </c>
      <c r="P26" s="235">
        <v>0</v>
      </c>
      <c r="Q26" s="235">
        <v>39152985.728998445</v>
      </c>
      <c r="R26" s="234">
        <v>0</v>
      </c>
      <c r="S26" s="236">
        <v>12.753103578858354</v>
      </c>
      <c r="T26" s="236">
        <v>12.753103578858354</v>
      </c>
      <c r="U26" s="236"/>
      <c r="V26" s="236">
        <v>2.9150252700000001</v>
      </c>
      <c r="W26" s="236">
        <v>0.11987459035450729</v>
      </c>
      <c r="X26" s="236">
        <v>0.25011613378640074</v>
      </c>
      <c r="Y26" s="236">
        <v>7.8179725030182761</v>
      </c>
      <c r="Z26" s="236">
        <v>0.33815553045500457</v>
      </c>
      <c r="AA26" s="236">
        <v>4.2098561033486505E-2</v>
      </c>
      <c r="AB26" s="236">
        <v>0.16354709232773082</v>
      </c>
      <c r="AC26" s="236">
        <v>11.646789680975408</v>
      </c>
      <c r="AD26" s="236">
        <v>0</v>
      </c>
      <c r="AE26" s="236">
        <v>0</v>
      </c>
      <c r="AF26" s="236">
        <v>11.646789680975408</v>
      </c>
      <c r="AG26" s="237">
        <v>-8.6748601314346488E-2</v>
      </c>
      <c r="AH26" s="237">
        <v>-8.6748601314346488E-2</v>
      </c>
      <c r="AI26" s="236"/>
      <c r="AJ26" s="234"/>
      <c r="AK26" s="234"/>
      <c r="AL26" s="234"/>
      <c r="AM26" s="234">
        <f>'[1]For rate design'!AM55</f>
        <v>0</v>
      </c>
      <c r="AN26" s="234">
        <f>'[1]For rate design'!AN55</f>
        <v>25766917.864452027</v>
      </c>
    </row>
    <row r="27" spans="1:40" x14ac:dyDescent="0.25">
      <c r="B27" s="238"/>
      <c r="C27" s="234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4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7"/>
      <c r="AH27" s="237"/>
      <c r="AI27" s="236"/>
      <c r="AJ27" s="234"/>
      <c r="AK27" s="234"/>
      <c r="AL27" s="234"/>
      <c r="AM27" s="234"/>
      <c r="AN27" s="234"/>
    </row>
    <row r="28" spans="1:40" x14ac:dyDescent="0.25">
      <c r="A28" s="134" t="s">
        <v>43</v>
      </c>
      <c r="B28" s="238"/>
      <c r="C28" s="234">
        <v>140327462.49708226</v>
      </c>
      <c r="D28" s="235">
        <v>15252797.119613187</v>
      </c>
      <c r="E28" s="235">
        <v>15252797.119613187</v>
      </c>
      <c r="F28" s="235">
        <v>0</v>
      </c>
      <c r="G28" s="235">
        <v>4648544.3553006584</v>
      </c>
      <c r="H28" s="235">
        <v>528082.60050726694</v>
      </c>
      <c r="I28" s="235">
        <v>729748.10715563397</v>
      </c>
      <c r="J28" s="235">
        <v>4063369.1646179133</v>
      </c>
      <c r="K28" s="235">
        <v>402525.56767290732</v>
      </c>
      <c r="L28" s="235">
        <v>59075.842446077069</v>
      </c>
      <c r="M28" s="235">
        <v>477171.06149934581</v>
      </c>
      <c r="N28" s="235">
        <v>10908516.699199803</v>
      </c>
      <c r="O28" s="235">
        <v>0</v>
      </c>
      <c r="P28" s="235">
        <v>0</v>
      </c>
      <c r="Q28" s="235">
        <v>10908516.699199803</v>
      </c>
      <c r="R28" s="234">
        <v>0</v>
      </c>
      <c r="S28" s="236">
        <v>10.869431291776069</v>
      </c>
      <c r="T28" s="236">
        <v>10.869431291776069</v>
      </c>
      <c r="U28" s="236"/>
      <c r="V28" s="236">
        <v>3.3126404999999997</v>
      </c>
      <c r="W28" s="236">
        <v>0.37632163448993244</v>
      </c>
      <c r="X28" s="236">
        <v>0.52003228318249328</v>
      </c>
      <c r="Y28" s="236">
        <v>2.8956336075003137</v>
      </c>
      <c r="Z28" s="236">
        <v>0.2868473216219361</v>
      </c>
      <c r="AA28" s="236">
        <v>4.2098561033486505E-2</v>
      </c>
      <c r="AB28" s="236">
        <v>0.34004111027751771</v>
      </c>
      <c r="AC28" s="236">
        <v>7.77361501810568</v>
      </c>
      <c r="AD28" s="236">
        <v>0</v>
      </c>
      <c r="AE28" s="236">
        <v>0</v>
      </c>
      <c r="AF28" s="236">
        <v>7.77361501810568</v>
      </c>
      <c r="AG28" s="237">
        <v>-0.28481860647232915</v>
      </c>
      <c r="AH28" s="237">
        <v>-0.28481860647232915</v>
      </c>
      <c r="AI28" s="236"/>
      <c r="AJ28" s="234"/>
      <c r="AK28" s="234"/>
      <c r="AL28" s="234"/>
      <c r="AM28" s="234">
        <f>'[1]For rate design'!AM17</f>
        <v>0</v>
      </c>
      <c r="AN28" s="234">
        <f>'[1]For rate design'!AN17</f>
        <v>6059322.7955671661</v>
      </c>
    </row>
    <row r="29" spans="1:40" x14ac:dyDescent="0.25">
      <c r="B29" s="238"/>
      <c r="C29" s="234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4"/>
      <c r="S29" s="236" t="s">
        <v>197</v>
      </c>
      <c r="T29" s="236" t="s">
        <v>197</v>
      </c>
      <c r="U29" s="236"/>
      <c r="V29" s="236" t="s">
        <v>197</v>
      </c>
      <c r="W29" s="236" t="s">
        <v>197</v>
      </c>
      <c r="X29" s="236" t="s">
        <v>197</v>
      </c>
      <c r="Y29" s="236" t="s">
        <v>197</v>
      </c>
      <c r="Z29" s="236" t="s">
        <v>197</v>
      </c>
      <c r="AA29" s="236" t="s">
        <v>197</v>
      </c>
      <c r="AB29" s="236" t="s">
        <v>197</v>
      </c>
      <c r="AC29" s="236" t="s">
        <v>197</v>
      </c>
      <c r="AD29" s="236" t="s">
        <v>197</v>
      </c>
      <c r="AE29" s="236" t="s">
        <v>197</v>
      </c>
      <c r="AF29" s="236" t="s">
        <v>197</v>
      </c>
      <c r="AG29" s="237" t="s">
        <v>197</v>
      </c>
      <c r="AH29" s="237" t="s">
        <v>197</v>
      </c>
      <c r="AI29" s="236"/>
      <c r="AJ29" s="234"/>
      <c r="AK29" s="234"/>
      <c r="AL29" s="234"/>
      <c r="AM29" s="234"/>
      <c r="AN29" s="234"/>
    </row>
    <row r="30" spans="1:40" x14ac:dyDescent="0.25">
      <c r="A30" s="134" t="s">
        <v>44</v>
      </c>
      <c r="B30" s="238"/>
      <c r="C30" s="234">
        <v>819459053</v>
      </c>
      <c r="D30" s="235">
        <v>40026441.491510309</v>
      </c>
      <c r="E30" s="235">
        <v>40026441.491510309</v>
      </c>
      <c r="F30" s="235">
        <v>0</v>
      </c>
      <c r="G30" s="235">
        <v>25783839.160700001</v>
      </c>
      <c r="H30" s="235">
        <v>3553696.1554717873</v>
      </c>
      <c r="I30" s="235">
        <v>3336403.2467422574</v>
      </c>
      <c r="J30" s="235">
        <v>658320.88688659715</v>
      </c>
      <c r="K30" s="235">
        <v>1056308.9482504826</v>
      </c>
      <c r="L30" s="235">
        <v>344980.46957163553</v>
      </c>
      <c r="M30" s="235">
        <v>2181622.7589040296</v>
      </c>
      <c r="N30" s="235">
        <v>36915171.626526788</v>
      </c>
      <c r="O30" s="235">
        <v>0</v>
      </c>
      <c r="P30" s="235">
        <v>0</v>
      </c>
      <c r="Q30" s="235">
        <v>36915171.626526788</v>
      </c>
      <c r="R30" s="234">
        <v>0</v>
      </c>
      <c r="S30" s="236">
        <v>4.884495612681981</v>
      </c>
      <c r="T30" s="236">
        <v>4.884495612681981</v>
      </c>
      <c r="U30" s="236"/>
      <c r="V30" s="236">
        <v>3.1464463131265203</v>
      </c>
      <c r="W30" s="236">
        <v>0.43366366415281854</v>
      </c>
      <c r="X30" s="236">
        <v>0.40714703614876746</v>
      </c>
      <c r="Y30" s="236">
        <v>8.0336031980672643E-2</v>
      </c>
      <c r="Z30" s="236">
        <v>0.12890320076194003</v>
      </c>
      <c r="AA30" s="236">
        <v>4.2098561033486505E-2</v>
      </c>
      <c r="AB30" s="236">
        <v>0.26622718376436433</v>
      </c>
      <c r="AC30" s="236">
        <v>4.5048219909685692</v>
      </c>
      <c r="AD30" s="236">
        <v>0</v>
      </c>
      <c r="AE30" s="236">
        <v>0</v>
      </c>
      <c r="AF30" s="236">
        <v>4.5048219909685692</v>
      </c>
      <c r="AG30" s="237">
        <v>-7.7730363955622384E-2</v>
      </c>
      <c r="AH30" s="237">
        <v>-7.7730363955622384E-2</v>
      </c>
      <c r="AI30" s="236"/>
      <c r="AJ30" s="234"/>
      <c r="AK30" s="234"/>
      <c r="AL30" s="234"/>
      <c r="AM30" s="234">
        <f>'[1]For rate design'!AM118</f>
        <v>0</v>
      </c>
      <c r="AN30" s="234">
        <f>'[1]For rate design'!AN118</f>
        <v>1283819.0047390033</v>
      </c>
    </row>
    <row r="31" spans="1:40" x14ac:dyDescent="0.25">
      <c r="B31" s="238"/>
      <c r="C31" s="234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4"/>
      <c r="S31" s="236" t="s">
        <v>197</v>
      </c>
      <c r="T31" s="236" t="s">
        <v>197</v>
      </c>
      <c r="U31" s="236"/>
      <c r="V31" s="236" t="s">
        <v>197</v>
      </c>
      <c r="W31" s="236" t="s">
        <v>197</v>
      </c>
      <c r="X31" s="236" t="s">
        <v>197</v>
      </c>
      <c r="Y31" s="236" t="s">
        <v>197</v>
      </c>
      <c r="Z31" s="236" t="s">
        <v>197</v>
      </c>
      <c r="AA31" s="236" t="s">
        <v>197</v>
      </c>
      <c r="AB31" s="236" t="s">
        <v>197</v>
      </c>
      <c r="AC31" s="236" t="s">
        <v>197</v>
      </c>
      <c r="AD31" s="236" t="s">
        <v>197</v>
      </c>
      <c r="AE31" s="236" t="s">
        <v>197</v>
      </c>
      <c r="AF31" s="236" t="s">
        <v>197</v>
      </c>
      <c r="AG31" s="237" t="s">
        <v>197</v>
      </c>
      <c r="AH31" s="237" t="s">
        <v>197</v>
      </c>
      <c r="AI31" s="236"/>
      <c r="AJ31" s="234"/>
      <c r="AK31" s="234"/>
      <c r="AL31" s="234"/>
      <c r="AM31" s="234"/>
      <c r="AN31" s="234"/>
    </row>
    <row r="32" spans="1:40" x14ac:dyDescent="0.25">
      <c r="B32" s="238"/>
      <c r="C32" s="234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4"/>
      <c r="S32" s="236" t="s">
        <v>197</v>
      </c>
      <c r="T32" s="236" t="s">
        <v>197</v>
      </c>
      <c r="U32" s="236"/>
      <c r="V32" s="236" t="s">
        <v>197</v>
      </c>
      <c r="W32" s="236" t="s">
        <v>197</v>
      </c>
      <c r="X32" s="236" t="s">
        <v>197</v>
      </c>
      <c r="Y32" s="236" t="s">
        <v>197</v>
      </c>
      <c r="Z32" s="236" t="s">
        <v>197</v>
      </c>
      <c r="AA32" s="236" t="s">
        <v>197</v>
      </c>
      <c r="AB32" s="236" t="s">
        <v>197</v>
      </c>
      <c r="AC32" s="236" t="s">
        <v>197</v>
      </c>
      <c r="AD32" s="236" t="s">
        <v>197</v>
      </c>
      <c r="AE32" s="236" t="s">
        <v>197</v>
      </c>
      <c r="AF32" s="236" t="s">
        <v>197</v>
      </c>
      <c r="AG32" s="237" t="s">
        <v>197</v>
      </c>
      <c r="AH32" s="237" t="s">
        <v>197</v>
      </c>
      <c r="AI32" s="236"/>
      <c r="AJ32" s="234"/>
      <c r="AK32" s="234"/>
      <c r="AL32" s="234"/>
      <c r="AM32" s="234"/>
      <c r="AN32" s="234"/>
    </row>
    <row r="33" spans="1:40" x14ac:dyDescent="0.25">
      <c r="A33" s="134" t="s">
        <v>196</v>
      </c>
      <c r="B33" s="238"/>
      <c r="C33" s="234">
        <v>77819761996</v>
      </c>
      <c r="D33" s="235">
        <v>7334450344.6617365</v>
      </c>
      <c r="E33" s="235">
        <v>7748829420.007988</v>
      </c>
      <c r="F33" s="235">
        <v>0</v>
      </c>
      <c r="G33" s="235">
        <v>2650081062.3619022</v>
      </c>
      <c r="H33" s="235">
        <v>508570000.00000018</v>
      </c>
      <c r="I33" s="235">
        <v>384514621.07638824</v>
      </c>
      <c r="J33" s="235">
        <v>2027405000.003793</v>
      </c>
      <c r="K33" s="235">
        <v>232192000.00000006</v>
      </c>
      <c r="L33" s="235">
        <v>32760999.999999996</v>
      </c>
      <c r="M33" s="235">
        <v>251425409.00000003</v>
      </c>
      <c r="N33" s="235">
        <v>6086949092.4420834</v>
      </c>
      <c r="O33" s="235">
        <v>384071346.82038039</v>
      </c>
      <c r="P33" s="235">
        <v>-59471713.000000015</v>
      </c>
      <c r="Q33" s="235">
        <v>6411548726.2624645</v>
      </c>
      <c r="R33" s="234">
        <v>0</v>
      </c>
      <c r="S33" s="236">
        <v>9.9574057042300943</v>
      </c>
      <c r="T33" s="236">
        <v>9.4249200415682761</v>
      </c>
      <c r="U33" s="236"/>
      <c r="V33" s="236">
        <v>3.4054088503870248</v>
      </c>
      <c r="W33" s="236">
        <v>0.65352294450109105</v>
      </c>
      <c r="X33" s="236">
        <v>0.49410922266268642</v>
      </c>
      <c r="Y33" s="236">
        <v>2.6052572611414608</v>
      </c>
      <c r="Z33" s="236">
        <v>0.29837151135457712</v>
      </c>
      <c r="AA33" s="236">
        <v>4.2098561033486505E-2</v>
      </c>
      <c r="AB33" s="236">
        <v>0.3230868388069903</v>
      </c>
      <c r="AC33" s="236">
        <v>7.8218551898873168</v>
      </c>
      <c r="AD33" s="236">
        <v>0.49353960609661329</v>
      </c>
      <c r="AE33" s="236">
        <v>-7.6422378422407553E-2</v>
      </c>
      <c r="AF33" s="236">
        <v>8.2389724175615235</v>
      </c>
      <c r="AG33" s="237">
        <v>-0.17257841426894449</v>
      </c>
      <c r="AH33" s="237">
        <v>-0.12583105413904552</v>
      </c>
      <c r="AI33" s="236"/>
      <c r="AJ33" s="234"/>
      <c r="AK33" s="234"/>
      <c r="AL33" s="234"/>
      <c r="AM33" s="234">
        <f>AM30+AM28+AM26+AM24+AM22+AM17+AM12+AM10+AM8+AM6</f>
        <v>0</v>
      </c>
      <c r="AN33" s="234">
        <f>AN30+AN28+AN26+AN24+AN22+AN17+AN12+AN10+AN8+AN6</f>
        <v>2029851431.0524795</v>
      </c>
    </row>
    <row r="34" spans="1:40" x14ac:dyDescent="0.25">
      <c r="B34" s="238"/>
      <c r="C34" s="234"/>
      <c r="D34" s="234"/>
      <c r="E34" s="234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S34" s="236" t="str">
        <f>IF(AND(ISNUMBER(C34),C34&gt;0),100*(E34/C34),"")</f>
        <v/>
      </c>
      <c r="T34" s="236" t="str">
        <f>IF(AND(ISNUMBER(C34),C34&gt;0),100*(D34/C34),"")</f>
        <v/>
      </c>
      <c r="U34" s="236"/>
      <c r="V34" s="236" t="str">
        <f t="shared" ref="V34:AF34" si="0">IF(AND(ISNUMBER($C34),$C34&gt;0),100*(G34/$C34),"")</f>
        <v/>
      </c>
      <c r="W34" s="236" t="str">
        <f t="shared" si="0"/>
        <v/>
      </c>
      <c r="X34" s="236" t="str">
        <f t="shared" si="0"/>
        <v/>
      </c>
      <c r="Y34" s="236" t="str">
        <f t="shared" si="0"/>
        <v/>
      </c>
      <c r="Z34" s="236" t="str">
        <f t="shared" si="0"/>
        <v/>
      </c>
      <c r="AA34" s="236" t="str">
        <f t="shared" si="0"/>
        <v/>
      </c>
      <c r="AB34" s="236" t="str">
        <f t="shared" si="0"/>
        <v/>
      </c>
      <c r="AC34" s="236" t="str">
        <f t="shared" si="0"/>
        <v/>
      </c>
      <c r="AD34" s="236" t="str">
        <f t="shared" si="0"/>
        <v/>
      </c>
      <c r="AE34" s="236" t="str">
        <f t="shared" si="0"/>
        <v/>
      </c>
      <c r="AF34" s="236" t="str">
        <f t="shared" si="0"/>
        <v/>
      </c>
      <c r="AG34" s="237" t="str">
        <f>IF(AND( ISNUMBER(E34),E34&gt;0),(Q34-E34)/E34,"")</f>
        <v/>
      </c>
      <c r="AH34" s="237" t="str">
        <f>IF(AND( ISNUMBER(D34),D34&gt;0),(Q34-D34)/D34,"")</f>
        <v/>
      </c>
      <c r="AI34" s="243"/>
    </row>
    <row r="35" spans="1:40" x14ac:dyDescent="0.25">
      <c r="B35" s="238"/>
      <c r="C35" s="234"/>
      <c r="D35" s="234"/>
      <c r="E35" s="234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</row>
    <row r="36" spans="1:40" x14ac:dyDescent="0.25">
      <c r="B36" s="238"/>
      <c r="C36" s="234"/>
      <c r="D36" s="234"/>
      <c r="E36" s="234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</row>
    <row r="37" spans="1:40" x14ac:dyDescent="0.25">
      <c r="B37" s="238"/>
      <c r="C37" s="234"/>
      <c r="D37" s="234"/>
      <c r="E37" s="234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</row>
    <row r="38" spans="1:40" x14ac:dyDescent="0.25">
      <c r="B38" s="238"/>
      <c r="C38" s="234"/>
      <c r="D38" s="234"/>
      <c r="E38" s="234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</row>
    <row r="39" spans="1:40" x14ac:dyDescent="0.25">
      <c r="B39" s="238"/>
      <c r="C39" s="234"/>
      <c r="D39" s="234"/>
      <c r="E39" s="234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</row>
    <row r="40" spans="1:40" x14ac:dyDescent="0.25">
      <c r="B40" s="238"/>
      <c r="C40" s="234"/>
      <c r="D40" s="234"/>
      <c r="E40" s="234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</row>
    <row r="41" spans="1:40" x14ac:dyDescent="0.25">
      <c r="B41" s="238"/>
      <c r="C41" s="234"/>
      <c r="D41" s="234"/>
      <c r="E41" s="234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</row>
    <row r="42" spans="1:40" x14ac:dyDescent="0.25">
      <c r="B42" s="238"/>
      <c r="C42" s="234"/>
      <c r="D42" s="234"/>
      <c r="E42" s="234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</row>
    <row r="43" spans="1:40" x14ac:dyDescent="0.25">
      <c r="B43" s="238"/>
      <c r="C43" s="234"/>
      <c r="D43" s="234"/>
      <c r="E43" s="234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</row>
    <row r="44" spans="1:40" x14ac:dyDescent="0.25">
      <c r="B44" s="238"/>
      <c r="C44" s="234"/>
      <c r="D44" s="234"/>
      <c r="E44" s="234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</row>
    <row r="45" spans="1:40" x14ac:dyDescent="0.25">
      <c r="B45" s="238"/>
      <c r="C45" s="234"/>
      <c r="D45" s="234"/>
      <c r="E45" s="234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</row>
    <row r="46" spans="1:40" x14ac:dyDescent="0.25">
      <c r="B46" s="238"/>
      <c r="C46" s="234"/>
      <c r="D46" s="234"/>
      <c r="E46" s="234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</row>
    <row r="47" spans="1:40" x14ac:dyDescent="0.25">
      <c r="B47" s="238"/>
      <c r="C47" s="234"/>
      <c r="D47" s="234"/>
      <c r="E47" s="234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</row>
    <row r="48" spans="1:40" x14ac:dyDescent="0.25">
      <c r="B48" s="238"/>
      <c r="C48" s="234"/>
      <c r="D48" s="234"/>
      <c r="E48" s="234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</row>
    <row r="49" spans="2:35" x14ac:dyDescent="0.25">
      <c r="B49" s="238"/>
      <c r="C49" s="234"/>
      <c r="D49" s="234"/>
      <c r="E49" s="234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</row>
    <row r="50" spans="2:35" x14ac:dyDescent="0.25">
      <c r="B50" s="238"/>
      <c r="C50" s="234"/>
      <c r="D50" s="234"/>
      <c r="E50" s="234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</row>
    <row r="51" spans="2:35" x14ac:dyDescent="0.25">
      <c r="B51" s="238"/>
      <c r="C51" s="234"/>
      <c r="D51" s="234"/>
      <c r="E51" s="234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</row>
    <row r="52" spans="2:35" x14ac:dyDescent="0.25">
      <c r="B52" s="238"/>
      <c r="C52" s="234"/>
      <c r="D52" s="234"/>
      <c r="E52" s="234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</row>
    <row r="53" spans="2:35" x14ac:dyDescent="0.25">
      <c r="B53" s="238"/>
      <c r="C53" s="234"/>
      <c r="D53" s="234"/>
      <c r="E53" s="234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</row>
    <row r="54" spans="2:35" x14ac:dyDescent="0.25">
      <c r="B54" s="238"/>
      <c r="C54" s="234"/>
      <c r="D54" s="234"/>
      <c r="E54" s="234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</row>
    <row r="55" spans="2:35" x14ac:dyDescent="0.25">
      <c r="B55" s="238"/>
      <c r="C55" s="234"/>
      <c r="D55" s="234"/>
      <c r="E55" s="234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2:35" x14ac:dyDescent="0.25">
      <c r="B56" s="238"/>
      <c r="C56" s="234"/>
      <c r="D56" s="234"/>
      <c r="E56" s="234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2:35" x14ac:dyDescent="0.25">
      <c r="B57" s="238"/>
      <c r="C57" s="234"/>
      <c r="D57" s="234"/>
      <c r="E57" s="234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</row>
    <row r="58" spans="2:35" x14ac:dyDescent="0.25">
      <c r="B58" s="238"/>
      <c r="C58" s="234"/>
      <c r="D58" s="234"/>
      <c r="E58" s="234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</row>
    <row r="59" spans="2:35" x14ac:dyDescent="0.25">
      <c r="B59" s="238"/>
      <c r="C59" s="234"/>
      <c r="D59" s="234"/>
      <c r="E59" s="234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</row>
    <row r="60" spans="2:35" x14ac:dyDescent="0.25">
      <c r="B60" s="238"/>
      <c r="C60" s="234"/>
      <c r="D60" s="234"/>
      <c r="E60" s="234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</row>
    <row r="61" spans="2:35" x14ac:dyDescent="0.25">
      <c r="B61" s="238"/>
      <c r="C61" s="234"/>
      <c r="D61" s="234"/>
      <c r="E61" s="234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</row>
    <row r="62" spans="2:35" x14ac:dyDescent="0.25">
      <c r="B62" s="238"/>
      <c r="C62" s="234"/>
      <c r="D62" s="234"/>
      <c r="E62" s="234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</row>
    <row r="63" spans="2:35" x14ac:dyDescent="0.25">
      <c r="B63" s="238"/>
      <c r="C63" s="234"/>
      <c r="D63" s="234"/>
      <c r="E63" s="234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</row>
    <row r="64" spans="2:35" x14ac:dyDescent="0.25">
      <c r="B64" s="238"/>
      <c r="C64" s="234"/>
      <c r="D64" s="234"/>
      <c r="E64" s="234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2:35" x14ac:dyDescent="0.25">
      <c r="B65" s="238"/>
      <c r="C65" s="234"/>
      <c r="D65" s="234"/>
      <c r="E65" s="234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2:35" x14ac:dyDescent="0.25">
      <c r="B66" s="238"/>
      <c r="C66" s="234"/>
      <c r="D66" s="234"/>
      <c r="E66" s="234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</row>
    <row r="67" spans="2:35" x14ac:dyDescent="0.25">
      <c r="B67" s="238"/>
      <c r="C67" s="234"/>
      <c r="D67" s="234"/>
      <c r="E67" s="234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</row>
    <row r="68" spans="2:35" x14ac:dyDescent="0.25">
      <c r="B68" s="238"/>
      <c r="C68" s="234"/>
      <c r="D68" s="234"/>
      <c r="E68" s="234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</row>
    <row r="69" spans="2:35" x14ac:dyDescent="0.25">
      <c r="B69" s="238"/>
      <c r="C69" s="234"/>
      <c r="D69" s="234"/>
      <c r="E69" s="234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</row>
    <row r="70" spans="2:35" x14ac:dyDescent="0.25">
      <c r="B70" s="238"/>
      <c r="C70" s="234"/>
      <c r="D70" s="234"/>
      <c r="E70" s="234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</row>
    <row r="71" spans="2:35" x14ac:dyDescent="0.25">
      <c r="B71" s="238"/>
      <c r="C71" s="234"/>
      <c r="D71" s="234"/>
      <c r="E71" s="234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</row>
    <row r="72" spans="2:35" x14ac:dyDescent="0.25">
      <c r="B72" s="238"/>
      <c r="C72" s="234"/>
      <c r="D72" s="234"/>
      <c r="E72" s="234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</row>
    <row r="73" spans="2:35" x14ac:dyDescent="0.25">
      <c r="B73" s="238"/>
      <c r="C73" s="234"/>
      <c r="D73" s="234"/>
      <c r="E73" s="234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</row>
    <row r="74" spans="2:35" x14ac:dyDescent="0.25">
      <c r="B74" s="238"/>
      <c r="C74" s="234"/>
      <c r="D74" s="234"/>
      <c r="E74" s="234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</row>
    <row r="75" spans="2:35" x14ac:dyDescent="0.25">
      <c r="B75" s="238"/>
      <c r="C75" s="234"/>
      <c r="D75" s="234"/>
      <c r="E75" s="234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</row>
    <row r="76" spans="2:35" x14ac:dyDescent="0.25">
      <c r="B76" s="238"/>
      <c r="C76" s="234"/>
      <c r="D76" s="234"/>
      <c r="E76" s="234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</row>
    <row r="77" spans="2:35" x14ac:dyDescent="0.25">
      <c r="B77" s="238"/>
      <c r="C77" s="234"/>
      <c r="D77" s="234"/>
      <c r="E77" s="234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</row>
    <row r="78" spans="2:35" x14ac:dyDescent="0.25">
      <c r="B78" s="238"/>
      <c r="C78" s="234"/>
      <c r="D78" s="234"/>
      <c r="E78" s="234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</row>
    <row r="79" spans="2:35" x14ac:dyDescent="0.25">
      <c r="B79" s="238"/>
      <c r="C79" s="234"/>
      <c r="D79" s="234"/>
      <c r="E79" s="234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</row>
    <row r="80" spans="2:35" x14ac:dyDescent="0.25">
      <c r="B80" s="238"/>
      <c r="C80" s="234"/>
      <c r="D80" s="234"/>
      <c r="E80" s="234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</row>
    <row r="81" spans="2:35" x14ac:dyDescent="0.25">
      <c r="B81" s="238"/>
      <c r="C81" s="234"/>
      <c r="D81" s="234"/>
      <c r="E81" s="234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</row>
    <row r="82" spans="2:35" x14ac:dyDescent="0.25">
      <c r="B82" s="238"/>
      <c r="C82" s="234"/>
      <c r="D82" s="234"/>
      <c r="E82" s="234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</row>
    <row r="83" spans="2:35" x14ac:dyDescent="0.25">
      <c r="B83" s="238"/>
      <c r="C83" s="234"/>
      <c r="D83" s="234"/>
      <c r="E83" s="234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</row>
    <row r="84" spans="2:35" x14ac:dyDescent="0.25">
      <c r="B84" s="238"/>
      <c r="C84" s="234"/>
      <c r="D84" s="234"/>
      <c r="E84" s="234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</row>
    <row r="85" spans="2:35" x14ac:dyDescent="0.25">
      <c r="B85" s="238"/>
      <c r="C85" s="234"/>
      <c r="D85" s="234"/>
      <c r="E85" s="234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</row>
    <row r="86" spans="2:35" x14ac:dyDescent="0.25">
      <c r="B86" s="238"/>
      <c r="C86" s="234"/>
      <c r="D86" s="234"/>
      <c r="E86" s="234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</row>
    <row r="87" spans="2:35" x14ac:dyDescent="0.25">
      <c r="B87" s="238"/>
      <c r="C87" s="234"/>
      <c r="D87" s="234"/>
      <c r="E87" s="234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</row>
    <row r="88" spans="2:35" x14ac:dyDescent="0.25">
      <c r="B88" s="238"/>
      <c r="C88" s="234"/>
      <c r="D88" s="234"/>
      <c r="E88" s="234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</row>
    <row r="89" spans="2:35" x14ac:dyDescent="0.25">
      <c r="B89" s="238"/>
      <c r="C89" s="234"/>
      <c r="D89" s="234"/>
      <c r="E89" s="234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</row>
    <row r="90" spans="2:35" x14ac:dyDescent="0.25">
      <c r="B90" s="238"/>
      <c r="C90" s="234"/>
      <c r="D90" s="234"/>
      <c r="E90" s="234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</row>
    <row r="91" spans="2:35" x14ac:dyDescent="0.25">
      <c r="B91" s="238"/>
      <c r="C91" s="234"/>
      <c r="D91" s="234"/>
      <c r="E91" s="234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</row>
    <row r="92" spans="2:35" x14ac:dyDescent="0.25">
      <c r="B92" s="238"/>
      <c r="C92" s="234"/>
      <c r="D92" s="234"/>
      <c r="E92" s="234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</row>
    <row r="93" spans="2:35" x14ac:dyDescent="0.25">
      <c r="B93" s="238"/>
      <c r="C93" s="234"/>
      <c r="D93" s="234"/>
      <c r="E93" s="234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</row>
    <row r="94" spans="2:35" x14ac:dyDescent="0.25">
      <c r="B94" s="238"/>
      <c r="C94" s="234"/>
      <c r="D94" s="234"/>
      <c r="E94" s="234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</row>
    <row r="95" spans="2:35" x14ac:dyDescent="0.25">
      <c r="B95" s="238"/>
      <c r="C95" s="234"/>
      <c r="D95" s="234"/>
      <c r="E95" s="234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</row>
    <row r="96" spans="2:35" x14ac:dyDescent="0.25">
      <c r="B96" s="238"/>
      <c r="C96" s="234"/>
      <c r="D96" s="234"/>
      <c r="E96" s="234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</row>
    <row r="97" spans="2:35" x14ac:dyDescent="0.25">
      <c r="B97" s="238"/>
      <c r="C97" s="234"/>
      <c r="D97" s="234"/>
      <c r="E97" s="234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</row>
    <row r="98" spans="2:35" x14ac:dyDescent="0.25">
      <c r="B98" s="238"/>
      <c r="C98" s="234"/>
      <c r="D98" s="234"/>
      <c r="E98" s="234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S98" s="243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</row>
    <row r="99" spans="2:35" x14ac:dyDescent="0.25">
      <c r="B99" s="238"/>
      <c r="C99" s="234"/>
      <c r="D99" s="234"/>
      <c r="E99" s="234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</row>
    <row r="100" spans="2:35" x14ac:dyDescent="0.25">
      <c r="B100" s="238"/>
      <c r="C100" s="234"/>
      <c r="D100" s="234"/>
      <c r="E100" s="234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</row>
    <row r="101" spans="2:35" x14ac:dyDescent="0.25">
      <c r="B101" s="238"/>
      <c r="C101" s="234"/>
      <c r="D101" s="234"/>
      <c r="E101" s="234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</row>
    <row r="102" spans="2:35" x14ac:dyDescent="0.25">
      <c r="B102" s="238"/>
      <c r="C102" s="234"/>
      <c r="D102" s="234"/>
      <c r="E102" s="234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</row>
    <row r="103" spans="2:35" x14ac:dyDescent="0.25">
      <c r="B103" s="238"/>
      <c r="C103" s="234"/>
      <c r="D103" s="234"/>
      <c r="E103" s="234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</row>
    <row r="104" spans="2:35" x14ac:dyDescent="0.25">
      <c r="B104" s="238"/>
      <c r="C104" s="234"/>
      <c r="D104" s="234"/>
      <c r="E104" s="234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</row>
    <row r="105" spans="2:35" x14ac:dyDescent="0.25">
      <c r="B105" s="238"/>
      <c r="C105" s="234"/>
      <c r="D105" s="234"/>
      <c r="E105" s="234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</row>
    <row r="106" spans="2:35" x14ac:dyDescent="0.25">
      <c r="B106" s="238"/>
      <c r="C106" s="234"/>
      <c r="D106" s="234"/>
      <c r="E106" s="234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</row>
    <row r="107" spans="2:35" x14ac:dyDescent="0.25"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</row>
    <row r="108" spans="2:35" x14ac:dyDescent="0.25"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</row>
    <row r="109" spans="2:35" x14ac:dyDescent="0.25"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</row>
    <row r="110" spans="2:35" x14ac:dyDescent="0.25"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</row>
    <row r="111" spans="2:35" x14ac:dyDescent="0.25"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</row>
    <row r="112" spans="2:35" x14ac:dyDescent="0.25">
      <c r="S112" s="243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</row>
    <row r="113" spans="19:35" x14ac:dyDescent="0.25">
      <c r="S113" s="243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</row>
    <row r="114" spans="19:35" x14ac:dyDescent="0.25"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</row>
    <row r="115" spans="19:35" x14ac:dyDescent="0.25"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</row>
    <row r="116" spans="19:35" x14ac:dyDescent="0.25"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</row>
    <row r="117" spans="19:35" x14ac:dyDescent="0.25"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</row>
    <row r="118" spans="19:35" x14ac:dyDescent="0.25"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</row>
    <row r="119" spans="19:35" x14ac:dyDescent="0.25"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</row>
    <row r="120" spans="19:35" x14ac:dyDescent="0.25"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</row>
    <row r="121" spans="19:35" x14ac:dyDescent="0.25"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</row>
    <row r="122" spans="19:35" x14ac:dyDescent="0.25"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</row>
    <row r="123" spans="19:35" x14ac:dyDescent="0.25"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</row>
    <row r="124" spans="19:35" x14ac:dyDescent="0.25"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</row>
    <row r="125" spans="19:35" x14ac:dyDescent="0.25"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</row>
    <row r="126" spans="19:35" x14ac:dyDescent="0.25">
      <c r="S126" s="243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</row>
    <row r="127" spans="19:35" x14ac:dyDescent="0.25"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</row>
    <row r="128" spans="19:35" x14ac:dyDescent="0.25"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</row>
    <row r="129" spans="19:35" x14ac:dyDescent="0.25"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</row>
    <row r="130" spans="19:35" x14ac:dyDescent="0.25"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</row>
    <row r="131" spans="19:35" x14ac:dyDescent="0.25"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</row>
    <row r="132" spans="19:35" x14ac:dyDescent="0.25"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</row>
    <row r="133" spans="19:35" x14ac:dyDescent="0.25"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</row>
    <row r="134" spans="19:35" x14ac:dyDescent="0.25"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</row>
    <row r="135" spans="19:35" x14ac:dyDescent="0.25"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</row>
    <row r="136" spans="19:35" x14ac:dyDescent="0.25"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</row>
    <row r="137" spans="19:35" x14ac:dyDescent="0.25"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</row>
    <row r="138" spans="19:35" x14ac:dyDescent="0.25"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</row>
    <row r="139" spans="19:35" x14ac:dyDescent="0.25"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</row>
    <row r="140" spans="19:35" x14ac:dyDescent="0.25">
      <c r="S140" s="243"/>
      <c r="T140" s="243"/>
      <c r="U140" s="243"/>
      <c r="V140" s="243"/>
      <c r="W140" s="243"/>
      <c r="X140" s="243"/>
      <c r="Y140" s="243"/>
      <c r="Z140" s="243"/>
      <c r="AA140" s="243"/>
      <c r="AB140" s="243"/>
      <c r="AC140" s="243"/>
      <c r="AD140" s="243"/>
      <c r="AE140" s="243"/>
      <c r="AF140" s="243"/>
      <c r="AG140" s="243"/>
      <c r="AH140" s="243"/>
      <c r="AI140" s="243"/>
    </row>
    <row r="141" spans="19:35" x14ac:dyDescent="0.25">
      <c r="S141" s="243"/>
      <c r="T141" s="243"/>
      <c r="U141" s="243"/>
      <c r="V141" s="243"/>
      <c r="W141" s="243"/>
      <c r="X141" s="243"/>
      <c r="Y141" s="243"/>
      <c r="Z141" s="243"/>
      <c r="AA141" s="243"/>
      <c r="AB141" s="243"/>
      <c r="AC141" s="243"/>
      <c r="AD141" s="243"/>
      <c r="AE141" s="243"/>
      <c r="AF141" s="243"/>
      <c r="AG141" s="243"/>
      <c r="AH141" s="243"/>
      <c r="AI141" s="243"/>
    </row>
    <row r="142" spans="19:35" x14ac:dyDescent="0.25">
      <c r="S142" s="243"/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</row>
    <row r="143" spans="19:35" x14ac:dyDescent="0.25">
      <c r="S143" s="243"/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</row>
    <row r="144" spans="19:35" x14ac:dyDescent="0.25">
      <c r="S144" s="243"/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</row>
    <row r="145" spans="19:35" x14ac:dyDescent="0.25"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</row>
    <row r="146" spans="19:35" x14ac:dyDescent="0.25"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</row>
    <row r="147" spans="19:35" x14ac:dyDescent="0.25">
      <c r="S147" s="243"/>
      <c r="T147" s="243"/>
      <c r="U147" s="243"/>
      <c r="V147" s="243"/>
      <c r="W147" s="243"/>
      <c r="X147" s="243"/>
      <c r="Y147" s="243"/>
      <c r="Z147" s="243"/>
      <c r="AA147" s="243"/>
      <c r="AB147" s="243"/>
      <c r="AC147" s="243"/>
      <c r="AD147" s="243"/>
      <c r="AE147" s="243"/>
      <c r="AF147" s="243"/>
      <c r="AG147" s="243"/>
      <c r="AH147" s="243"/>
      <c r="AI147" s="243"/>
    </row>
    <row r="148" spans="19:35" x14ac:dyDescent="0.25">
      <c r="S148" s="243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3"/>
      <c r="AD148" s="243"/>
      <c r="AE148" s="243"/>
      <c r="AF148" s="243"/>
      <c r="AG148" s="243"/>
      <c r="AH148" s="243"/>
      <c r="AI148" s="243"/>
    </row>
    <row r="149" spans="19:35" x14ac:dyDescent="0.25"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243"/>
      <c r="AF149" s="243"/>
      <c r="AG149" s="243"/>
      <c r="AH149" s="243"/>
      <c r="AI149" s="243"/>
    </row>
    <row r="150" spans="19:35" x14ac:dyDescent="0.25"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</row>
    <row r="151" spans="19:35" x14ac:dyDescent="0.25">
      <c r="S151" s="243"/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</row>
    <row r="152" spans="19:35" x14ac:dyDescent="0.25"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</row>
    <row r="153" spans="19:35" x14ac:dyDescent="0.25"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</row>
    <row r="154" spans="19:35" x14ac:dyDescent="0.25">
      <c r="S154" s="243"/>
      <c r="T154" s="243"/>
      <c r="U154" s="243"/>
      <c r="V154" s="243"/>
      <c r="W154" s="243"/>
      <c r="X154" s="243"/>
      <c r="Y154" s="243"/>
      <c r="Z154" s="243"/>
      <c r="AA154" s="243"/>
      <c r="AB154" s="243"/>
      <c r="AC154" s="243"/>
      <c r="AD154" s="243"/>
      <c r="AE154" s="243"/>
      <c r="AF154" s="243"/>
      <c r="AG154" s="243"/>
      <c r="AH154" s="243"/>
      <c r="AI154" s="243"/>
    </row>
    <row r="155" spans="19:35" x14ac:dyDescent="0.25">
      <c r="S155" s="243"/>
      <c r="T155" s="243"/>
      <c r="U155" s="243"/>
      <c r="V155" s="243"/>
      <c r="W155" s="243"/>
      <c r="X155" s="243"/>
      <c r="Y155" s="243"/>
      <c r="Z155" s="243"/>
      <c r="AA155" s="243"/>
      <c r="AB155" s="243"/>
      <c r="AC155" s="243"/>
      <c r="AD155" s="243"/>
      <c r="AE155" s="243"/>
      <c r="AF155" s="243"/>
      <c r="AG155" s="243"/>
      <c r="AH155" s="243"/>
      <c r="AI155" s="243"/>
    </row>
    <row r="156" spans="19:35" x14ac:dyDescent="0.25">
      <c r="S156" s="243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</row>
    <row r="157" spans="19:35" x14ac:dyDescent="0.25">
      <c r="S157" s="243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</row>
    <row r="158" spans="19:35" x14ac:dyDescent="0.25">
      <c r="S158" s="24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</row>
    <row r="159" spans="19:35" x14ac:dyDescent="0.25"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</row>
    <row r="160" spans="19:35" x14ac:dyDescent="0.25">
      <c r="S160" s="243"/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</row>
    <row r="161" spans="19:35" x14ac:dyDescent="0.25">
      <c r="S161" s="243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</row>
    <row r="162" spans="19:35" x14ac:dyDescent="0.25">
      <c r="S162" s="243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</row>
    <row r="163" spans="19:35" x14ac:dyDescent="0.25"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</row>
    <row r="164" spans="19:35" x14ac:dyDescent="0.25"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</row>
    <row r="165" spans="19:35" x14ac:dyDescent="0.25">
      <c r="S165" s="243"/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</row>
    <row r="166" spans="19:35" x14ac:dyDescent="0.25">
      <c r="S166" s="243"/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</row>
    <row r="167" spans="19:35" x14ac:dyDescent="0.25">
      <c r="S167" s="243"/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</row>
    <row r="168" spans="19:35" x14ac:dyDescent="0.25">
      <c r="S168" s="243"/>
      <c r="T168" s="243"/>
      <c r="U168" s="243"/>
      <c r="V168" s="243"/>
      <c r="W168" s="243"/>
      <c r="X168" s="243"/>
      <c r="Y168" s="243"/>
      <c r="Z168" s="243"/>
      <c r="AA168" s="243"/>
      <c r="AB168" s="243"/>
      <c r="AC168" s="243"/>
      <c r="AD168" s="243"/>
      <c r="AE168" s="243"/>
      <c r="AF168" s="243"/>
      <c r="AG168" s="243"/>
      <c r="AH168" s="243"/>
      <c r="AI168" s="243"/>
    </row>
  </sheetData>
  <pageMargins left="0.38" right="0.37" top="1.41" bottom="0.87" header="0.5" footer="0.5"/>
  <pageSetup scale="90" orientation="landscape" horizontalDpi="4294967292" verticalDpi="0" r:id="rId1"/>
  <headerFooter alignWithMargins="0">
    <oddHeader>&amp;C&amp;"Times New Roman,Bold"&amp;12&amp;UTABLE 4-3&amp;U
FUNCTIONAL REVENUE ALLOCATIONS AND AVERAGE RATES&amp;"Arial,Regular"&amp;10
&amp;"Times New Roman,Regular" 
(Dollars in Thousands, Average Rates in Cents/kWh)</oddHeader>
    <oddFooter>&amp;C&amp;"Times New Roman,Regular"4-19&amp;&amp;20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4" sqref="B4"/>
    </sheetView>
  </sheetViews>
  <sheetFormatPr defaultColWidth="9.109375" defaultRowHeight="26.4" customHeight="1" x14ac:dyDescent="0.3"/>
  <cols>
    <col min="1" max="3" width="16.6640625" style="58" customWidth="1"/>
    <col min="4" max="4" width="16.6640625" style="62" customWidth="1"/>
    <col min="5" max="5" width="16.6640625" style="63" customWidth="1"/>
    <col min="6" max="16384" width="9.109375" style="49"/>
  </cols>
  <sheetData>
    <row r="1" spans="1:5" s="61" customFormat="1" ht="26.4" customHeight="1" x14ac:dyDescent="0.3">
      <c r="A1" s="247" t="s">
        <v>47</v>
      </c>
      <c r="B1" s="247"/>
      <c r="C1" s="247"/>
      <c r="D1" s="247"/>
      <c r="E1" s="247"/>
    </row>
    <row r="2" spans="1:5" s="61" customFormat="1" ht="26.4" customHeight="1" x14ac:dyDescent="0.3">
      <c r="A2" s="248" t="s">
        <v>19</v>
      </c>
      <c r="B2" s="248"/>
      <c r="C2" s="248"/>
      <c r="D2" s="248"/>
      <c r="E2" s="248"/>
    </row>
    <row r="3" spans="1:5" ht="26.4" customHeight="1" thickBot="1" x14ac:dyDescent="0.35"/>
    <row r="4" spans="1:5" s="48" customFormat="1" ht="26.4" customHeight="1" x14ac:dyDescent="0.3">
      <c r="A4" s="64" t="s">
        <v>28</v>
      </c>
      <c r="B4" s="65" t="s">
        <v>46</v>
      </c>
      <c r="C4" s="65" t="s">
        <v>29</v>
      </c>
      <c r="D4" s="245" t="s">
        <v>30</v>
      </c>
      <c r="E4" s="246"/>
    </row>
    <row r="5" spans="1:5" s="48" customFormat="1" ht="26.4" customHeight="1" x14ac:dyDescent="0.3">
      <c r="A5" s="105"/>
      <c r="B5" s="106" t="s">
        <v>67</v>
      </c>
      <c r="C5" s="106" t="s">
        <v>67</v>
      </c>
      <c r="D5" s="106" t="s">
        <v>71</v>
      </c>
      <c r="E5" s="133" t="s">
        <v>83</v>
      </c>
    </row>
    <row r="6" spans="1:5" s="48" customFormat="1" ht="40.200000000000003" customHeight="1" x14ac:dyDescent="0.3">
      <c r="A6" s="104" t="s">
        <v>32</v>
      </c>
      <c r="B6" s="86">
        <f>'Table 4-6'!B5+'Table 4-9'!B5</f>
        <v>717536321</v>
      </c>
      <c r="C6" s="86">
        <f>'Table 4-6'!D5+'Table 4-9'!D5</f>
        <v>628029258</v>
      </c>
      <c r="D6" s="70">
        <f>'Table 4-6'!F5+'Table 4-9'!F5</f>
        <v>895496973.5</v>
      </c>
      <c r="E6" s="71">
        <v>460697775</v>
      </c>
    </row>
    <row r="7" spans="1:5" ht="26.4" customHeight="1" x14ac:dyDescent="0.3">
      <c r="A7" s="59" t="s">
        <v>33</v>
      </c>
      <c r="B7" s="69">
        <f>'Table 4-6'!B6+'Table 4-9'!B6</f>
        <v>213181365</v>
      </c>
      <c r="C7" s="69">
        <f>'Table 4-6'!D6+'Table 4-9'!D6</f>
        <v>209289034</v>
      </c>
      <c r="D7" s="70">
        <f>'Table 4-6'!F6+'Table 4-9'!F6</f>
        <v>251516811.5</v>
      </c>
      <c r="E7" s="71">
        <f>140302931-976255</f>
        <v>139326676</v>
      </c>
    </row>
    <row r="8" spans="1:5" ht="26.4" customHeight="1" x14ac:dyDescent="0.3">
      <c r="A8" s="59" t="s">
        <v>34</v>
      </c>
      <c r="B8" s="69">
        <f>'Table 4-6'!B7+'Table 4-9'!B7</f>
        <v>279683135</v>
      </c>
      <c r="C8" s="69">
        <f>'Table 4-6'!D7+'Table 4-9'!D7</f>
        <v>210337613</v>
      </c>
      <c r="D8" s="70">
        <f>'Table 4-6'!F7+'Table 4-9'!F7</f>
        <v>307638841</v>
      </c>
      <c r="E8" s="71">
        <v>209989193</v>
      </c>
    </row>
    <row r="9" spans="1:5" ht="26.4" customHeight="1" x14ac:dyDescent="0.3">
      <c r="A9" s="59" t="s">
        <v>35</v>
      </c>
      <c r="B9" s="69">
        <f>'Table 4-6'!B8+'Table 4-9'!B8</f>
        <v>33644949</v>
      </c>
      <c r="C9" s="69">
        <f>'Table 4-6'!D8+'Table 4-9'!D8</f>
        <v>20105296</v>
      </c>
      <c r="D9" s="70">
        <f>'Table 4-6'!F8+'Table 4-9'!F8</f>
        <v>151244116</v>
      </c>
      <c r="E9" s="71">
        <v>99811918</v>
      </c>
    </row>
    <row r="10" spans="1:5" ht="26.4" customHeight="1" x14ac:dyDescent="0.3">
      <c r="A10" s="94" t="s">
        <v>36</v>
      </c>
      <c r="B10" s="87"/>
      <c r="C10" s="87"/>
      <c r="D10" s="88"/>
      <c r="E10" s="89"/>
    </row>
    <row r="11" spans="1:5" ht="26.4" customHeight="1" x14ac:dyDescent="0.3">
      <c r="A11" s="90" t="s">
        <v>38</v>
      </c>
      <c r="B11" s="91">
        <f>'Table 4-6'!B10+'Table 4-9'!B10</f>
        <v>84684</v>
      </c>
      <c r="C11" s="91">
        <f>'Table 4-6'!D10+'Table 4-9'!D10</f>
        <v>49019</v>
      </c>
      <c r="D11" s="92">
        <f>'Table 4-6'!F10+'Table 4-9'!F10</f>
        <v>49019</v>
      </c>
      <c r="E11" s="93">
        <f>'Table 4-9'!F10</f>
        <v>0</v>
      </c>
    </row>
    <row r="12" spans="1:5" ht="26.4" customHeight="1" x14ac:dyDescent="0.3">
      <c r="A12" s="90" t="s">
        <v>39</v>
      </c>
      <c r="B12" s="91">
        <f>'Table 4-6'!B11+'Table 4-9'!B11</f>
        <v>4185970</v>
      </c>
      <c r="C12" s="91">
        <f>'Table 4-6'!D11+'Table 4-9'!D11</f>
        <v>3520120</v>
      </c>
      <c r="D12" s="92">
        <f>'Table 4-6'!F11+'Table 4-9'!F11</f>
        <v>7197541</v>
      </c>
      <c r="E12" s="93">
        <v>5660959</v>
      </c>
    </row>
    <row r="13" spans="1:5" ht="26.4" customHeight="1" x14ac:dyDescent="0.3">
      <c r="A13" s="85" t="s">
        <v>40</v>
      </c>
      <c r="B13" s="86">
        <f>'Table 4-6'!B12+'Table 4-9'!B12</f>
        <v>48721611</v>
      </c>
      <c r="C13" s="86">
        <f>'Table 4-6'!D12+'Table 4-9'!D12</f>
        <v>28756995</v>
      </c>
      <c r="D13" s="70">
        <f>'Table 4-6'!F12+'Table 4-9'!F12</f>
        <v>52334746</v>
      </c>
      <c r="E13" s="71">
        <v>41330834</v>
      </c>
    </row>
    <row r="14" spans="1:5" ht="26.4" customHeight="1" x14ac:dyDescent="0.3">
      <c r="A14" s="94" t="s">
        <v>37</v>
      </c>
      <c r="B14" s="87"/>
      <c r="C14" s="87"/>
      <c r="D14" s="88"/>
      <c r="E14" s="89"/>
    </row>
    <row r="15" spans="1:5" ht="26.4" customHeight="1" x14ac:dyDescent="0.3">
      <c r="A15" s="90" t="s">
        <v>38</v>
      </c>
      <c r="B15" s="91">
        <f>'Table 4-6'!B14+'Table 4-9'!B14</f>
        <v>2237754</v>
      </c>
      <c r="C15" s="91">
        <f>'Table 4-6'!D14+'Table 4-9'!D14</f>
        <v>3050258</v>
      </c>
      <c r="D15" s="92">
        <f>'Table 4-6'!F14+'Table 4-9'!F14</f>
        <v>3050258</v>
      </c>
      <c r="E15" s="93">
        <f>'Table 4-9'!F14</f>
        <v>0</v>
      </c>
    </row>
    <row r="16" spans="1:5" ht="26.4" customHeight="1" x14ac:dyDescent="0.3">
      <c r="A16" s="90" t="s">
        <v>39</v>
      </c>
      <c r="B16" s="91">
        <f>'Table 4-6'!B15+'Table 4-9'!B15</f>
        <v>42861542</v>
      </c>
      <c r="C16" s="91">
        <f>'Table 4-6'!D15+'Table 4-9'!D15</f>
        <v>43618974</v>
      </c>
      <c r="D16" s="92">
        <f>'Table 4-6'!F15+'Table 4-9'!F15</f>
        <v>78133532.5</v>
      </c>
      <c r="E16" s="93">
        <v>61519267</v>
      </c>
    </row>
    <row r="17" spans="1:5" ht="26.4" customHeight="1" x14ac:dyDescent="0.3">
      <c r="A17" s="85" t="s">
        <v>40</v>
      </c>
      <c r="B17" s="86">
        <f>'Table 4-6'!B16+'Table 4-9'!B16</f>
        <v>47715911</v>
      </c>
      <c r="C17" s="86">
        <f>'Table 4-6'!D16+'Table 4-9'!D16</f>
        <v>25805503</v>
      </c>
      <c r="D17" s="70">
        <f>'Table 4-6'!F16+'Table 4-9'!F16</f>
        <v>51254242.5</v>
      </c>
      <c r="E17" s="71">
        <v>38338846</v>
      </c>
    </row>
    <row r="18" spans="1:5" ht="26.4" customHeight="1" x14ac:dyDescent="0.3">
      <c r="A18" s="59" t="s">
        <v>41</v>
      </c>
      <c r="B18" s="69">
        <f>'Table 4-6'!B17+'Table 4-9'!B17</f>
        <v>2428959</v>
      </c>
      <c r="C18" s="69">
        <f>'Table 4-6'!D17+'Table 4-9'!D17</f>
        <v>2712945</v>
      </c>
      <c r="D18" s="70">
        <f>'Table 4-6'!F17+'Table 4-9'!F17</f>
        <v>3376736</v>
      </c>
      <c r="E18" s="71">
        <v>1114896</v>
      </c>
    </row>
    <row r="19" spans="1:5" ht="26.4" customHeight="1" x14ac:dyDescent="0.3">
      <c r="A19" s="59" t="s">
        <v>42</v>
      </c>
      <c r="B19" s="69">
        <f>'Table 4-6'!B18+'Table 4-9'!B18</f>
        <v>5058170</v>
      </c>
      <c r="C19" s="69">
        <f>'Table 4-6'!D18+'Table 4-9'!D18</f>
        <v>7190817</v>
      </c>
      <c r="D19" s="70">
        <f>'Table 4-6'!F18+'Table 4-9'!F18</f>
        <v>9131443</v>
      </c>
      <c r="E19" s="71">
        <v>2358111</v>
      </c>
    </row>
    <row r="20" spans="1:5" ht="26.4" customHeight="1" x14ac:dyDescent="0.3">
      <c r="A20" s="59" t="s">
        <v>43</v>
      </c>
      <c r="B20" s="69">
        <f>'Table 4-6'!B19+'Table 4-9'!B19</f>
        <v>4273456</v>
      </c>
      <c r="C20" s="69">
        <f>'Table 4-6'!D19+'Table 4-9'!D19</f>
        <v>3956635</v>
      </c>
      <c r="D20" s="70">
        <f>'Table 4-6'!F19+'Table 4-9'!F19</f>
        <v>3392266</v>
      </c>
      <c r="E20" s="71">
        <v>976255</v>
      </c>
    </row>
    <row r="21" spans="1:5" ht="26.4" customHeight="1" x14ac:dyDescent="0.3">
      <c r="A21" s="59" t="s">
        <v>44</v>
      </c>
      <c r="B21" s="69">
        <f>'Table 4-6'!B20+'Table 4-9'!B20</f>
        <v>415870</v>
      </c>
      <c r="C21" s="69">
        <f>'Table 4-6'!D20+'Table 4-9'!D20</f>
        <v>280650</v>
      </c>
      <c r="D21" s="70">
        <f>'Table 4-6'!F20+'Table 4-9'!F20</f>
        <v>466616</v>
      </c>
      <c r="E21" s="71">
        <v>279991</v>
      </c>
    </row>
    <row r="22" spans="1:5" ht="26.4" customHeight="1" thickBot="1" x14ac:dyDescent="0.35">
      <c r="A22" s="60" t="s">
        <v>45</v>
      </c>
      <c r="B22" s="72">
        <f>'Table 4-6'!B21+'Table 4-9'!B21</f>
        <v>1402029696</v>
      </c>
      <c r="C22" s="72">
        <f>'Table 4-6'!D21+'Table 4-9'!D21</f>
        <v>1186703117</v>
      </c>
      <c r="D22" s="73">
        <f>'Table 4-6'!F21+'Table 4-9'!F21</f>
        <v>1814283142</v>
      </c>
      <c r="E22" s="74">
        <f>SUM(E6:E21)</f>
        <v>1061404721</v>
      </c>
    </row>
    <row r="23" spans="1:5" ht="26.4" customHeight="1" x14ac:dyDescent="0.3">
      <c r="A23" s="58" t="s">
        <v>138</v>
      </c>
    </row>
    <row r="24" spans="1:5" ht="26.4" customHeight="1" x14ac:dyDescent="0.3">
      <c r="A24" s="58" t="s">
        <v>70</v>
      </c>
    </row>
  </sheetData>
  <mergeCells count="3">
    <mergeCell ref="D4:E4"/>
    <mergeCell ref="A1:E1"/>
    <mergeCell ref="A2:E2"/>
  </mergeCells>
  <pageMargins left="1.05" right="0.49" top="1" bottom="1" header="0.5" footer="0.5"/>
  <pageSetup orientation="portrait" r:id="rId1"/>
  <headerFooter alignWithMargins="0">
    <oddFooter>&amp;C&amp;"Times New Roman,Regular"4-21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1"/>
    </sheetView>
  </sheetViews>
  <sheetFormatPr defaultColWidth="9.109375" defaultRowHeight="27" customHeight="1" x14ac:dyDescent="0.3"/>
  <cols>
    <col min="1" max="1" width="17.5546875" style="2" customWidth="1"/>
    <col min="2" max="4" width="15.6640625" style="4" customWidth="1"/>
    <col min="5" max="5" width="14.33203125" style="2" customWidth="1"/>
    <col min="6" max="16384" width="9.109375" style="2"/>
  </cols>
  <sheetData>
    <row r="1" spans="1:5" ht="27" customHeight="1" x14ac:dyDescent="0.3">
      <c r="A1" s="249" t="s">
        <v>48</v>
      </c>
      <c r="B1" s="249"/>
      <c r="C1" s="249"/>
      <c r="D1" s="249"/>
      <c r="E1" s="249"/>
    </row>
    <row r="2" spans="1:5" ht="27" customHeight="1" x14ac:dyDescent="0.3">
      <c r="A2" s="250" t="s">
        <v>20</v>
      </c>
      <c r="B2" s="250"/>
      <c r="C2" s="250"/>
      <c r="D2" s="250"/>
      <c r="E2" s="250"/>
    </row>
    <row r="3" spans="1:5" ht="27" customHeight="1" thickBot="1" x14ac:dyDescent="0.35"/>
    <row r="4" spans="1:5" s="48" customFormat="1" ht="26.4" customHeight="1" x14ac:dyDescent="0.3">
      <c r="A4" s="64" t="s">
        <v>28</v>
      </c>
      <c r="B4" s="65" t="s">
        <v>46</v>
      </c>
      <c r="C4" s="65" t="s">
        <v>29</v>
      </c>
      <c r="D4" s="245" t="s">
        <v>30</v>
      </c>
      <c r="E4" s="246"/>
    </row>
    <row r="5" spans="1:5" s="48" customFormat="1" ht="26.4" customHeight="1" x14ac:dyDescent="0.3">
      <c r="A5" s="105"/>
      <c r="B5" s="106" t="s">
        <v>67</v>
      </c>
      <c r="C5" s="106" t="s">
        <v>67</v>
      </c>
      <c r="D5" s="106" t="s">
        <v>71</v>
      </c>
      <c r="E5" s="133" t="s">
        <v>83</v>
      </c>
    </row>
    <row r="6" spans="1:5" ht="40.200000000000003" customHeight="1" x14ac:dyDescent="0.3">
      <c r="A6" s="9" t="s">
        <v>32</v>
      </c>
      <c r="B6" s="28">
        <f>'Table 4-4'!B6/'Table 4-4'!$B$22</f>
        <v>0.51178396794813685</v>
      </c>
      <c r="C6" s="28">
        <f>'Table 4-4'!C6/'Table 4-4'!$C$22</f>
        <v>0.52922188288142835</v>
      </c>
      <c r="D6" s="28">
        <f>'Table 4-4'!D6/'Table 4-4'!$D$22</f>
        <v>0.49358170881356289</v>
      </c>
      <c r="E6" s="53">
        <f>'Table 4-4'!E6/'Table 4-4'!$E$22</f>
        <v>0.43404534188047955</v>
      </c>
    </row>
    <row r="7" spans="1:5" ht="27" customHeight="1" x14ac:dyDescent="0.3">
      <c r="A7" s="6" t="s">
        <v>33</v>
      </c>
      <c r="B7" s="14">
        <f>'Table 4-4'!B7/'Table 4-4'!$B$22</f>
        <v>0.15205196124462117</v>
      </c>
      <c r="C7" s="14">
        <f>'Table 4-4'!C7/'Table 4-4'!$C$22</f>
        <v>0.1763617462546869</v>
      </c>
      <c r="D7" s="14">
        <f>'Table 4-4'!D7/'Table 4-4'!$D$22</f>
        <v>0.13863150997629675</v>
      </c>
      <c r="E7" s="29">
        <f>'Table 4-4'!E7/'Table 4-4'!$E$22</f>
        <v>0.13126630515524154</v>
      </c>
    </row>
    <row r="8" spans="1:5" ht="27" customHeight="1" x14ac:dyDescent="0.3">
      <c r="A8" s="6" t="s">
        <v>34</v>
      </c>
      <c r="B8" s="14">
        <f>'Table 4-4'!B8/'Table 4-4'!$B$22</f>
        <v>0.19948445870864065</v>
      </c>
      <c r="C8" s="14">
        <f>'Table 4-4'!C8/'Table 4-4'!$C$22</f>
        <v>0.17724535310207667</v>
      </c>
      <c r="D8" s="14">
        <f>'Table 4-4'!D8/'Table 4-4'!$D$22</f>
        <v>0.16956495592020443</v>
      </c>
      <c r="E8" s="29">
        <f>'Table 4-4'!E8/'Table 4-4'!$E$22</f>
        <v>0.19784083191391796</v>
      </c>
    </row>
    <row r="9" spans="1:5" ht="27" customHeight="1" x14ac:dyDescent="0.3">
      <c r="A9" s="6" t="s">
        <v>35</v>
      </c>
      <c r="B9" s="14">
        <f>'Table 4-4'!B9/'Table 4-4'!$B$22</f>
        <v>2.3997315531895838E-2</v>
      </c>
      <c r="C9" s="14">
        <f>'Table 4-4'!C9/'Table 4-4'!$C$22</f>
        <v>1.6942144763912339E-2</v>
      </c>
      <c r="D9" s="14">
        <f>'Table 4-4'!D9/'Table 4-4'!$D$22</f>
        <v>8.3363016774368512E-2</v>
      </c>
      <c r="E9" s="29">
        <f>'Table 4-4'!E9/'Table 4-4'!$E$22</f>
        <v>9.403756740968934E-2</v>
      </c>
    </row>
    <row r="10" spans="1:5" ht="27" customHeight="1" x14ac:dyDescent="0.3">
      <c r="A10" s="95" t="s">
        <v>36</v>
      </c>
      <c r="B10" s="77"/>
      <c r="C10" s="77"/>
      <c r="D10" s="77"/>
      <c r="E10" s="96"/>
    </row>
    <row r="11" spans="1:5" ht="27" customHeight="1" x14ac:dyDescent="0.3">
      <c r="A11" s="80" t="s">
        <v>38</v>
      </c>
      <c r="B11" s="82">
        <f>'Table 4-4'!B11/'Table 4-4'!$B$22</f>
        <v>6.0401003089737694E-5</v>
      </c>
      <c r="C11" s="82">
        <f>'Table 4-4'!C11/'Table 4-4'!$C$22</f>
        <v>4.1306877261703527E-5</v>
      </c>
      <c r="D11" s="82">
        <f>'Table 4-4'!D11/'Table 4-4'!$D$22</f>
        <v>2.7018384763231185E-5</v>
      </c>
      <c r="E11" s="97">
        <f>'Table 4-4'!E11/'Table 4-4'!$E$22</f>
        <v>0</v>
      </c>
    </row>
    <row r="12" spans="1:5" ht="27" customHeight="1" x14ac:dyDescent="0.3">
      <c r="A12" s="80" t="s">
        <v>39</v>
      </c>
      <c r="B12" s="82">
        <f>'Table 4-4'!B12/'Table 4-4'!$B$22</f>
        <v>2.9856500272017064E-3</v>
      </c>
      <c r="C12" s="82">
        <f>'Table 4-4'!C12/'Table 4-4'!$C$22</f>
        <v>2.9663021437905264E-3</v>
      </c>
      <c r="D12" s="82">
        <f>'Table 4-4'!D12/'Table 4-4'!$D$22</f>
        <v>3.9671542072896582E-3</v>
      </c>
      <c r="E12" s="97">
        <f>'Table 4-4'!E12/'Table 4-4'!$E$22</f>
        <v>5.3334594127926443E-3</v>
      </c>
    </row>
    <row r="13" spans="1:5" ht="27" customHeight="1" x14ac:dyDescent="0.3">
      <c r="A13" s="75" t="s">
        <v>40</v>
      </c>
      <c r="B13" s="28">
        <f>'Table 4-4'!B13/'Table 4-4'!$B$22</f>
        <v>3.4750769644183055E-2</v>
      </c>
      <c r="C13" s="28">
        <f>'Table 4-4'!C13/'Table 4-4'!$C$22</f>
        <v>2.4232678407972868E-2</v>
      </c>
      <c r="D13" s="28">
        <f>'Table 4-4'!D13/'Table 4-4'!$D$22</f>
        <v>2.8845963889797308E-2</v>
      </c>
      <c r="E13" s="53">
        <f>'Table 4-4'!E13/'Table 4-4'!$E$22</f>
        <v>3.8939749543473151E-2</v>
      </c>
    </row>
    <row r="14" spans="1:5" ht="27" customHeight="1" x14ac:dyDescent="0.3">
      <c r="A14" s="100" t="s">
        <v>37</v>
      </c>
      <c r="B14" s="98"/>
      <c r="C14" s="98"/>
      <c r="D14" s="98"/>
      <c r="E14" s="101"/>
    </row>
    <row r="15" spans="1:5" ht="27" customHeight="1" x14ac:dyDescent="0.3">
      <c r="A15" s="80" t="s">
        <v>38</v>
      </c>
      <c r="B15" s="98">
        <f>'Table 4-4'!B15/'Table 4-4'!$B$22</f>
        <v>1.5960817423370753E-3</v>
      </c>
      <c r="C15" s="98">
        <f>'Table 4-4'!C15/'Table 4-4'!$C$22</f>
        <v>2.5703631820830552E-3</v>
      </c>
      <c r="D15" s="98">
        <f>'Table 4-4'!D15/'Table 4-4'!$D$22</f>
        <v>1.6812469505931174E-3</v>
      </c>
      <c r="E15" s="101">
        <f>'Table 4-4'!E15/'Table 4-4'!$E$22</f>
        <v>0</v>
      </c>
    </row>
    <row r="16" spans="1:5" ht="27" customHeight="1" x14ac:dyDescent="0.3">
      <c r="A16" s="80" t="s">
        <v>39</v>
      </c>
      <c r="B16" s="98">
        <f>'Table 4-4'!B16/'Table 4-4'!$B$22</f>
        <v>3.057106573582875E-2</v>
      </c>
      <c r="C16" s="98">
        <f>'Table 4-4'!C16/'Table 4-4'!$C$22</f>
        <v>3.6756433327881789E-2</v>
      </c>
      <c r="D16" s="98">
        <f>'Table 4-4'!D16/'Table 4-4'!$D$22</f>
        <v>4.3065787633273393E-2</v>
      </c>
      <c r="E16" s="101">
        <f>'Table 4-4'!E16/'Table 4-4'!$E$22</f>
        <v>5.7960234944159437E-2</v>
      </c>
    </row>
    <row r="17" spans="1:5" ht="27" customHeight="1" x14ac:dyDescent="0.3">
      <c r="A17" s="75" t="s">
        <v>40</v>
      </c>
      <c r="B17" s="99">
        <f>'Table 4-4'!B17/'Table 4-4'!$B$22</f>
        <v>3.4033452455489215E-2</v>
      </c>
      <c r="C17" s="99">
        <f>'Table 4-4'!C17/'Table 4-4'!$C$22</f>
        <v>2.1745542444715767E-2</v>
      </c>
      <c r="D17" s="28">
        <f>'Table 4-4'!D17/'Table 4-4'!$D$22</f>
        <v>2.8250409935187504E-2</v>
      </c>
      <c r="E17" s="53">
        <f>'Table 4-4'!E17/'Table 4-4'!$E$22</f>
        <v>3.6120854977806344E-2</v>
      </c>
    </row>
    <row r="18" spans="1:5" ht="27" customHeight="1" x14ac:dyDescent="0.3">
      <c r="A18" s="6" t="s">
        <v>41</v>
      </c>
      <c r="B18" s="14">
        <f>'Table 4-4'!B18/'Table 4-4'!$B$22</f>
        <v>1.7324590248907253E-3</v>
      </c>
      <c r="C18" s="14">
        <f>'Table 4-4'!C18/'Table 4-4'!$C$22</f>
        <v>2.2861193849885203E-3</v>
      </c>
      <c r="D18" s="14">
        <f>'Table 4-4'!D18/'Table 4-4'!$D$22</f>
        <v>1.8611957096606258E-3</v>
      </c>
      <c r="E18" s="29">
        <f>'Table 4-4'!E18/'Table 4-4'!$E$22</f>
        <v>1.0503966846403352E-3</v>
      </c>
    </row>
    <row r="19" spans="1:5" ht="27" customHeight="1" x14ac:dyDescent="0.3">
      <c r="A19" s="6" t="s">
        <v>42</v>
      </c>
      <c r="B19" s="14">
        <f>'Table 4-4'!B19/'Table 4-4'!$B$22</f>
        <v>3.6077481200512316E-3</v>
      </c>
      <c r="C19" s="14">
        <f>'Table 4-4'!C19/'Table 4-4'!$C$22</f>
        <v>6.0594911203894651E-3</v>
      </c>
      <c r="D19" s="14">
        <f>'Table 4-4'!D19/'Table 4-4'!$D$22</f>
        <v>5.0330859547831263E-3</v>
      </c>
      <c r="E19" s="29">
        <f>'Table 4-4'!E19/'Table 4-4'!$E$22</f>
        <v>2.2216888179829378E-3</v>
      </c>
    </row>
    <row r="20" spans="1:5" ht="27" customHeight="1" x14ac:dyDescent="0.3">
      <c r="A20" s="6" t="s">
        <v>43</v>
      </c>
      <c r="B20" s="14">
        <f>'Table 4-4'!B20/'Table 4-4'!$B$22</f>
        <v>3.0480495614266931E-3</v>
      </c>
      <c r="C20" s="14">
        <f>'Table 4-4'!C20/'Table 4-4'!$C$22</f>
        <v>3.3341405641559465E-3</v>
      </c>
      <c r="D20" s="14">
        <f>'Table 4-4'!D20/'Table 4-4'!$D$22</f>
        <v>1.8697555643164324E-3</v>
      </c>
      <c r="E20" s="29">
        <f>'Table 4-4'!E20/'Table 4-4'!$E$22</f>
        <v>9.1977638754067682E-4</v>
      </c>
    </row>
    <row r="21" spans="1:5" ht="27" customHeight="1" x14ac:dyDescent="0.3">
      <c r="A21" s="6" t="s">
        <v>44</v>
      </c>
      <c r="B21" s="14">
        <f>'Table 4-4'!B21/'Table 4-4'!$B$22</f>
        <v>2.9661996545899126E-4</v>
      </c>
      <c r="C21" s="14">
        <f>'Table 4-4'!C21/'Table 4-4'!$C$22</f>
        <v>2.3649554465609448E-4</v>
      </c>
      <c r="D21" s="14">
        <f>'Table 4-4'!D21/'Table 4-4'!$D$22</f>
        <v>2.5719028590301483E-4</v>
      </c>
      <c r="E21" s="29">
        <f>'Table 4-4'!E21/'Table 4-4'!$E$22</f>
        <v>2.637928722760976E-4</v>
      </c>
    </row>
    <row r="22" spans="1:5" ht="27" customHeight="1" thickBot="1" x14ac:dyDescent="0.35">
      <c r="A22" s="7" t="s">
        <v>45</v>
      </c>
      <c r="B22" s="15">
        <f>'Table 4-4'!B22/'Table 4-4'!$B$22</f>
        <v>1</v>
      </c>
      <c r="C22" s="15">
        <f>'Table 4-4'!C22/'Table 4-4'!$C$22</f>
        <v>1</v>
      </c>
      <c r="D22" s="15">
        <f>'Table 4-4'!D22/'Table 4-4'!$D$22</f>
        <v>1</v>
      </c>
      <c r="E22" s="30">
        <f>'Table 4-4'!E22/'Table 4-4'!$E$22</f>
        <v>1</v>
      </c>
    </row>
    <row r="23" spans="1:5" ht="27" customHeight="1" x14ac:dyDescent="0.3">
      <c r="A23" s="58" t="s">
        <v>139</v>
      </c>
    </row>
    <row r="24" spans="1:5" ht="27" customHeight="1" x14ac:dyDescent="0.3">
      <c r="A24" s="58" t="s">
        <v>140</v>
      </c>
    </row>
  </sheetData>
  <mergeCells count="3">
    <mergeCell ref="D4:E4"/>
    <mergeCell ref="A1:E1"/>
    <mergeCell ref="A2:E2"/>
  </mergeCells>
  <pageMargins left="0.96" right="0.49" top="1" bottom="1" header="0.5" footer="0.5"/>
  <pageSetup orientation="portrait" r:id="rId1"/>
  <headerFooter alignWithMargins="0">
    <oddFooter>&amp;C&amp;"Times New Roman,Regular"4-22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workbookViewId="0">
      <selection sqref="A1:G1"/>
    </sheetView>
  </sheetViews>
  <sheetFormatPr defaultColWidth="9.109375" defaultRowHeight="27" customHeight="1" x14ac:dyDescent="0.3"/>
  <cols>
    <col min="1" max="1" width="17.5546875" style="2" customWidth="1"/>
    <col min="2" max="2" width="15.6640625" style="4" customWidth="1"/>
    <col min="3" max="3" width="10.44140625" style="47" customWidth="1"/>
    <col min="4" max="4" width="18.44140625" style="4" customWidth="1"/>
    <col min="5" max="5" width="10.88671875" style="47" customWidth="1"/>
    <col min="6" max="6" width="18" style="49" customWidth="1"/>
    <col min="7" max="7" width="10.33203125" style="2" customWidth="1"/>
    <col min="8" max="16384" width="9.109375" style="2"/>
  </cols>
  <sheetData>
    <row r="1" spans="1:7" ht="27" customHeight="1" x14ac:dyDescent="0.3">
      <c r="A1" s="249" t="s">
        <v>49</v>
      </c>
      <c r="B1" s="249"/>
      <c r="C1" s="249"/>
      <c r="D1" s="249"/>
      <c r="E1" s="249"/>
      <c r="F1" s="249"/>
      <c r="G1" s="249"/>
    </row>
    <row r="2" spans="1:7" ht="27" customHeight="1" x14ac:dyDescent="0.3">
      <c r="A2" s="250" t="s">
        <v>21</v>
      </c>
      <c r="B2" s="250"/>
      <c r="C2" s="250"/>
      <c r="D2" s="250"/>
      <c r="E2" s="250"/>
      <c r="F2" s="250"/>
      <c r="G2" s="250"/>
    </row>
    <row r="3" spans="1:7" ht="27" customHeight="1" thickBot="1" x14ac:dyDescent="0.35"/>
    <row r="4" spans="1:7" s="1" customFormat="1" ht="27" customHeight="1" x14ac:dyDescent="0.3">
      <c r="A4" s="31" t="s">
        <v>28</v>
      </c>
      <c r="B4" s="32" t="s">
        <v>121</v>
      </c>
      <c r="C4" s="55" t="s">
        <v>31</v>
      </c>
      <c r="D4" s="32" t="s">
        <v>122</v>
      </c>
      <c r="E4" s="55" t="s">
        <v>31</v>
      </c>
      <c r="F4" s="54" t="s">
        <v>124</v>
      </c>
      <c r="G4" s="34" t="s">
        <v>31</v>
      </c>
    </row>
    <row r="5" spans="1:7" ht="40.200000000000003" customHeight="1" x14ac:dyDescent="0.3">
      <c r="A5" s="9" t="s">
        <v>32</v>
      </c>
      <c r="B5" s="10">
        <v>275669849</v>
      </c>
      <c r="C5" s="28">
        <f>B5/$B$21</f>
        <v>0.62229618261162922</v>
      </c>
      <c r="D5" s="10">
        <v>370664731</v>
      </c>
      <c r="E5" s="28">
        <f>D5/$D$21</f>
        <v>0.61419873779843237</v>
      </c>
      <c r="F5" s="52">
        <v>333445688</v>
      </c>
      <c r="G5" s="53">
        <f>F5/$F$21</f>
        <v>0.64202030052660941</v>
      </c>
    </row>
    <row r="6" spans="1:7" ht="27" customHeight="1" x14ac:dyDescent="0.3">
      <c r="A6" s="6" t="s">
        <v>33</v>
      </c>
      <c r="B6" s="5">
        <v>77887824</v>
      </c>
      <c r="C6" s="14">
        <f t="shared" ref="C6:C21" si="0">B6/$B$21</f>
        <v>0.17582370985782503</v>
      </c>
      <c r="D6" s="5">
        <v>140146759</v>
      </c>
      <c r="E6" s="14">
        <f t="shared" ref="E6:E21" si="1">D6/$D$21</f>
        <v>0.23222593164479166</v>
      </c>
      <c r="F6" s="50">
        <f>83739502-2201235</f>
        <v>81538267</v>
      </c>
      <c r="G6" s="29">
        <f t="shared" ref="G6:G21" si="2">F6/$F$21</f>
        <v>0.15699475077260233</v>
      </c>
    </row>
    <row r="7" spans="1:7" ht="27" customHeight="1" x14ac:dyDescent="0.3">
      <c r="A7" s="6" t="s">
        <v>34</v>
      </c>
      <c r="B7" s="5">
        <v>62060940</v>
      </c>
      <c r="C7" s="14">
        <f t="shared" si="0"/>
        <v>0.14009615556937227</v>
      </c>
      <c r="D7" s="5">
        <v>65921762</v>
      </c>
      <c r="E7" s="14">
        <f t="shared" si="1"/>
        <v>0.10923365410195625</v>
      </c>
      <c r="F7" s="50">
        <v>51452025</v>
      </c>
      <c r="G7" s="29">
        <f t="shared" si="2"/>
        <v>9.9066341962120746E-2</v>
      </c>
    </row>
    <row r="8" spans="1:7" ht="27" customHeight="1" x14ac:dyDescent="0.3">
      <c r="A8" s="6" t="s">
        <v>35</v>
      </c>
      <c r="B8" s="5">
        <v>4362155</v>
      </c>
      <c r="C8" s="14">
        <f t="shared" si="0"/>
        <v>9.8471139092916604E-3</v>
      </c>
      <c r="D8" s="5">
        <v>1992724</v>
      </c>
      <c r="E8" s="14">
        <f t="shared" si="1"/>
        <v>3.3019827979820482E-3</v>
      </c>
      <c r="F8" s="50">
        <v>29473576</v>
      </c>
      <c r="G8" s="29">
        <f t="shared" si="2"/>
        <v>5.6748774394449093E-2</v>
      </c>
    </row>
    <row r="9" spans="1:7" ht="27" customHeight="1" x14ac:dyDescent="0.3">
      <c r="A9" s="95" t="s">
        <v>36</v>
      </c>
      <c r="B9" s="76"/>
      <c r="C9" s="77"/>
      <c r="D9" s="76"/>
      <c r="E9" s="77"/>
      <c r="F9" s="102"/>
      <c r="G9" s="96"/>
    </row>
    <row r="10" spans="1:7" ht="27" customHeight="1" x14ac:dyDescent="0.3">
      <c r="A10" s="80" t="s">
        <v>38</v>
      </c>
      <c r="B10" s="81">
        <v>84684</v>
      </c>
      <c r="C10" s="82">
        <f t="shared" si="0"/>
        <v>1.911653745211839E-4</v>
      </c>
      <c r="D10" s="81">
        <v>49019</v>
      </c>
      <c r="E10" s="82">
        <f t="shared" si="1"/>
        <v>8.1225445558081311E-5</v>
      </c>
      <c r="F10" s="103">
        <v>49019</v>
      </c>
      <c r="G10" s="97">
        <f t="shared" si="2"/>
        <v>9.4381766638751278E-5</v>
      </c>
    </row>
    <row r="11" spans="1:7" ht="27" customHeight="1" x14ac:dyDescent="0.3">
      <c r="A11" s="80" t="s">
        <v>39</v>
      </c>
      <c r="B11" s="81">
        <v>122327</v>
      </c>
      <c r="C11" s="82">
        <f t="shared" si="0"/>
        <v>2.7614055511138895E-4</v>
      </c>
      <c r="D11" s="81">
        <v>299809</v>
      </c>
      <c r="E11" s="82">
        <f t="shared" si="1"/>
        <v>4.9678940017794729E-4</v>
      </c>
      <c r="F11" s="103">
        <v>291171</v>
      </c>
      <c r="G11" s="97">
        <f t="shared" si="2"/>
        <v>5.6062411256802155E-4</v>
      </c>
    </row>
    <row r="12" spans="1:7" ht="27" customHeight="1" x14ac:dyDescent="0.3">
      <c r="A12" s="75" t="s">
        <v>40</v>
      </c>
      <c r="B12" s="10">
        <v>4151479</v>
      </c>
      <c r="C12" s="28">
        <f t="shared" si="0"/>
        <v>9.371534621083439E-3</v>
      </c>
      <c r="D12" s="10">
        <v>2064396</v>
      </c>
      <c r="E12" s="28">
        <f t="shared" si="1"/>
        <v>3.4207447093641411E-3</v>
      </c>
      <c r="F12" s="52">
        <v>1911129</v>
      </c>
      <c r="G12" s="53">
        <f t="shared" si="2"/>
        <v>3.6797105468196023E-3</v>
      </c>
    </row>
    <row r="13" spans="1:7" ht="27" customHeight="1" x14ac:dyDescent="0.3">
      <c r="A13" s="95" t="s">
        <v>37</v>
      </c>
      <c r="B13" s="76"/>
      <c r="C13" s="77"/>
      <c r="D13" s="76"/>
      <c r="E13" s="77"/>
      <c r="F13" s="102"/>
      <c r="G13" s="96"/>
    </row>
    <row r="14" spans="1:7" ht="27" customHeight="1" x14ac:dyDescent="0.3">
      <c r="A14" s="80" t="s">
        <v>38</v>
      </c>
      <c r="B14" s="81">
        <v>2237754</v>
      </c>
      <c r="C14" s="82">
        <f t="shared" si="0"/>
        <v>5.051498293612457E-3</v>
      </c>
      <c r="D14" s="81">
        <v>3050258</v>
      </c>
      <c r="E14" s="82">
        <f t="shared" si="1"/>
        <v>5.0543374021726675E-3</v>
      </c>
      <c r="F14" s="103">
        <v>3050258</v>
      </c>
      <c r="G14" s="97">
        <f t="shared" si="2"/>
        <v>5.8730030956156629E-3</v>
      </c>
    </row>
    <row r="15" spans="1:7" ht="27" customHeight="1" x14ac:dyDescent="0.3">
      <c r="A15" s="80" t="s">
        <v>39</v>
      </c>
      <c r="B15" s="81">
        <v>4192296</v>
      </c>
      <c r="C15" s="82">
        <f t="shared" si="0"/>
        <v>9.4636747785137813E-3</v>
      </c>
      <c r="D15" s="81">
        <v>3095958</v>
      </c>
      <c r="E15" s="82">
        <f t="shared" si="1"/>
        <v>5.1300631995574433E-3</v>
      </c>
      <c r="F15" s="103">
        <v>3080028</v>
      </c>
      <c r="G15" s="97">
        <f t="shared" si="2"/>
        <v>5.9303226083114672E-3</v>
      </c>
    </row>
    <row r="16" spans="1:7" ht="27" customHeight="1" x14ac:dyDescent="0.3">
      <c r="A16" s="75" t="s">
        <v>40</v>
      </c>
      <c r="B16" s="10">
        <v>5102602</v>
      </c>
      <c r="C16" s="28">
        <f t="shared" si="0"/>
        <v>1.1518596456975838E-2</v>
      </c>
      <c r="D16" s="10">
        <v>4580730</v>
      </c>
      <c r="E16" s="28">
        <f t="shared" si="1"/>
        <v>7.5903595591764383E-3</v>
      </c>
      <c r="F16" s="52">
        <v>4480851</v>
      </c>
      <c r="G16" s="53">
        <f t="shared" si="2"/>
        <v>8.6274839026707056E-3</v>
      </c>
    </row>
    <row r="17" spans="1:7" ht="27" customHeight="1" x14ac:dyDescent="0.3">
      <c r="A17" s="6" t="s">
        <v>41</v>
      </c>
      <c r="B17" s="5">
        <v>1597881</v>
      </c>
      <c r="C17" s="14">
        <f t="shared" si="0"/>
        <v>3.6070511525823513E-3</v>
      </c>
      <c r="D17" s="5">
        <v>2025843</v>
      </c>
      <c r="E17" s="14">
        <f t="shared" si="1"/>
        <v>3.3568616313209188E-3</v>
      </c>
      <c r="F17" s="50">
        <v>2016563</v>
      </c>
      <c r="G17" s="29">
        <f t="shared" si="2"/>
        <v>3.8827144266170297E-3</v>
      </c>
    </row>
    <row r="18" spans="1:7" ht="27" customHeight="1" x14ac:dyDescent="0.3">
      <c r="A18" s="6" t="s">
        <v>42</v>
      </c>
      <c r="B18" s="5">
        <v>3739125</v>
      </c>
      <c r="C18" s="14">
        <f t="shared" si="0"/>
        <v>8.4406880993637724E-3</v>
      </c>
      <c r="D18" s="5">
        <v>6254547</v>
      </c>
      <c r="E18" s="14">
        <f t="shared" si="1"/>
        <v>1.036390719596403E-2</v>
      </c>
      <c r="F18" s="50">
        <v>6254547</v>
      </c>
      <c r="G18" s="29">
        <f t="shared" si="2"/>
        <v>1.204257931383957E-2</v>
      </c>
    </row>
    <row r="19" spans="1:7" ht="27" customHeight="1" x14ac:dyDescent="0.3">
      <c r="A19" s="6" t="s">
        <v>43</v>
      </c>
      <c r="B19" s="5">
        <v>1676440</v>
      </c>
      <c r="C19" s="14">
        <f t="shared" si="0"/>
        <v>3.7843899728672893E-3</v>
      </c>
      <c r="D19" s="5">
        <v>3220985</v>
      </c>
      <c r="E19" s="14">
        <f t="shared" si="1"/>
        <v>5.3372353936411709E-3</v>
      </c>
      <c r="F19" s="50">
        <v>2201235</v>
      </c>
      <c r="G19" s="29">
        <f t="shared" si="2"/>
        <v>4.2382840956986401E-3</v>
      </c>
    </row>
    <row r="20" spans="1:7" ht="27" customHeight="1" x14ac:dyDescent="0.3">
      <c r="A20" s="6" t="s">
        <v>44</v>
      </c>
      <c r="B20" s="5">
        <v>102817</v>
      </c>
      <c r="C20" s="14">
        <f t="shared" si="0"/>
        <v>2.3209874725030186E-4</v>
      </c>
      <c r="D20" s="5">
        <v>125629</v>
      </c>
      <c r="E20" s="14">
        <f t="shared" si="1"/>
        <v>2.0816971990485724E-4</v>
      </c>
      <c r="F20" s="50">
        <v>125027</v>
      </c>
      <c r="G20" s="29">
        <f t="shared" si="2"/>
        <v>2.4072847543897582E-4</v>
      </c>
    </row>
    <row r="21" spans="1:7" ht="27" customHeight="1" thickBot="1" x14ac:dyDescent="0.35">
      <c r="A21" s="7" t="s">
        <v>45</v>
      </c>
      <c r="B21" s="8">
        <v>442988173</v>
      </c>
      <c r="C21" s="15">
        <f t="shared" si="0"/>
        <v>1</v>
      </c>
      <c r="D21" s="8">
        <v>603493150</v>
      </c>
      <c r="E21" s="15">
        <f t="shared" si="1"/>
        <v>1</v>
      </c>
      <c r="F21" s="51">
        <f>SUM(F5:F20)</f>
        <v>519369384</v>
      </c>
      <c r="G21" s="30">
        <f t="shared" si="2"/>
        <v>1</v>
      </c>
    </row>
    <row r="22" spans="1:7" ht="27" customHeight="1" x14ac:dyDescent="0.3">
      <c r="A22" s="2" t="s">
        <v>127</v>
      </c>
    </row>
    <row r="23" spans="1:7" ht="27" customHeight="1" x14ac:dyDescent="0.3">
      <c r="A23" s="2" t="s">
        <v>125</v>
      </c>
    </row>
    <row r="24" spans="1:7" ht="27" customHeight="1" x14ac:dyDescent="0.3">
      <c r="A24" s="2" t="s">
        <v>126</v>
      </c>
    </row>
  </sheetData>
  <mergeCells count="2">
    <mergeCell ref="A1:G1"/>
    <mergeCell ref="A2:G2"/>
  </mergeCells>
  <pageMargins left="0.82" right="0.49" top="0.77" bottom="1" header="0.5" footer="0.5"/>
  <pageSetup scale="92" orientation="portrait" r:id="rId1"/>
  <headerFooter alignWithMargins="0">
    <oddFooter>&amp;C&amp;"Times New Roman,Regular"4-23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C10" workbookViewId="0">
      <selection activeCell="F17" sqref="F17"/>
    </sheetView>
  </sheetViews>
  <sheetFormatPr defaultColWidth="9.109375" defaultRowHeight="27.6" customHeight="1" x14ac:dyDescent="0.3"/>
  <cols>
    <col min="1" max="1" width="17.5546875" style="2" customWidth="1"/>
    <col min="2" max="2" width="20.109375" style="4" customWidth="1"/>
    <col min="3" max="3" width="11.6640625" style="4" customWidth="1"/>
    <col min="4" max="4" width="19.5546875" style="4" customWidth="1"/>
    <col min="5" max="5" width="9.109375" style="47" customWidth="1"/>
    <col min="6" max="16384" width="9.109375" style="2"/>
  </cols>
  <sheetData>
    <row r="1" spans="1:5" ht="27.6" customHeight="1" x14ac:dyDescent="0.3">
      <c r="A1" s="251" t="s">
        <v>51</v>
      </c>
      <c r="B1" s="251"/>
      <c r="C1" s="251"/>
      <c r="D1" s="251"/>
      <c r="E1" s="251"/>
    </row>
    <row r="2" spans="1:5" ht="27.6" customHeight="1" x14ac:dyDescent="0.3">
      <c r="A2" s="252" t="s">
        <v>22</v>
      </c>
      <c r="B2" s="252"/>
      <c r="C2" s="252"/>
      <c r="D2" s="252"/>
      <c r="E2" s="252"/>
    </row>
    <row r="3" spans="1:5" ht="27.6" customHeight="1" thickBot="1" x14ac:dyDescent="0.35"/>
    <row r="4" spans="1:5" s="1" customFormat="1" ht="27.6" customHeight="1" x14ac:dyDescent="0.3">
      <c r="A4" s="31" t="s">
        <v>28</v>
      </c>
      <c r="B4" s="32" t="s">
        <v>119</v>
      </c>
      <c r="C4" s="34" t="s">
        <v>31</v>
      </c>
      <c r="D4" s="32" t="s">
        <v>120</v>
      </c>
      <c r="E4" s="172" t="s">
        <v>31</v>
      </c>
    </row>
    <row r="5" spans="1:5" ht="40.200000000000003" customHeight="1" x14ac:dyDescent="0.3">
      <c r="A5" s="6" t="s">
        <v>32</v>
      </c>
      <c r="B5" s="5">
        <v>24852844.5</v>
      </c>
      <c r="C5" s="14">
        <f>B5/$B$21</f>
        <v>0.262418507195534</v>
      </c>
      <c r="D5" s="5">
        <v>12044998</v>
      </c>
      <c r="E5" s="29">
        <f>D5/$D$21</f>
        <v>0.29323987634502058</v>
      </c>
    </row>
    <row r="6" spans="1:5" ht="27.6" customHeight="1" x14ac:dyDescent="0.3">
      <c r="A6" s="6" t="s">
        <v>33</v>
      </c>
      <c r="B6" s="5">
        <v>46448331</v>
      </c>
      <c r="C6" s="14">
        <f t="shared" ref="C6:C20" si="0">B6/$B$21</f>
        <v>0.49044292224755376</v>
      </c>
      <c r="D6" s="5">
        <f>11639389-305961</f>
        <v>11333428</v>
      </c>
      <c r="E6" s="29">
        <f>D6/$D$21</f>
        <v>0.27591644475866195</v>
      </c>
    </row>
    <row r="7" spans="1:5" ht="27.6" customHeight="1" x14ac:dyDescent="0.3">
      <c r="A7" s="6" t="s">
        <v>34</v>
      </c>
      <c r="B7" s="5">
        <v>18673780</v>
      </c>
      <c r="C7" s="14">
        <f t="shared" si="0"/>
        <v>0.19717443093074591</v>
      </c>
      <c r="D7" s="5">
        <v>9815266</v>
      </c>
      <c r="E7" s="29">
        <f>D7/$D$21</f>
        <v>0.23895623628442983</v>
      </c>
    </row>
    <row r="8" spans="1:5" ht="27.6" customHeight="1" x14ac:dyDescent="0.3">
      <c r="A8" s="6" t="s">
        <v>35</v>
      </c>
      <c r="B8" s="5">
        <v>513096</v>
      </c>
      <c r="C8" s="14">
        <f t="shared" si="0"/>
        <v>5.417725378195631E-3</v>
      </c>
      <c r="D8" s="5">
        <v>4687207</v>
      </c>
      <c r="E8" s="29">
        <f>D8/$D$21</f>
        <v>0.11411176665064741</v>
      </c>
    </row>
    <row r="9" spans="1:5" ht="24" customHeight="1" x14ac:dyDescent="0.3">
      <c r="A9" s="95" t="s">
        <v>36</v>
      </c>
      <c r="B9" s="76"/>
      <c r="C9" s="77"/>
      <c r="D9" s="78"/>
      <c r="E9" s="96"/>
    </row>
    <row r="10" spans="1:5" ht="24" customHeight="1" x14ac:dyDescent="0.3">
      <c r="A10" s="80" t="s">
        <v>38</v>
      </c>
      <c r="B10" s="81">
        <v>9460</v>
      </c>
      <c r="C10" s="82">
        <f t="shared" si="0"/>
        <v>9.9887120690339952E-5</v>
      </c>
      <c r="D10" s="83">
        <v>9460</v>
      </c>
      <c r="E10" s="97">
        <f>D10/$D$21</f>
        <v>2.303071557358411E-4</v>
      </c>
    </row>
    <row r="11" spans="1:5" ht="24" customHeight="1" x14ac:dyDescent="0.3">
      <c r="A11" s="80" t="s">
        <v>39</v>
      </c>
      <c r="B11" s="81">
        <v>136880</v>
      </c>
      <c r="C11" s="82">
        <f t="shared" si="0"/>
        <v>1.4453011712572657E-3</v>
      </c>
      <c r="D11" s="83">
        <v>128242</v>
      </c>
      <c r="E11" s="97">
        <f>D11/$D$21</f>
        <v>3.1220983367733334E-3</v>
      </c>
    </row>
    <row r="12" spans="1:5" ht="24" customHeight="1" x14ac:dyDescent="0.3">
      <c r="A12" s="75" t="s">
        <v>40</v>
      </c>
      <c r="B12" s="10">
        <v>579856</v>
      </c>
      <c r="C12" s="28">
        <f t="shared" si="0"/>
        <v>6.1226370248433151E-3</v>
      </c>
      <c r="D12" s="66">
        <v>443696</v>
      </c>
      <c r="E12" s="53">
        <f>D12/$D$21</f>
        <v>1.0801941202047543E-2</v>
      </c>
    </row>
    <row r="13" spans="1:5" ht="24" customHeight="1" x14ac:dyDescent="0.3">
      <c r="A13" s="95" t="s">
        <v>37</v>
      </c>
      <c r="B13" s="76"/>
      <c r="C13" s="77"/>
      <c r="D13" s="78"/>
      <c r="E13" s="96"/>
    </row>
    <row r="14" spans="1:5" ht="24" customHeight="1" x14ac:dyDescent="0.3">
      <c r="A14" s="80" t="s">
        <v>38</v>
      </c>
      <c r="B14" s="81">
        <v>588677</v>
      </c>
      <c r="C14" s="82">
        <f t="shared" si="0"/>
        <v>6.2157770133855449E-3</v>
      </c>
      <c r="D14" s="83">
        <v>588677</v>
      </c>
      <c r="E14" s="97">
        <f>D14/$D$21</f>
        <v>1.4331556608573756E-2</v>
      </c>
    </row>
    <row r="15" spans="1:5" ht="24" customHeight="1" x14ac:dyDescent="0.3">
      <c r="A15" s="80" t="s">
        <v>39</v>
      </c>
      <c r="B15" s="81">
        <v>217662</v>
      </c>
      <c r="C15" s="82">
        <f t="shared" si="0"/>
        <v>2.2982696050423651E-3</v>
      </c>
      <c r="D15" s="83">
        <v>201732</v>
      </c>
      <c r="E15" s="97">
        <f t="shared" ref="E15:E20" si="1">D15/$D$21</f>
        <v>4.9112392326535617E-3</v>
      </c>
    </row>
    <row r="16" spans="1:5" ht="24" customHeight="1" x14ac:dyDescent="0.3">
      <c r="A16" s="75" t="s">
        <v>40</v>
      </c>
      <c r="B16" s="10">
        <v>419423</v>
      </c>
      <c r="C16" s="28">
        <f t="shared" si="0"/>
        <v>4.4286422644085046E-3</v>
      </c>
      <c r="D16" s="66">
        <v>325700</v>
      </c>
      <c r="E16" s="53">
        <f t="shared" si="1"/>
        <v>7.9292854781356711E-3</v>
      </c>
    </row>
    <row r="17" spans="1:5" ht="27.6" customHeight="1" x14ac:dyDescent="0.3">
      <c r="A17" s="6" t="s">
        <v>41</v>
      </c>
      <c r="B17" s="5">
        <v>370832</v>
      </c>
      <c r="C17" s="14">
        <f t="shared" si="0"/>
        <v>3.915575131061326E-3</v>
      </c>
      <c r="D17" s="5">
        <v>363538</v>
      </c>
      <c r="E17" s="29">
        <f t="shared" si="1"/>
        <v>8.8504654103484359E-3</v>
      </c>
    </row>
    <row r="18" spans="1:5" ht="27.6" customHeight="1" x14ac:dyDescent="0.3">
      <c r="A18" s="6" t="s">
        <v>42</v>
      </c>
      <c r="B18" s="5">
        <v>807097</v>
      </c>
      <c r="C18" s="14">
        <f t="shared" si="0"/>
        <v>8.5220502587538376E-3</v>
      </c>
      <c r="D18" s="5">
        <v>806793</v>
      </c>
      <c r="E18" s="29">
        <f t="shared" si="1"/>
        <v>1.9641670306298778E-2</v>
      </c>
    </row>
    <row r="19" spans="1:5" ht="27.6" customHeight="1" x14ac:dyDescent="0.3">
      <c r="A19" s="6" t="s">
        <v>43</v>
      </c>
      <c r="B19" s="5">
        <v>1067519</v>
      </c>
      <c r="C19" s="14">
        <f t="shared" si="0"/>
        <v>1.1271818096430341E-2</v>
      </c>
      <c r="D19" s="5">
        <v>305961</v>
      </c>
      <c r="E19" s="29">
        <f t="shared" si="1"/>
        <v>7.4487323124834753E-3</v>
      </c>
    </row>
    <row r="20" spans="1:5" ht="27.6" customHeight="1" x14ac:dyDescent="0.3">
      <c r="A20" s="6" t="s">
        <v>44</v>
      </c>
      <c r="B20" s="5">
        <v>21447</v>
      </c>
      <c r="C20" s="14">
        <f t="shared" si="0"/>
        <v>2.2645656209785634E-4</v>
      </c>
      <c r="D20" s="5">
        <v>20882</v>
      </c>
      <c r="E20" s="29">
        <f t="shared" si="1"/>
        <v>5.0837991818983449E-4</v>
      </c>
    </row>
    <row r="21" spans="1:5" ht="27.6" customHeight="1" thickBot="1" x14ac:dyDescent="0.35">
      <c r="A21" s="7" t="s">
        <v>45</v>
      </c>
      <c r="B21" s="8">
        <f>SUM(B5:B20)</f>
        <v>94706904.5</v>
      </c>
      <c r="C21" s="15">
        <f>SUM(C5:C20)</f>
        <v>0.99999999999999989</v>
      </c>
      <c r="D21" s="8">
        <f>SUM(D5:D20)</f>
        <v>41075580</v>
      </c>
      <c r="E21" s="30">
        <f>SUM(E5:E20)</f>
        <v>1</v>
      </c>
    </row>
    <row r="22" spans="1:5" ht="27.6" customHeight="1" x14ac:dyDescent="0.3">
      <c r="A22" s="2" t="s">
        <v>129</v>
      </c>
    </row>
    <row r="23" spans="1:5" ht="27.6" customHeight="1" x14ac:dyDescent="0.3">
      <c r="A23" s="2" t="s">
        <v>128</v>
      </c>
    </row>
  </sheetData>
  <mergeCells count="2">
    <mergeCell ref="A1:E1"/>
    <mergeCell ref="A2:E2"/>
  </mergeCells>
  <pageMargins left="0.96" right="0.75" top="1" bottom="1" header="0.5" footer="0.5"/>
  <pageSetup orientation="portrait" r:id="rId1"/>
  <headerFooter alignWithMargins="0">
    <oddFooter>&amp;C&amp;"Times New Roman,Regular"4-24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1"/>
    </sheetView>
  </sheetViews>
  <sheetFormatPr defaultColWidth="9.109375" defaultRowHeight="27.6" customHeight="1" x14ac:dyDescent="0.3"/>
  <cols>
    <col min="1" max="1" width="17.5546875" style="2" customWidth="1"/>
    <col min="2" max="2" width="20.109375" style="4" customWidth="1"/>
    <col min="3" max="3" width="11.6640625" style="4" customWidth="1"/>
    <col min="4" max="4" width="19.5546875" style="2" customWidth="1"/>
    <col min="5" max="5" width="10.88671875" style="2" customWidth="1"/>
    <col min="6" max="16384" width="9.109375" style="2"/>
  </cols>
  <sheetData>
    <row r="1" spans="1:5" ht="27.6" customHeight="1" x14ac:dyDescent="0.3">
      <c r="A1" s="249" t="s">
        <v>50</v>
      </c>
      <c r="B1" s="249"/>
      <c r="C1" s="249"/>
      <c r="D1" s="249"/>
      <c r="E1" s="249"/>
    </row>
    <row r="2" spans="1:5" ht="27.6" customHeight="1" x14ac:dyDescent="0.3">
      <c r="A2" s="250" t="s">
        <v>23</v>
      </c>
      <c r="B2" s="250"/>
      <c r="C2" s="250"/>
      <c r="D2" s="250"/>
      <c r="E2" s="250"/>
    </row>
    <row r="3" spans="1:5" ht="27.6" customHeight="1" thickBot="1" x14ac:dyDescent="0.35"/>
    <row r="4" spans="1:5" s="1" customFormat="1" ht="27.6" customHeight="1" x14ac:dyDescent="0.3">
      <c r="A4" s="31" t="s">
        <v>28</v>
      </c>
      <c r="B4" s="32" t="s">
        <v>29</v>
      </c>
      <c r="C4" s="34" t="s">
        <v>31</v>
      </c>
      <c r="D4" s="33" t="s">
        <v>30</v>
      </c>
      <c r="E4" s="34" t="s">
        <v>31</v>
      </c>
    </row>
    <row r="5" spans="1:5" ht="40.200000000000003" customHeight="1" x14ac:dyDescent="0.3">
      <c r="A5" s="6" t="s">
        <v>32</v>
      </c>
      <c r="B5" s="5">
        <v>345811885</v>
      </c>
      <c r="C5" s="14">
        <f>B5/$B$21</f>
        <v>0.67968011296469155</v>
      </c>
      <c r="D5" s="5">
        <v>321440840</v>
      </c>
      <c r="E5" s="29">
        <f>D5/$D$21</f>
        <v>0.67315332652970128</v>
      </c>
    </row>
    <row r="6" spans="1:5" ht="27.6" customHeight="1" x14ac:dyDescent="0.3">
      <c r="A6" s="6" t="s">
        <v>33</v>
      </c>
      <c r="B6" s="5">
        <v>93698428</v>
      </c>
      <c r="C6" s="14">
        <f t="shared" ref="C6:C20" si="0">B6/$B$21</f>
        <v>0.18416069802706178</v>
      </c>
      <c r="D6" s="5">
        <f>72096056-1895167</f>
        <v>70200889</v>
      </c>
      <c r="E6" s="29">
        <f>D6/$D$21</f>
        <v>0.14701293698614126</v>
      </c>
    </row>
    <row r="7" spans="1:5" ht="27.6" customHeight="1" x14ac:dyDescent="0.3">
      <c r="A7" s="6" t="s">
        <v>34</v>
      </c>
      <c r="B7" s="5">
        <v>47247976</v>
      </c>
      <c r="C7" s="14">
        <f t="shared" si="0"/>
        <v>9.2864100564481855E-2</v>
      </c>
      <c r="D7" s="5">
        <v>41636756</v>
      </c>
      <c r="E7" s="29">
        <f>D7/$D$21</f>
        <v>8.7194647722129828E-2</v>
      </c>
    </row>
    <row r="8" spans="1:5" ht="27.6" customHeight="1" x14ac:dyDescent="0.3">
      <c r="A8" s="6" t="s">
        <v>35</v>
      </c>
      <c r="B8" s="5">
        <v>1479628</v>
      </c>
      <c r="C8" s="14">
        <f t="shared" si="0"/>
        <v>2.9081525818169052E-3</v>
      </c>
      <c r="D8" s="5">
        <v>24786307</v>
      </c>
      <c r="E8" s="29">
        <f>D8/$D$21</f>
        <v>5.1906861024368964E-2</v>
      </c>
    </row>
    <row r="9" spans="1:5" ht="24" customHeight="1" x14ac:dyDescent="0.3">
      <c r="A9" s="95" t="s">
        <v>36</v>
      </c>
      <c r="B9" s="76"/>
      <c r="C9" s="77"/>
      <c r="D9" s="78"/>
      <c r="E9" s="96"/>
    </row>
    <row r="10" spans="1:5" ht="24" customHeight="1" x14ac:dyDescent="0.3">
      <c r="A10" s="80" t="s">
        <v>38</v>
      </c>
      <c r="B10" s="81">
        <v>39558</v>
      </c>
      <c r="C10" s="82">
        <f t="shared" si="0"/>
        <v>7.7749745092356415E-5</v>
      </c>
      <c r="D10" s="83">
        <v>39558</v>
      </c>
      <c r="E10" s="97">
        <f>D10/$D$21</f>
        <v>8.2841369164110958E-5</v>
      </c>
    </row>
    <row r="11" spans="1:5" ht="24" customHeight="1" x14ac:dyDescent="0.3">
      <c r="A11" s="80" t="s">
        <v>39</v>
      </c>
      <c r="B11" s="81">
        <v>162929</v>
      </c>
      <c r="C11" s="82">
        <f t="shared" si="0"/>
        <v>3.2023075529987707E-4</v>
      </c>
      <c r="D11" s="83">
        <v>162929</v>
      </c>
      <c r="E11" s="97">
        <f>D11/$D$21</f>
        <v>3.4120181598006554E-4</v>
      </c>
    </row>
    <row r="12" spans="1:5" ht="24" customHeight="1" x14ac:dyDescent="0.3">
      <c r="A12" s="75" t="s">
        <v>40</v>
      </c>
      <c r="B12" s="10">
        <v>1484541</v>
      </c>
      <c r="C12" s="28">
        <f t="shared" si="0"/>
        <v>2.9178088965355143E-3</v>
      </c>
      <c r="D12" s="66">
        <v>1467433</v>
      </c>
      <c r="E12" s="53">
        <f>D12/$D$21</f>
        <v>3.0730612992719256E-3</v>
      </c>
    </row>
    <row r="13" spans="1:5" ht="24" customHeight="1" x14ac:dyDescent="0.3">
      <c r="A13" s="95" t="s">
        <v>37</v>
      </c>
      <c r="B13" s="76"/>
      <c r="C13" s="77"/>
      <c r="D13" s="78"/>
      <c r="E13" s="96"/>
    </row>
    <row r="14" spans="1:5" ht="24" customHeight="1" x14ac:dyDescent="0.3">
      <c r="A14" s="80" t="s">
        <v>38</v>
      </c>
      <c r="B14" s="81">
        <v>2461581</v>
      </c>
      <c r="C14" s="82">
        <f t="shared" si="0"/>
        <v>4.8381438716362758E-3</v>
      </c>
      <c r="D14" s="83">
        <v>2461581</v>
      </c>
      <c r="E14" s="97">
        <f t="shared" ref="E14:E20" si="1">D14/$D$21</f>
        <v>5.1549810493038426E-3</v>
      </c>
    </row>
    <row r="15" spans="1:5" ht="24" customHeight="1" x14ac:dyDescent="0.3">
      <c r="A15" s="80" t="s">
        <v>39</v>
      </c>
      <c r="B15" s="81">
        <v>2878296</v>
      </c>
      <c r="C15" s="82">
        <f t="shared" si="0"/>
        <v>5.6571813615538978E-3</v>
      </c>
      <c r="D15" s="83">
        <v>2878296.5</v>
      </c>
      <c r="E15" s="97">
        <f t="shared" si="1"/>
        <v>6.0276561737263885E-3</v>
      </c>
    </row>
    <row r="16" spans="1:5" ht="24" customHeight="1" x14ac:dyDescent="0.3">
      <c r="A16" s="75" t="s">
        <v>40</v>
      </c>
      <c r="B16" s="10">
        <v>4161302</v>
      </c>
      <c r="C16" s="28">
        <f t="shared" si="0"/>
        <v>8.1788808775042441E-3</v>
      </c>
      <c r="D16" s="66">
        <v>4155151</v>
      </c>
      <c r="E16" s="53">
        <f t="shared" si="1"/>
        <v>8.7016127691901708E-3</v>
      </c>
    </row>
    <row r="17" spans="1:5" ht="27.6" customHeight="1" x14ac:dyDescent="0.3">
      <c r="A17" s="6" t="s">
        <v>41</v>
      </c>
      <c r="B17" s="5">
        <v>1655012</v>
      </c>
      <c r="C17" s="28">
        <f t="shared" si="0"/>
        <v>3.2528631661052371E-3</v>
      </c>
      <c r="D17" s="5">
        <v>838237</v>
      </c>
      <c r="E17" s="53">
        <f t="shared" si="1"/>
        <v>1.7554148532285979E-3</v>
      </c>
    </row>
    <row r="18" spans="1:5" ht="27.6" customHeight="1" x14ac:dyDescent="0.3">
      <c r="A18" s="6" t="s">
        <v>42</v>
      </c>
      <c r="B18" s="5">
        <v>5447450</v>
      </c>
      <c r="C18" s="28">
        <f t="shared" si="0"/>
        <v>1.0706755875002702E-2</v>
      </c>
      <c r="D18" s="5">
        <v>5447754</v>
      </c>
      <c r="E18" s="53">
        <f t="shared" si="1"/>
        <v>1.1408549477457458E-2</v>
      </c>
    </row>
    <row r="19" spans="1:5" ht="27.6" customHeight="1" x14ac:dyDescent="0.3">
      <c r="A19" s="6" t="s">
        <v>43</v>
      </c>
      <c r="B19" s="5">
        <v>2153466</v>
      </c>
      <c r="C19" s="28">
        <f t="shared" si="0"/>
        <v>4.2325555529869148E-3</v>
      </c>
      <c r="D19" s="5">
        <v>1895167</v>
      </c>
      <c r="E19" s="53">
        <f t="shared" si="1"/>
        <v>3.9688110894039296E-3</v>
      </c>
    </row>
    <row r="20" spans="1:5" ht="27.6" customHeight="1" x14ac:dyDescent="0.3">
      <c r="A20" s="6" t="s">
        <v>44</v>
      </c>
      <c r="B20" s="5">
        <v>104182</v>
      </c>
      <c r="C20" s="28">
        <f t="shared" si="0"/>
        <v>2.0476576023084777E-4</v>
      </c>
      <c r="D20" s="5">
        <v>104145</v>
      </c>
      <c r="E20" s="53">
        <f t="shared" si="1"/>
        <v>2.1809784093220928E-4</v>
      </c>
    </row>
    <row r="21" spans="1:5" ht="27.6" customHeight="1" thickBot="1" x14ac:dyDescent="0.35">
      <c r="A21" s="7" t="s">
        <v>45</v>
      </c>
      <c r="B21" s="8">
        <f>SUM(B5:B20)</f>
        <v>508786234</v>
      </c>
      <c r="C21" s="15">
        <f>SUM(C5:C20)</f>
        <v>1</v>
      </c>
      <c r="D21" s="8">
        <f>SUM(D5:D20)</f>
        <v>477515043.5</v>
      </c>
      <c r="E21" s="30">
        <f>SUM(E5:E20)</f>
        <v>1</v>
      </c>
    </row>
    <row r="22" spans="1:5" ht="27.6" customHeight="1" x14ac:dyDescent="0.3">
      <c r="A22" s="2" t="s">
        <v>129</v>
      </c>
    </row>
    <row r="23" spans="1:5" ht="27.6" customHeight="1" x14ac:dyDescent="0.3">
      <c r="A23" s="2" t="s">
        <v>130</v>
      </c>
    </row>
  </sheetData>
  <mergeCells count="2">
    <mergeCell ref="A1:E1"/>
    <mergeCell ref="A2:E2"/>
  </mergeCells>
  <pageMargins left="1.05" right="0.75" top="1" bottom="1" header="0.5" footer="0.5"/>
  <pageSetup orientation="portrait" r:id="rId1"/>
  <headerFooter alignWithMargins="0">
    <oddFooter>&amp;C&amp;"Times New Roman,Regular"4-25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workbookViewId="0">
      <selection sqref="A1:G1"/>
    </sheetView>
  </sheetViews>
  <sheetFormatPr defaultColWidth="9.109375" defaultRowHeight="27" customHeight="1" x14ac:dyDescent="0.3"/>
  <cols>
    <col min="1" max="1" width="17.5546875" style="2" customWidth="1"/>
    <col min="2" max="2" width="15.6640625" style="4" customWidth="1"/>
    <col min="3" max="3" width="10.88671875" style="47" customWidth="1"/>
    <col min="4" max="4" width="16.33203125" style="4" customWidth="1"/>
    <col min="5" max="5" width="11" style="4" customWidth="1"/>
    <col min="6" max="6" width="16" style="49" customWidth="1"/>
    <col min="7" max="7" width="9.33203125" style="46" customWidth="1"/>
    <col min="8" max="16384" width="9.109375" style="2"/>
  </cols>
  <sheetData>
    <row r="1" spans="1:7" ht="27" customHeight="1" x14ac:dyDescent="0.3">
      <c r="A1" s="249" t="s">
        <v>52</v>
      </c>
      <c r="B1" s="249"/>
      <c r="C1" s="249"/>
      <c r="D1" s="249"/>
      <c r="E1" s="249"/>
      <c r="F1" s="249"/>
      <c r="G1" s="249"/>
    </row>
    <row r="2" spans="1:7" ht="27" customHeight="1" x14ac:dyDescent="0.3">
      <c r="A2" s="250" t="s">
        <v>24</v>
      </c>
      <c r="B2" s="250"/>
      <c r="C2" s="250"/>
      <c r="D2" s="250"/>
      <c r="E2" s="250"/>
      <c r="F2" s="250"/>
      <c r="G2" s="250"/>
    </row>
    <row r="3" spans="1:7" ht="27" customHeight="1" thickBot="1" x14ac:dyDescent="0.35"/>
    <row r="4" spans="1:7" s="1" customFormat="1" ht="27" customHeight="1" x14ac:dyDescent="0.3">
      <c r="A4" s="31" t="s">
        <v>28</v>
      </c>
      <c r="B4" s="32" t="s">
        <v>121</v>
      </c>
      <c r="C4" s="33" t="s">
        <v>31</v>
      </c>
      <c r="D4" s="32" t="s">
        <v>122</v>
      </c>
      <c r="E4" s="33" t="s">
        <v>31</v>
      </c>
      <c r="F4" s="54" t="s">
        <v>123</v>
      </c>
      <c r="G4" s="56" t="s">
        <v>31</v>
      </c>
    </row>
    <row r="5" spans="1:7" ht="40.200000000000003" customHeight="1" x14ac:dyDescent="0.3">
      <c r="A5" s="9" t="s">
        <v>32</v>
      </c>
      <c r="B5" s="10">
        <v>441866472</v>
      </c>
      <c r="C5" s="28">
        <f>B5/$B$21</f>
        <v>0.46073758164066481</v>
      </c>
      <c r="D5" s="66">
        <v>257364527</v>
      </c>
      <c r="E5" s="28">
        <f>D5/$D$21</f>
        <v>0.44128965820640714</v>
      </c>
      <c r="F5" s="10">
        <v>562051285.5</v>
      </c>
      <c r="G5" s="57">
        <f>F5/$F$21</f>
        <v>0.43404534242349135</v>
      </c>
    </row>
    <row r="6" spans="1:7" ht="27" customHeight="1" x14ac:dyDescent="0.3">
      <c r="A6" s="6" t="s">
        <v>33</v>
      </c>
      <c r="B6" s="5">
        <v>135293541</v>
      </c>
      <c r="C6" s="14">
        <f t="shared" ref="C6:C21" si="0">B6/$B$21</f>
        <v>0.14107161969044379</v>
      </c>
      <c r="D6" s="67">
        <v>69142275</v>
      </c>
      <c r="E6" s="14">
        <f t="shared" ref="E6:E21" si="1">D6/$D$21</f>
        <v>0.11855468684059715</v>
      </c>
      <c r="F6" s="5">
        <f>171169576-1191031-0.5</f>
        <v>169978544.5</v>
      </c>
      <c r="G6" s="26">
        <f t="shared" ref="G6:G21" si="2">F6/$F$21</f>
        <v>0.13126630514956658</v>
      </c>
    </row>
    <row r="7" spans="1:7" ht="27" customHeight="1" x14ac:dyDescent="0.3">
      <c r="A7" s="6" t="s">
        <v>34</v>
      </c>
      <c r="B7" s="5">
        <v>217622195</v>
      </c>
      <c r="C7" s="14">
        <f t="shared" si="0"/>
        <v>0.22691634280781814</v>
      </c>
      <c r="D7" s="67">
        <v>144415851</v>
      </c>
      <c r="E7" s="14">
        <f t="shared" si="1"/>
        <v>0.24762239874408731</v>
      </c>
      <c r="F7" s="5">
        <v>256186816</v>
      </c>
      <c r="G7" s="26">
        <f t="shared" si="2"/>
        <v>0.19784083257844265</v>
      </c>
    </row>
    <row r="8" spans="1:7" ht="27" customHeight="1" x14ac:dyDescent="0.3">
      <c r="A8" s="6" t="s">
        <v>35</v>
      </c>
      <c r="B8" s="5">
        <v>29282794</v>
      </c>
      <c r="C8" s="14">
        <f t="shared" si="0"/>
        <v>3.0533395372079213E-2</v>
      </c>
      <c r="D8" s="67">
        <v>18112572</v>
      </c>
      <c r="E8" s="14">
        <f t="shared" si="1"/>
        <v>3.1056691457400969E-2</v>
      </c>
      <c r="F8" s="5">
        <v>121770540</v>
      </c>
      <c r="G8" s="26">
        <f t="shared" si="2"/>
        <v>9.4037567558224983E-2</v>
      </c>
    </row>
    <row r="9" spans="1:7" ht="27" customHeight="1" x14ac:dyDescent="0.3">
      <c r="A9" s="95" t="s">
        <v>36</v>
      </c>
      <c r="B9" s="76"/>
      <c r="C9" s="77"/>
      <c r="D9" s="78"/>
      <c r="E9" s="77"/>
      <c r="F9" s="76"/>
      <c r="G9" s="79"/>
    </row>
    <row r="10" spans="1:7" ht="27" customHeight="1" x14ac:dyDescent="0.3">
      <c r="A10" s="80" t="s">
        <v>38</v>
      </c>
      <c r="B10" s="81">
        <v>0</v>
      </c>
      <c r="C10" s="82">
        <f t="shared" si="0"/>
        <v>0</v>
      </c>
      <c r="D10" s="83">
        <v>0</v>
      </c>
      <c r="E10" s="82">
        <f t="shared" si="1"/>
        <v>0</v>
      </c>
      <c r="F10" s="81">
        <v>0</v>
      </c>
      <c r="G10" s="84">
        <f t="shared" si="2"/>
        <v>0</v>
      </c>
    </row>
    <row r="11" spans="1:7" ht="27" customHeight="1" x14ac:dyDescent="0.3">
      <c r="A11" s="80" t="s">
        <v>39</v>
      </c>
      <c r="B11" s="81">
        <v>4063643</v>
      </c>
      <c r="C11" s="82">
        <f t="shared" si="0"/>
        <v>4.2371919281330222E-3</v>
      </c>
      <c r="D11" s="83">
        <v>3220311</v>
      </c>
      <c r="E11" s="82">
        <f t="shared" si="1"/>
        <v>5.5217009005609123E-3</v>
      </c>
      <c r="F11" s="81">
        <v>6906370</v>
      </c>
      <c r="G11" s="84">
        <f t="shared" si="2"/>
        <v>5.3334594349101049E-3</v>
      </c>
    </row>
    <row r="12" spans="1:7" ht="27" customHeight="1" x14ac:dyDescent="0.3">
      <c r="A12" s="75" t="s">
        <v>40</v>
      </c>
      <c r="B12" s="10">
        <v>44570132</v>
      </c>
      <c r="C12" s="28">
        <f t="shared" si="0"/>
        <v>4.6473620725596049E-2</v>
      </c>
      <c r="D12" s="66">
        <v>26692599</v>
      </c>
      <c r="E12" s="28">
        <f t="shared" si="1"/>
        <v>4.5768420483801503E-2</v>
      </c>
      <c r="F12" s="10">
        <v>50423617</v>
      </c>
      <c r="G12" s="57">
        <f t="shared" si="2"/>
        <v>3.8939749221507614E-2</v>
      </c>
    </row>
    <row r="13" spans="1:7" ht="27" customHeight="1" x14ac:dyDescent="0.3">
      <c r="A13" s="95" t="s">
        <v>37</v>
      </c>
      <c r="B13" s="76"/>
      <c r="C13" s="77"/>
      <c r="D13" s="78"/>
      <c r="E13" s="77"/>
      <c r="F13" s="76"/>
      <c r="G13" s="79"/>
    </row>
    <row r="14" spans="1:7" ht="27" customHeight="1" x14ac:dyDescent="0.3">
      <c r="A14" s="80" t="s">
        <v>38</v>
      </c>
      <c r="B14" s="81">
        <v>0</v>
      </c>
      <c r="C14" s="82">
        <f t="shared" si="0"/>
        <v>0</v>
      </c>
      <c r="D14" s="83">
        <v>0</v>
      </c>
      <c r="E14" s="82">
        <f t="shared" si="1"/>
        <v>0</v>
      </c>
      <c r="F14" s="81">
        <v>0</v>
      </c>
      <c r="G14" s="84">
        <f t="shared" si="2"/>
        <v>0</v>
      </c>
    </row>
    <row r="15" spans="1:7" ht="27" customHeight="1" x14ac:dyDescent="0.3">
      <c r="A15" s="80" t="s">
        <v>39</v>
      </c>
      <c r="B15" s="81">
        <v>38669246</v>
      </c>
      <c r="C15" s="82">
        <f t="shared" si="0"/>
        <v>4.032072133752649E-2</v>
      </c>
      <c r="D15" s="83">
        <v>40523016</v>
      </c>
      <c r="E15" s="82">
        <f t="shared" si="1"/>
        <v>6.9482721991957999E-2</v>
      </c>
      <c r="F15" s="81">
        <v>75053504.5</v>
      </c>
      <c r="G15" s="84">
        <f t="shared" si="2"/>
        <v>5.7960234059077777E-2</v>
      </c>
    </row>
    <row r="16" spans="1:7" ht="27" customHeight="1" x14ac:dyDescent="0.3">
      <c r="A16" s="75" t="s">
        <v>40</v>
      </c>
      <c r="B16" s="10">
        <v>42613309</v>
      </c>
      <c r="C16" s="28">
        <f t="shared" si="0"/>
        <v>4.4433226276481046E-2</v>
      </c>
      <c r="D16" s="66">
        <v>21224773</v>
      </c>
      <c r="E16" s="28">
        <f t="shared" si="1"/>
        <v>3.6393021726255921E-2</v>
      </c>
      <c r="F16" s="10">
        <v>46773391.5</v>
      </c>
      <c r="G16" s="57">
        <f t="shared" si="2"/>
        <v>3.6120854544198923E-2</v>
      </c>
    </row>
    <row r="17" spans="1:7" ht="27" customHeight="1" x14ac:dyDescent="0.3">
      <c r="A17" s="6" t="s">
        <v>41</v>
      </c>
      <c r="B17" s="5">
        <v>831078</v>
      </c>
      <c r="C17" s="14">
        <f t="shared" si="0"/>
        <v>8.6657144666717418E-4</v>
      </c>
      <c r="D17" s="67">
        <v>687102</v>
      </c>
      <c r="E17" s="14">
        <f t="shared" si="1"/>
        <v>1.1781383016041631E-3</v>
      </c>
      <c r="F17" s="5">
        <v>1360173</v>
      </c>
      <c r="G17" s="26">
        <f t="shared" si="2"/>
        <v>1.0503965932841684E-3</v>
      </c>
    </row>
    <row r="18" spans="1:7" ht="27" customHeight="1" x14ac:dyDescent="0.3">
      <c r="A18" s="6" t="s">
        <v>42</v>
      </c>
      <c r="B18" s="5">
        <v>1319045</v>
      </c>
      <c r="C18" s="14">
        <f t="shared" si="0"/>
        <v>1.3753784047575591E-3</v>
      </c>
      <c r="D18" s="67">
        <v>936270</v>
      </c>
      <c r="E18" s="14">
        <f t="shared" si="1"/>
        <v>1.6053737984213839E-3</v>
      </c>
      <c r="F18" s="5">
        <v>2876896</v>
      </c>
      <c r="G18" s="26">
        <f t="shared" si="2"/>
        <v>2.2216892686686552E-3</v>
      </c>
    </row>
    <row r="19" spans="1:7" ht="27" customHeight="1" x14ac:dyDescent="0.3">
      <c r="A19" s="6" t="s">
        <v>43</v>
      </c>
      <c r="B19" s="5">
        <v>2597016</v>
      </c>
      <c r="C19" s="14">
        <f t="shared" si="0"/>
        <v>2.7079286326166714E-3</v>
      </c>
      <c r="D19" s="67">
        <v>735650</v>
      </c>
      <c r="E19" s="14">
        <f t="shared" si="1"/>
        <v>1.2613810490656446E-3</v>
      </c>
      <c r="F19" s="5">
        <v>1191031</v>
      </c>
      <c r="G19" s="26">
        <f t="shared" si="2"/>
        <v>9.1977631146614169E-4</v>
      </c>
    </row>
    <row r="20" spans="1:7" ht="27" customHeight="1" x14ac:dyDescent="0.3">
      <c r="A20" s="6" t="s">
        <v>44</v>
      </c>
      <c r="B20" s="5">
        <v>313053</v>
      </c>
      <c r="C20" s="14">
        <f t="shared" si="0"/>
        <v>3.264227799237844E-4</v>
      </c>
      <c r="D20" s="67">
        <v>155021</v>
      </c>
      <c r="E20" s="14">
        <f t="shared" si="1"/>
        <v>2.6580649983987673E-4</v>
      </c>
      <c r="F20" s="5">
        <v>341589</v>
      </c>
      <c r="G20" s="26">
        <f t="shared" si="2"/>
        <v>2.6379285716107129E-4</v>
      </c>
    </row>
    <row r="21" spans="1:7" ht="27" customHeight="1" thickBot="1" x14ac:dyDescent="0.35">
      <c r="A21" s="7" t="s">
        <v>45</v>
      </c>
      <c r="B21" s="8">
        <v>959041523</v>
      </c>
      <c r="C21" s="15">
        <f t="shared" si="0"/>
        <v>1</v>
      </c>
      <c r="D21" s="68">
        <v>583209967</v>
      </c>
      <c r="E21" s="15">
        <f t="shared" si="1"/>
        <v>1</v>
      </c>
      <c r="F21" s="8">
        <f>SUM(F5:F20)</f>
        <v>1294913758</v>
      </c>
      <c r="G21" s="27">
        <f t="shared" si="2"/>
        <v>1</v>
      </c>
    </row>
    <row r="22" spans="1:7" ht="27" customHeight="1" x14ac:dyDescent="0.3">
      <c r="A22" s="2" t="s">
        <v>127</v>
      </c>
    </row>
    <row r="23" spans="1:7" ht="27" customHeight="1" x14ac:dyDescent="0.3">
      <c r="A23" s="2" t="s">
        <v>125</v>
      </c>
    </row>
    <row r="24" spans="1:7" ht="27" customHeight="1" x14ac:dyDescent="0.3">
      <c r="A24" s="2" t="s">
        <v>126</v>
      </c>
    </row>
  </sheetData>
  <mergeCells count="2">
    <mergeCell ref="A1:G1"/>
    <mergeCell ref="A2:G2"/>
  </mergeCells>
  <pageMargins left="1.05" right="0.46" top="1" bottom="1" header="0.5" footer="0.5"/>
  <pageSetup scale="93" orientation="portrait" r:id="rId1"/>
  <headerFooter alignWithMargins="0">
    <oddFooter>&amp;C&amp;"Times New Roman,Regular"4-26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:E3"/>
    </sheetView>
  </sheetViews>
  <sheetFormatPr defaultColWidth="9.109375" defaultRowHeight="27" customHeight="1" x14ac:dyDescent="0.3"/>
  <cols>
    <col min="1" max="1" width="17.5546875" style="2" customWidth="1"/>
    <col min="2" max="3" width="15.6640625" style="4" customWidth="1"/>
    <col min="4" max="4" width="16.33203125" style="4" customWidth="1"/>
    <col min="5" max="5" width="17.33203125" style="4" customWidth="1"/>
    <col min="6" max="16384" width="9.109375" style="2"/>
  </cols>
  <sheetData>
    <row r="1" spans="1:5" s="160" customFormat="1" ht="27" customHeight="1" x14ac:dyDescent="0.3">
      <c r="A1" s="249" t="s">
        <v>57</v>
      </c>
      <c r="B1" s="249"/>
      <c r="C1" s="249"/>
      <c r="D1" s="249"/>
      <c r="E1" s="249"/>
    </row>
    <row r="2" spans="1:5" s="160" customFormat="1" ht="27" customHeight="1" x14ac:dyDescent="0.3">
      <c r="A2" s="250" t="s">
        <v>25</v>
      </c>
      <c r="B2" s="250"/>
      <c r="C2" s="250"/>
      <c r="D2" s="250"/>
      <c r="E2" s="250"/>
    </row>
    <row r="3" spans="1:5" s="160" customFormat="1" ht="27" customHeight="1" thickBot="1" x14ac:dyDescent="0.35">
      <c r="A3" s="255" t="s">
        <v>58</v>
      </c>
      <c r="B3" s="255"/>
      <c r="C3" s="255"/>
      <c r="D3" s="255"/>
      <c r="E3" s="255"/>
    </row>
    <row r="4" spans="1:5" s="1" customFormat="1" ht="27" customHeight="1" x14ac:dyDescent="0.3">
      <c r="A4" s="31" t="s">
        <v>28</v>
      </c>
      <c r="B4" s="253" t="s">
        <v>29</v>
      </c>
      <c r="C4" s="253"/>
      <c r="D4" s="253" t="s">
        <v>30</v>
      </c>
      <c r="E4" s="254"/>
    </row>
    <row r="5" spans="1:5" s="1" customFormat="1" ht="27" customHeight="1" x14ac:dyDescent="0.3">
      <c r="A5" s="108"/>
      <c r="B5" s="107" t="s">
        <v>53</v>
      </c>
      <c r="C5" s="107" t="s">
        <v>54</v>
      </c>
      <c r="D5" s="107" t="s">
        <v>55</v>
      </c>
      <c r="E5" s="109" t="s">
        <v>56</v>
      </c>
    </row>
    <row r="6" spans="1:5" ht="40.200000000000003" customHeight="1" x14ac:dyDescent="0.3">
      <c r="A6" s="6" t="s">
        <v>32</v>
      </c>
      <c r="B6" s="5">
        <v>1067421</v>
      </c>
      <c r="C6" s="5">
        <v>1067427</v>
      </c>
      <c r="D6" s="5">
        <v>995743</v>
      </c>
      <c r="E6" s="110">
        <v>1011584</v>
      </c>
    </row>
    <row r="7" spans="1:5" ht="27" customHeight="1" x14ac:dyDescent="0.3">
      <c r="A7" s="6" t="s">
        <v>33</v>
      </c>
      <c r="B7" s="5">
        <v>357448</v>
      </c>
      <c r="C7" s="5">
        <v>299931</v>
      </c>
      <c r="D7" s="5">
        <v>281043</v>
      </c>
      <c r="E7" s="110">
        <v>285333</v>
      </c>
    </row>
    <row r="8" spans="1:5" ht="27" customHeight="1" x14ac:dyDescent="0.3">
      <c r="A8" s="6" t="s">
        <v>34</v>
      </c>
      <c r="B8" s="5">
        <v>359841</v>
      </c>
      <c r="C8" s="5">
        <v>322796</v>
      </c>
      <c r="D8" s="5">
        <v>344024</v>
      </c>
      <c r="E8" s="110">
        <v>350446</v>
      </c>
    </row>
    <row r="9" spans="1:5" ht="27" customHeight="1" x14ac:dyDescent="0.3">
      <c r="A9" s="6" t="s">
        <v>35</v>
      </c>
      <c r="B9" s="5">
        <v>34358</v>
      </c>
      <c r="C9" s="5">
        <v>129151</v>
      </c>
      <c r="D9" s="5">
        <v>168835</v>
      </c>
      <c r="E9" s="110">
        <v>149963</v>
      </c>
    </row>
    <row r="10" spans="1:5" ht="27" customHeight="1" x14ac:dyDescent="0.3">
      <c r="A10" s="95" t="s">
        <v>36</v>
      </c>
      <c r="B10" s="76"/>
      <c r="C10" s="76"/>
      <c r="D10" s="76"/>
      <c r="E10" s="111"/>
    </row>
    <row r="11" spans="1:5" ht="27" customHeight="1" x14ac:dyDescent="0.3">
      <c r="A11" s="80" t="s">
        <v>38</v>
      </c>
      <c r="B11" s="81">
        <v>76</v>
      </c>
      <c r="C11" s="81">
        <v>76</v>
      </c>
      <c r="D11" s="81">
        <v>48</v>
      </c>
      <c r="E11" s="112">
        <v>50</v>
      </c>
    </row>
    <row r="12" spans="1:5" ht="27" customHeight="1" x14ac:dyDescent="0.3">
      <c r="A12" s="80" t="s">
        <v>39</v>
      </c>
      <c r="B12" s="81">
        <v>5860</v>
      </c>
      <c r="C12" s="81">
        <v>5860</v>
      </c>
      <c r="D12" s="81">
        <v>7873</v>
      </c>
      <c r="E12" s="112">
        <v>6828</v>
      </c>
    </row>
    <row r="13" spans="1:5" ht="27" customHeight="1" x14ac:dyDescent="0.3">
      <c r="A13" s="75" t="s">
        <v>40</v>
      </c>
      <c r="B13" s="10">
        <v>49227</v>
      </c>
      <c r="C13" s="10">
        <v>49227</v>
      </c>
      <c r="D13" s="10">
        <v>58505</v>
      </c>
      <c r="E13" s="113">
        <v>60569</v>
      </c>
    </row>
    <row r="14" spans="1:5" ht="27" customHeight="1" x14ac:dyDescent="0.3">
      <c r="A14" s="100" t="s">
        <v>37</v>
      </c>
      <c r="B14" s="81"/>
      <c r="C14" s="81"/>
      <c r="D14" s="81"/>
      <c r="E14" s="112"/>
    </row>
    <row r="15" spans="1:5" ht="27" customHeight="1" x14ac:dyDescent="0.3">
      <c r="A15" s="80" t="s">
        <v>38</v>
      </c>
      <c r="B15" s="81">
        <v>-2006</v>
      </c>
      <c r="C15" s="81">
        <v>-2006</v>
      </c>
      <c r="D15" s="81">
        <v>-3794</v>
      </c>
      <c r="E15" s="112">
        <v>-4348</v>
      </c>
    </row>
    <row r="16" spans="1:5" ht="27" customHeight="1" x14ac:dyDescent="0.3">
      <c r="A16" s="80" t="s">
        <v>39</v>
      </c>
      <c r="B16" s="81">
        <v>71413</v>
      </c>
      <c r="C16" s="81">
        <v>71413</v>
      </c>
      <c r="D16" s="81">
        <v>84102</v>
      </c>
      <c r="E16" s="112">
        <v>71538</v>
      </c>
    </row>
    <row r="17" spans="1:5" ht="27" customHeight="1" x14ac:dyDescent="0.3">
      <c r="A17" s="80" t="s">
        <v>40</v>
      </c>
      <c r="B17" s="81">
        <v>43859</v>
      </c>
      <c r="C17" s="81">
        <v>43859</v>
      </c>
      <c r="D17" s="81">
        <v>56941</v>
      </c>
      <c r="E17" s="112">
        <v>60587</v>
      </c>
    </row>
    <row r="18" spans="1:5" ht="27" customHeight="1" x14ac:dyDescent="0.3">
      <c r="A18" s="6" t="s">
        <v>41</v>
      </c>
      <c r="B18" s="5">
        <v>4632</v>
      </c>
      <c r="C18" s="5">
        <v>4631</v>
      </c>
      <c r="D18" s="5">
        <v>3778</v>
      </c>
      <c r="E18" s="110">
        <v>3851</v>
      </c>
    </row>
    <row r="19" spans="1:5" ht="27" customHeight="1" x14ac:dyDescent="0.3">
      <c r="A19" s="6" t="s">
        <v>42</v>
      </c>
      <c r="B19" s="5">
        <v>28001</v>
      </c>
      <c r="C19" s="5">
        <v>28001</v>
      </c>
      <c r="D19" s="5">
        <v>25937</v>
      </c>
      <c r="E19" s="110">
        <v>26282</v>
      </c>
    </row>
    <row r="20" spans="1:5" ht="27" customHeight="1" x14ac:dyDescent="0.3">
      <c r="A20" s="6" t="s">
        <v>43</v>
      </c>
      <c r="B20" s="5">
        <v>6731</v>
      </c>
      <c r="C20" s="5">
        <v>6495</v>
      </c>
      <c r="D20" s="5">
        <v>3786</v>
      </c>
      <c r="E20" s="110">
        <v>4063</v>
      </c>
    </row>
    <row r="21" spans="1:5" ht="27" customHeight="1" x14ac:dyDescent="0.3">
      <c r="A21" s="6" t="s">
        <v>44</v>
      </c>
      <c r="B21" s="5">
        <v>543</v>
      </c>
      <c r="C21" s="5">
        <v>543</v>
      </c>
      <c r="D21" s="5">
        <v>585</v>
      </c>
      <c r="E21" s="110">
        <v>658</v>
      </c>
    </row>
    <row r="22" spans="1:5" ht="27" customHeight="1" thickBot="1" x14ac:dyDescent="0.35">
      <c r="A22" s="7" t="s">
        <v>45</v>
      </c>
      <c r="B22" s="8">
        <v>2027405</v>
      </c>
      <c r="C22" s="8">
        <f>SUM(C6:C21)+1</f>
        <v>2027405</v>
      </c>
      <c r="D22" s="8">
        <f>SUM(D6:D21)-1</f>
        <v>2027405</v>
      </c>
      <c r="E22" s="114">
        <f>SUM(E6:E21)+1</f>
        <v>2027405</v>
      </c>
    </row>
  </sheetData>
  <mergeCells count="5">
    <mergeCell ref="B4:C4"/>
    <mergeCell ref="D4:E4"/>
    <mergeCell ref="A1:E1"/>
    <mergeCell ref="A2:E2"/>
    <mergeCell ref="A3:E3"/>
  </mergeCells>
  <pageMargins left="0.96" right="0.3" top="1" bottom="1" header="0.5" footer="0.5"/>
  <pageSetup scale="90" orientation="portrait" r:id="rId1"/>
  <headerFooter alignWithMargins="0">
    <oddFooter>&amp;C&amp;"Times New Roman,Regular"4-27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Summary</vt:lpstr>
      <vt:lpstr>Table 4-3</vt:lpstr>
      <vt:lpstr>Table 4-4</vt:lpstr>
      <vt:lpstr>Table 4-5</vt:lpstr>
      <vt:lpstr>Table 4-6</vt:lpstr>
      <vt:lpstr>Table 4-7</vt:lpstr>
      <vt:lpstr>Table 4-8</vt:lpstr>
      <vt:lpstr>Table 4-9</vt:lpstr>
      <vt:lpstr>Table 4-10</vt:lpstr>
      <vt:lpstr>Table 4-11</vt:lpstr>
      <vt:lpstr>Table 4-12</vt:lpstr>
      <vt:lpstr>Table 4-13</vt:lpstr>
      <vt:lpstr>Table 4-14</vt:lpstr>
      <vt:lpstr>Table 4-15</vt:lpstr>
      <vt:lpstr>Table 4-16</vt:lpstr>
      <vt:lpstr>Table 4-17</vt:lpstr>
      <vt:lpstr>Sheet1</vt:lpstr>
      <vt:lpstr>'Table 4-17'!Print_Area</vt:lpstr>
      <vt:lpstr>'Table 4-3'!Print_Area</vt:lpstr>
      <vt:lpstr>'Table 4-17'!Print_Titles</vt:lpstr>
      <vt:lpstr>'Table 4-3'!Print_Titles</vt:lpstr>
    </vt:vector>
  </TitlesOfParts>
  <Company>CPUC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 Liang-Uejio</dc:creator>
  <cp:lastModifiedBy>Havlíček Jan</cp:lastModifiedBy>
  <cp:lastPrinted>2000-09-01T21:51:00Z</cp:lastPrinted>
  <dcterms:created xsi:type="dcterms:W3CDTF">2000-08-29T05:16:38Z</dcterms:created>
  <dcterms:modified xsi:type="dcterms:W3CDTF">2023-09-10T15:53:16Z</dcterms:modified>
</cp:coreProperties>
</file>