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'CapChrg-AllocExp'!$B$2:$P$53</definedName>
    <definedName name="_xlnm.Print_Area" localSheetId="9">Expenses!$B$2:$K$57</definedName>
    <definedName name="_xlnm.Print_Area" localSheetId="7">'GM-WklyChnge'!$A$1:$K$58</definedName>
    <definedName name="_xlnm.Print_Area" localSheetId="3">Greensheet!$A$1:$M$143</definedName>
    <definedName name="_xlnm.Print_Area" localSheetId="8">GrossMargin!$B$2:$O$53</definedName>
    <definedName name="_xlnm.Print_Area" localSheetId="12">Headcount!$B$1:$N$50</definedName>
    <definedName name="_xlnm.Print_Area" localSheetId="4">'Old Mgmt Summary'!$A$1:$V$65</definedName>
    <definedName name="_xlnm.Print_Area" localSheetId="1">'Q1 Mgmt Summary'!$A$1:$N$48</definedName>
    <definedName name="_xlnm.Print_Area" localSheetId="2">'QTD Mgmt Summary'!$A$1:$N$63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E28" i="4"/>
  <c r="F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M50" i="4"/>
  <c r="D52" i="4"/>
  <c r="E52" i="4"/>
  <c r="F52" i="4"/>
  <c r="K52" i="4"/>
  <c r="L52" i="4"/>
  <c r="M52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6" i="19"/>
  <c r="E56" i="19"/>
  <c r="F56" i="19"/>
  <c r="D57" i="19"/>
  <c r="E57" i="19"/>
  <c r="F57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E23" i="3"/>
  <c r="F23" i="3"/>
  <c r="D24" i="3"/>
  <c r="E24" i="3"/>
  <c r="F24" i="3"/>
  <c r="D25" i="3"/>
  <c r="E25" i="3"/>
  <c r="F25" i="3"/>
  <c r="E26" i="3"/>
  <c r="F26" i="3"/>
  <c r="E27" i="3"/>
  <c r="F27" i="3"/>
  <c r="E28" i="3"/>
  <c r="F28" i="3"/>
  <c r="D29" i="3"/>
  <c r="E29" i="3"/>
  <c r="F29" i="3"/>
  <c r="E32" i="3"/>
  <c r="F32" i="3"/>
  <c r="E33" i="3"/>
  <c r="F33" i="3"/>
  <c r="E34" i="3"/>
  <c r="F34" i="3"/>
  <c r="D35" i="3"/>
  <c r="E35" i="3"/>
  <c r="F35" i="3"/>
  <c r="D36" i="3"/>
  <c r="E36" i="3"/>
  <c r="F36" i="3"/>
  <c r="D37" i="3"/>
  <c r="E37" i="3"/>
  <c r="F37" i="3"/>
  <c r="E39" i="3"/>
  <c r="F39" i="3"/>
  <c r="D41" i="3"/>
  <c r="E41" i="3"/>
  <c r="F41" i="3"/>
  <c r="D43" i="3"/>
  <c r="E43" i="3"/>
  <c r="F43" i="3"/>
  <c r="D45" i="3"/>
  <c r="E45" i="3"/>
  <c r="F45" i="3"/>
  <c r="F47" i="3"/>
  <c r="E49" i="3"/>
  <c r="F49" i="3"/>
  <c r="D51" i="3"/>
  <c r="E51" i="3"/>
  <c r="F51" i="3"/>
  <c r="D56" i="3"/>
  <c r="F56" i="3"/>
  <c r="F57" i="3"/>
  <c r="D58" i="3"/>
  <c r="E58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1" i="9"/>
  <c r="D31" i="9"/>
  <c r="E31" i="9"/>
  <c r="F31" i="9"/>
  <c r="G31" i="9"/>
  <c r="H31" i="9"/>
  <c r="J31" i="9"/>
  <c r="K31" i="9"/>
  <c r="C34" i="9"/>
  <c r="D34" i="9"/>
  <c r="E34" i="9"/>
  <c r="F34" i="9"/>
  <c r="G34" i="9"/>
  <c r="H34" i="9"/>
  <c r="J34" i="9"/>
  <c r="K34" i="9"/>
  <c r="C35" i="9"/>
  <c r="D35" i="9"/>
  <c r="E35" i="9"/>
  <c r="F35" i="9"/>
  <c r="G35" i="9"/>
  <c r="H35" i="9"/>
  <c r="J35" i="9"/>
  <c r="K35" i="9"/>
  <c r="C36" i="9"/>
  <c r="D36" i="9"/>
  <c r="E36" i="9"/>
  <c r="F36" i="9"/>
  <c r="G36" i="9"/>
  <c r="H36" i="9"/>
  <c r="J36" i="9"/>
  <c r="K36" i="9"/>
  <c r="C37" i="9"/>
  <c r="D37" i="9"/>
  <c r="E37" i="9"/>
  <c r="F37" i="9"/>
  <c r="G37" i="9"/>
  <c r="H37" i="9"/>
  <c r="J37" i="9"/>
  <c r="K37" i="9"/>
  <c r="C38" i="9"/>
  <c r="D38" i="9"/>
  <c r="E38" i="9"/>
  <c r="F38" i="9"/>
  <c r="G38" i="9"/>
  <c r="H38" i="9"/>
  <c r="J38" i="9"/>
  <c r="K38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J44" i="9"/>
  <c r="K44" i="9"/>
  <c r="C46" i="9"/>
  <c r="D46" i="9"/>
  <c r="E46" i="9"/>
  <c r="F46" i="9"/>
  <c r="G46" i="9"/>
  <c r="H46" i="9"/>
  <c r="J46" i="9"/>
  <c r="K46" i="9"/>
  <c r="C48" i="9"/>
  <c r="D48" i="9"/>
  <c r="E48" i="9"/>
  <c r="F48" i="9"/>
  <c r="G48" i="9"/>
  <c r="H48" i="9"/>
  <c r="J48" i="9"/>
  <c r="K48" i="9"/>
  <c r="C50" i="9"/>
  <c r="D50" i="9"/>
  <c r="E50" i="9"/>
  <c r="F50" i="9"/>
  <c r="G50" i="9"/>
  <c r="H50" i="9"/>
  <c r="J50" i="9"/>
  <c r="K50" i="9"/>
  <c r="I58" i="9"/>
  <c r="J58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R29" i="2"/>
  <c r="S29" i="2"/>
  <c r="T29" i="2"/>
  <c r="J30" i="2"/>
  <c r="M30" i="2"/>
  <c r="N30" i="2"/>
  <c r="O30" i="2"/>
  <c r="R30" i="2"/>
  <c r="S30" i="2"/>
  <c r="T30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J35" i="2"/>
  <c r="M35" i="2"/>
  <c r="N35" i="2"/>
  <c r="O35" i="2"/>
  <c r="R35" i="2"/>
  <c r="S35" i="2"/>
  <c r="T35" i="2"/>
  <c r="J36" i="2"/>
  <c r="M36" i="2"/>
  <c r="N36" i="2"/>
  <c r="O36" i="2"/>
  <c r="R36" i="2"/>
  <c r="S36" i="2"/>
  <c r="T36" i="2"/>
  <c r="E37" i="2"/>
  <c r="F37" i="2"/>
  <c r="J37" i="2"/>
  <c r="K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D39" i="2"/>
  <c r="E39" i="2"/>
  <c r="F39" i="2"/>
  <c r="H39" i="2"/>
  <c r="I39" i="2"/>
  <c r="J39" i="2"/>
  <c r="L39" i="2"/>
  <c r="M39" i="2"/>
  <c r="N39" i="2"/>
  <c r="O39" i="2"/>
  <c r="D41" i="2"/>
  <c r="E41" i="2"/>
  <c r="F41" i="2"/>
  <c r="H41" i="2"/>
  <c r="I41" i="2"/>
  <c r="J41" i="2"/>
  <c r="K41" i="2"/>
  <c r="L41" i="2"/>
  <c r="M41" i="2"/>
  <c r="N41" i="2"/>
  <c r="O41" i="2"/>
  <c r="R41" i="2"/>
  <c r="S41" i="2"/>
  <c r="T41" i="2"/>
  <c r="J43" i="2"/>
  <c r="M43" i="2"/>
  <c r="N43" i="2"/>
  <c r="O43" i="2"/>
  <c r="R43" i="2"/>
  <c r="S43" i="2"/>
  <c r="T43" i="2"/>
  <c r="J45" i="2"/>
  <c r="M45" i="2"/>
  <c r="O45" i="2"/>
  <c r="J47" i="2"/>
  <c r="M47" i="2"/>
  <c r="N47" i="2"/>
  <c r="O47" i="2"/>
  <c r="J49" i="2"/>
  <c r="M49" i="2"/>
  <c r="N49" i="2"/>
  <c r="O49" i="2"/>
  <c r="D51" i="2"/>
  <c r="E51" i="2"/>
  <c r="F51" i="2"/>
  <c r="H51" i="2"/>
  <c r="I51" i="2"/>
  <c r="J51" i="2"/>
  <c r="K51" i="2"/>
  <c r="L51" i="2"/>
  <c r="M51" i="2"/>
  <c r="N51" i="2"/>
  <c r="O51" i="2"/>
  <c r="D59" i="2"/>
  <c r="D60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O45" i="1"/>
  <c r="T45" i="1"/>
  <c r="V45" i="1"/>
  <c r="E46" i="1"/>
  <c r="D47" i="1"/>
  <c r="E47" i="1"/>
  <c r="N47" i="1"/>
  <c r="O47" i="1"/>
  <c r="U47" i="1"/>
  <c r="V47" i="1"/>
  <c r="D49" i="1"/>
  <c r="E49" i="1"/>
  <c r="M49" i="1"/>
  <c r="O49" i="1"/>
  <c r="T49" i="1"/>
  <c r="V49" i="1"/>
  <c r="D51" i="1"/>
  <c r="E51" i="1"/>
  <c r="N51" i="1"/>
  <c r="O51" i="1"/>
  <c r="U51" i="1"/>
  <c r="V51" i="1"/>
  <c r="C53" i="1"/>
  <c r="D53" i="1"/>
  <c r="E53" i="1"/>
  <c r="G53" i="1"/>
  <c r="H53" i="1"/>
  <c r="I53" i="1"/>
  <c r="J53" i="1"/>
  <c r="M53" i="1"/>
  <c r="O53" i="1"/>
  <c r="Q53" i="1"/>
  <c r="T53" i="1"/>
  <c r="V53" i="1"/>
  <c r="D55" i="1"/>
  <c r="E55" i="1"/>
  <c r="J55" i="1"/>
  <c r="L55" i="1"/>
  <c r="O55" i="1"/>
  <c r="S55" i="1"/>
  <c r="V55" i="1"/>
  <c r="V56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J26" i="17"/>
  <c r="L26" i="17"/>
  <c r="M26" i="17"/>
  <c r="N26" i="17"/>
  <c r="E27" i="17"/>
  <c r="J27" i="17"/>
  <c r="L27" i="17"/>
  <c r="M27" i="17"/>
  <c r="N27" i="17"/>
  <c r="C28" i="17"/>
  <c r="D28" i="17"/>
  <c r="E28" i="17"/>
  <c r="G28" i="17"/>
  <c r="H28" i="17"/>
  <c r="I28" i="17"/>
  <c r="J28" i="17"/>
  <c r="L28" i="17"/>
  <c r="M28" i="17"/>
  <c r="N28" i="17"/>
  <c r="E30" i="17"/>
  <c r="J30" i="17"/>
  <c r="L30" i="17"/>
  <c r="M30" i="17"/>
  <c r="N30" i="17"/>
  <c r="E31" i="17"/>
  <c r="J31" i="17"/>
  <c r="L31" i="17"/>
  <c r="M31" i="17"/>
  <c r="N31" i="17"/>
  <c r="C32" i="17"/>
  <c r="E32" i="17"/>
  <c r="G32" i="17"/>
  <c r="H32" i="17"/>
  <c r="I32" i="17"/>
  <c r="J32" i="17"/>
  <c r="L32" i="17"/>
  <c r="M32" i="17"/>
  <c r="N32" i="17"/>
  <c r="C33" i="17"/>
  <c r="D33" i="17"/>
  <c r="E33" i="17"/>
  <c r="G33" i="17"/>
  <c r="H33" i="17"/>
  <c r="I33" i="17"/>
  <c r="J33" i="17"/>
  <c r="L33" i="17"/>
  <c r="M33" i="17"/>
  <c r="N33" i="17"/>
  <c r="E35" i="17"/>
  <c r="J35" i="17"/>
  <c r="L35" i="17"/>
  <c r="M35" i="17"/>
  <c r="N35" i="17"/>
  <c r="E36" i="17"/>
  <c r="J36" i="17"/>
  <c r="L36" i="17"/>
  <c r="M36" i="17"/>
  <c r="N36" i="17"/>
  <c r="E37" i="17"/>
  <c r="J37" i="17"/>
  <c r="L37" i="17"/>
  <c r="M37" i="17"/>
  <c r="N37" i="17"/>
  <c r="C38" i="17"/>
  <c r="D38" i="17"/>
  <c r="E38" i="17"/>
  <c r="G38" i="17"/>
  <c r="H38" i="17"/>
  <c r="I38" i="17"/>
  <c r="J38" i="17"/>
  <c r="L38" i="17"/>
  <c r="M38" i="17"/>
  <c r="N38" i="17"/>
  <c r="E40" i="17"/>
  <c r="J40" i="17"/>
  <c r="L40" i="17"/>
  <c r="M40" i="17"/>
  <c r="N40" i="17"/>
  <c r="E41" i="17"/>
  <c r="J41" i="17"/>
  <c r="L41" i="17"/>
  <c r="M41" i="17"/>
  <c r="N41" i="17"/>
  <c r="E42" i="17"/>
  <c r="J42" i="17"/>
  <c r="L42" i="17"/>
  <c r="M42" i="17"/>
  <c r="N42" i="17"/>
  <c r="C43" i="17"/>
  <c r="D43" i="17"/>
  <c r="E43" i="17"/>
  <c r="J43" i="17"/>
  <c r="L43" i="17"/>
  <c r="M43" i="17"/>
  <c r="N43" i="17"/>
  <c r="C44" i="17"/>
  <c r="D44" i="17"/>
  <c r="E44" i="17"/>
  <c r="G44" i="17"/>
  <c r="H44" i="17"/>
  <c r="I44" i="17"/>
  <c r="J44" i="17"/>
  <c r="L44" i="17"/>
  <c r="M44" i="17"/>
  <c r="N44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F28" i="13"/>
  <c r="G28" i="13"/>
  <c r="H28" i="13"/>
  <c r="I28" i="13"/>
  <c r="J28" i="13"/>
  <c r="L28" i="13"/>
  <c r="M28" i="13"/>
  <c r="N28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E40" i="13"/>
  <c r="G40" i="13"/>
  <c r="H40" i="13"/>
  <c r="J40" i="13"/>
  <c r="L40" i="13"/>
  <c r="M40" i="13"/>
  <c r="N40" i="13"/>
  <c r="E41" i="13"/>
  <c r="G41" i="13"/>
  <c r="H41" i="13"/>
  <c r="J41" i="13"/>
  <c r="L41" i="13"/>
  <c r="M41" i="13"/>
  <c r="N41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J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6" i="18"/>
  <c r="D26" i="18"/>
  <c r="E26" i="18"/>
  <c r="G26" i="18"/>
  <c r="H26" i="18"/>
  <c r="I26" i="18"/>
  <c r="J26" i="18"/>
  <c r="L26" i="18"/>
  <c r="M26" i="18"/>
  <c r="N26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30" i="18"/>
  <c r="D30" i="18"/>
  <c r="E30" i="18"/>
  <c r="G30" i="18"/>
  <c r="H30" i="18"/>
  <c r="I30" i="18"/>
  <c r="J30" i="18"/>
  <c r="L30" i="18"/>
  <c r="M30" i="18"/>
  <c r="N30" i="18"/>
  <c r="C31" i="18"/>
  <c r="D31" i="18"/>
  <c r="E31" i="18"/>
  <c r="G31" i="18"/>
  <c r="H31" i="18"/>
  <c r="I31" i="18"/>
  <c r="J31" i="18"/>
  <c r="L31" i="18"/>
  <c r="M31" i="18"/>
  <c r="N31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5" i="18"/>
  <c r="D35" i="18"/>
  <c r="E35" i="18"/>
  <c r="G35" i="18"/>
  <c r="H35" i="18"/>
  <c r="I35" i="18"/>
  <c r="J35" i="18"/>
  <c r="L35" i="18"/>
  <c r="M35" i="18"/>
  <c r="N35" i="18"/>
  <c r="C36" i="18"/>
  <c r="D36" i="18"/>
  <c r="E36" i="18"/>
  <c r="G36" i="18"/>
  <c r="H36" i="18"/>
  <c r="I36" i="18"/>
  <c r="J36" i="18"/>
  <c r="L36" i="18"/>
  <c r="M36" i="18"/>
  <c r="N36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40" i="18"/>
  <c r="D40" i="18"/>
  <c r="E40" i="18"/>
  <c r="G40" i="18"/>
  <c r="H40" i="18"/>
  <c r="I40" i="18"/>
  <c r="J40" i="18"/>
  <c r="L40" i="18"/>
  <c r="M40" i="18"/>
  <c r="N40" i="18"/>
  <c r="C41" i="18"/>
  <c r="D41" i="18"/>
  <c r="E41" i="18"/>
  <c r="G41" i="18"/>
  <c r="H41" i="18"/>
  <c r="I41" i="18"/>
  <c r="J41" i="18"/>
  <c r="L41" i="18"/>
  <c r="M41" i="18"/>
  <c r="N41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<sst xmlns="http://schemas.openxmlformats.org/spreadsheetml/2006/main" count="1118" uniqueCount="302">
  <si>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</si>
  <si>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</si>
  <si>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</si>
  <si>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</si>
  <si>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</si>
  <si>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</si>
  <si>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</si>
  <si>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</si>
  <si>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</si>
  <si>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</si>
  <si>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</si>
  <si>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</si>
  <si>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</si>
  <si>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</si>
  <si>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</si>
  <si>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</si>
  <si>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</si>
  <si>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</si>
  <si>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</si>
  <si>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</si>
  <si>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</si>
  <si>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</si>
  <si>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</si>
  <si>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</si>
  <si>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</si>
  <si>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</si>
  <si>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</si>
  <si>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</si>
  <si>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</si>
  <si>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</si>
  <si>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</si>
  <si>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</si>
  <si>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</si>
  <si>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</si>
  <si>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</si>
  <si>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</si>
  <si>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</si>
  <si>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</si>
  <si>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</si>
  <si>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</si>
  <si>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</si>
  <si>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</si>
  <si>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</si>
  <si>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</si>
  <si>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</si>
  <si>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</si>
  <si>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</si>
  <si>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</si>
  <si>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</si>
  <si>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</si>
  <si>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</si>
  <si>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</si>
  <si>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</si>
  <si>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</si>
  <si>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</si>
  <si>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</si>
  <si>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</si>
  <si>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</si>
  <si>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</si>
  <si>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</si>
  <si>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</si>
  <si>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</si>
  <si>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</si>
  <si>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</si>
  <si>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</si>
  <si>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</si>
  <si>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</si>
  <si>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</si>
  <si>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</si>
  <si>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</si>
  <si>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</si>
  <si>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</si>
  <si>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</si>
  <si>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</si>
  <si>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</si>
  <si>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</si>
  <si>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</si>
  <si>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</si>
  <si>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</si>
  <si>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</si>
  <si>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</si>
  <si>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</si>
  <si>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</si>
  <si>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</si>
  <si>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</si>
  <si>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</si>
  <si>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</si>
  <si>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</si>
  <si>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</si>
  <si>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</si>
  <si>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</si>
  <si>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</si>
  <si>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</si>
  <si>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</si>
  <si>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</si>
  <si>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</si>
  <si>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</si>
  <si>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</si>
  <si>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</si>
  <si>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</si>
  <si>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</si>
  <si>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</si>
  <si>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</si>
  <si>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</si>
  <si>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</si>
  <si>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</si>
  <si>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</si>
  <si>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</si>
  <si>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</si>
  <si>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</si>
  <si>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</si>
  <si>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</si>
  <si>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</si>
  <si>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</si>
  <si>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</si>
  <si>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</si>
  <si>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</si>
  <si>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</si>
  <si>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</si>
  <si>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</si>
  <si>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</si>
  <si>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</si>
  <si>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</si>
  <si>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</si>
  <si>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</si>
  <si>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</si>
  <si>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</si>
  <si>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</si>
  <si>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</si>
  <si>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</si>
  <si>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</si>
  <si>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</si>
  <si>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</si>
  <si>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</si>
  <si>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</si>
  <si>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</si>
  <si>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</si>
  <si>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</si>
  <si>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</si>
  <si>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</si>
  <si>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</si>
  <si>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</si>
  <si>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</si>
  <si>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</si>
  <si>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</si>
  <si>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</si>
  <si>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</si>
  <si>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</si>
  <si>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</si>
  <si>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</si>
  <si>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</si>
  <si>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</si>
  <si>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</si>
  <si>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</si>
  <si>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</si>
  <si>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</si>
  <si>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</si>
  <si>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</si>
  <si>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</si>
  <si>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</si>
  <si>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</si>
  <si>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</si>
  <si>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</si>
  <si>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</si>
  <si>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</si>
  <si>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</si>
  <si>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</si>
  <si>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</si>
  <si>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</si>
  <si>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</si>
  <si>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</si>
  <si>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</si>
  <si>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</si>
  <si>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</si>
  <si>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</si>
  <si>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</si>
  <si>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</si>
  <si>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</si>
  <si>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</si>
  <si>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</si>
  <si>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</si>
  <si>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</si>
  <si>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</si>
  <si>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</si>
  <si>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</si>
  <si>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</si>
  <si>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</si>
  <si>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</si>
  <si>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</si>
  <si>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</si>
  <si>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</si>
  <si>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</si>
  <si>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</si>
  <si>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</si>
  <si>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</si>
  <si>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</si>
  <si>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</si>
  <si>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</si>
  <si>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</si>
  <si>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</si>
  <si>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</si>
  <si>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</si>
  <si>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</si>
  <si>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</si>
  <si>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</si>
  <si>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</si>
  <si>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</si>
  <si>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</si>
  <si>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</si>
  <si>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</si>
  <si>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</si>
  <si>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</si>
  <si>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</si>
  <si>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</si>
  <si>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</si>
  <si>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</si>
  <si>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</si>
  <si>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</si>
  <si>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</si>
  <si>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</si>
  <si>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</si>
  <si>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</si>
  <si>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</si>
  <si>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</si>
  <si>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</si>
  <si>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</si>
  <si>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</si>
  <si>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</si>
  <si>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</si>
  <si>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</si>
  <si>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</si>
  <si>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</si>
  <si>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</si>
  <si>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</si>
  <si>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</si>
  <si>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</si>
  <si>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</si>
  <si>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</si>
  <si>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</si>
  <si>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</si>
  <si>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</si>
  <si>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</si>
  <si>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</si>
  <si>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</si>
  <si>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</si>
  <si>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</si>
  <si>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</si>
  <si>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</si>
  <si>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</si>
  <si>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</si>
  <si>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</si>
  <si>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</si>
  <si>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</si>
  <si>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</si>
  <si>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</si>
  <si>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</si>
  <si>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</si>
  <si>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</si>
  <si>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</si>
  <si>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</si>
  <si>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</si>
  <si>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</si>
  <si>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</si>
  <si>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</si>
  <si>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</si>
  <si>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</si>
  <si>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</si>
  <si>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</si>
  <si>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</si>
  <si>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</si>
  <si>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</si>
  <si>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</si>
  <si>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</si>
  <si>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</si>
  <si>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</si>
  <si>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</si>
  <si>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</si>
  <si>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</si>
  <si>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</si>
  <si>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</si>
  <si>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</si>
  <si>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</si>
  <si>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</si>
  <si>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</si>
  <si>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</si>
  <si>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Margin change from: 06/02/00</t>
  </si>
  <si>
    <t>Expense changes from: 06/02/00</t>
  </si>
  <si>
    <t>Results based on Activity through June 8, 2000</t>
  </si>
  <si>
    <t>RC's moved from finance to trading per Jill Louie</t>
  </si>
  <si>
    <t>Enron Compressor services had Gas purchases.  They had not done so before.</t>
  </si>
  <si>
    <t>2 New groups in Denver that had no plan sent in a forecast</t>
  </si>
  <si>
    <t>FTE's over by 20, Increased special pays, Franchise taxes paid in April</t>
  </si>
  <si>
    <t>All Operating costs have gone through the DPR</t>
  </si>
  <si>
    <t>All Operating expenses went through the DPR</t>
  </si>
  <si>
    <t>Entire cap charge number in DPR</t>
  </si>
  <si>
    <t>Special Pays in May</t>
  </si>
  <si>
    <t>Special Pay in April &amp; May</t>
  </si>
  <si>
    <t>Offset in allocated expenses &amp; Bonus Accrual</t>
  </si>
  <si>
    <t>2000 Bonus Accrual</t>
  </si>
  <si>
    <t xml:space="preserve"> </t>
  </si>
  <si>
    <t>MPR Change</t>
  </si>
  <si>
    <t>Other 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</si>
</sst>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9" fontId="3" fillId="0" borderId="14" xfId="2" applyNumberFormat="1" applyFont="1" applyBorder="1"/>
    <xf numFmtId="165" fontId="3" fillId="0" borderId="1" xfId="0" applyNumberFormat="1" applyFont="1" applyBorder="1"/>
    <xf numFmtId="169" fontId="3" fillId="0" borderId="3" xfId="2" applyNumberFormat="1" applyFont="1" applyBorder="1"/>
    <xf numFmtId="169" fontId="3" fillId="0" borderId="7" xfId="2" applyNumberFormat="1" applyFont="1" applyBorder="1"/>
    <xf numFmtId="169" fontId="3" fillId="0" borderId="13" xfId="2" applyNumberFormat="1" applyFont="1" applyBorder="1"/>
    <xf numFmtId="0" fontId="2" fillId="0" borderId="2" xfId="0" applyFont="1" applyBorder="1" applyAlignment="1">
      <alignment horizontal="left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15340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6271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34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51154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37616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Hotlist - Identified 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  <sheetName val="Hotlist - Completed"/>
    </sheetNames>
    <sheetDataSet>
      <sheetData sheetId="0" refreshError="1"/>
      <sheetData sheetId="1" refreshError="1"/>
      <sheetData sheetId="2">
        <row r="48">
          <cell r="C48">
            <v>366247.5</v>
          </cell>
          <cell r="G48">
            <v>217950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189609</v>
          </cell>
        </row>
        <row r="11">
          <cell r="D11">
            <v>45804</v>
          </cell>
        </row>
        <row r="12">
          <cell r="D12">
            <v>88520</v>
          </cell>
        </row>
        <row r="13">
          <cell r="D13">
            <v>23724</v>
          </cell>
        </row>
        <row r="14">
          <cell r="D14">
            <v>10200</v>
          </cell>
        </row>
        <row r="15">
          <cell r="D15">
            <v>16913</v>
          </cell>
        </row>
        <row r="16">
          <cell r="D16">
            <v>1102</v>
          </cell>
        </row>
        <row r="17">
          <cell r="D17">
            <v>2728</v>
          </cell>
        </row>
        <row r="18">
          <cell r="D18">
            <v>-4100</v>
          </cell>
        </row>
        <row r="23">
          <cell r="E23">
            <v>506</v>
          </cell>
        </row>
        <row r="24">
          <cell r="D24">
            <v>2847</v>
          </cell>
          <cell r="E24">
            <v>-76</v>
          </cell>
          <cell r="F24">
            <v>0</v>
          </cell>
        </row>
        <row r="25">
          <cell r="E25">
            <v>16150</v>
          </cell>
        </row>
        <row r="26">
          <cell r="E26">
            <v>169</v>
          </cell>
          <cell r="F26">
            <v>37</v>
          </cell>
        </row>
        <row r="27">
          <cell r="E27">
            <v>2710</v>
          </cell>
          <cell r="H27">
            <v>5320</v>
          </cell>
        </row>
        <row r="28">
          <cell r="D28">
            <v>1692</v>
          </cell>
          <cell r="E28">
            <v>115</v>
          </cell>
          <cell r="F28">
            <v>16542</v>
          </cell>
          <cell r="H28">
            <v>4891</v>
          </cell>
        </row>
        <row r="29">
          <cell r="H29">
            <v>653</v>
          </cell>
        </row>
        <row r="35">
          <cell r="E35">
            <v>-30584</v>
          </cell>
          <cell r="F35">
            <v>0</v>
          </cell>
        </row>
        <row r="36">
          <cell r="E36">
            <v>3208</v>
          </cell>
          <cell r="F36">
            <v>0</v>
          </cell>
        </row>
        <row r="37">
          <cell r="E37">
            <v>-21519</v>
          </cell>
          <cell r="F37">
            <v>-276</v>
          </cell>
          <cell r="K37">
            <v>0</v>
          </cell>
        </row>
        <row r="38">
          <cell r="E38">
            <v>8442</v>
          </cell>
          <cell r="F38">
            <v>-43</v>
          </cell>
          <cell r="H38">
            <v>0</v>
          </cell>
        </row>
        <row r="39">
          <cell r="D39">
            <v>0</v>
          </cell>
          <cell r="E39">
            <v>-13077</v>
          </cell>
          <cell r="F39">
            <v>-319</v>
          </cell>
          <cell r="H39">
            <v>0</v>
          </cell>
        </row>
        <row r="43">
          <cell r="E43">
            <v>0.5</v>
          </cell>
        </row>
        <row r="47">
          <cell r="E47">
            <v>-3776</v>
          </cell>
          <cell r="F47">
            <v>-15261</v>
          </cell>
        </row>
      </sheetData>
      <sheetData sheetId="10">
        <row r="9">
          <cell r="D9">
            <v>3212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1384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1449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797</v>
          </cell>
        </row>
        <row r="26">
          <cell r="D26">
            <v>5856</v>
          </cell>
          <cell r="E26">
            <v>5557</v>
          </cell>
        </row>
        <row r="27">
          <cell r="D27">
            <v>1364</v>
          </cell>
          <cell r="E27">
            <v>1298</v>
          </cell>
        </row>
        <row r="28">
          <cell r="D28">
            <v>1740</v>
          </cell>
          <cell r="E28">
            <v>2005</v>
          </cell>
        </row>
        <row r="32">
          <cell r="D32">
            <v>773</v>
          </cell>
          <cell r="E32">
            <v>735</v>
          </cell>
        </row>
        <row r="33">
          <cell r="D33">
            <v>1307</v>
          </cell>
          <cell r="E33">
            <v>1307</v>
          </cell>
        </row>
        <row r="34">
          <cell r="D34">
            <v>335</v>
          </cell>
          <cell r="E34">
            <v>839</v>
          </cell>
        </row>
        <row r="35">
          <cell r="D35">
            <v>0</v>
          </cell>
          <cell r="E35">
            <v>0</v>
          </cell>
        </row>
        <row r="36">
          <cell r="D36">
            <v>335</v>
          </cell>
          <cell r="E36">
            <v>839</v>
          </cell>
        </row>
        <row r="39">
          <cell r="D39">
            <v>6035</v>
          </cell>
          <cell r="E39">
            <v>4617</v>
          </cell>
        </row>
        <row r="41">
          <cell r="D41">
            <v>3230</v>
          </cell>
          <cell r="E41">
            <v>2430</v>
          </cell>
        </row>
        <row r="45">
          <cell r="D45">
            <v>60230</v>
          </cell>
          <cell r="E45">
            <v>59297</v>
          </cell>
        </row>
        <row r="47">
          <cell r="D47">
            <v>13698</v>
          </cell>
          <cell r="E47">
            <v>13698</v>
          </cell>
        </row>
        <row r="49">
          <cell r="D49">
            <v>22625</v>
          </cell>
          <cell r="E49">
            <v>26684</v>
          </cell>
        </row>
        <row r="56">
          <cell r="D56">
            <v>6379</v>
          </cell>
          <cell r="E56">
            <v>8789</v>
          </cell>
        </row>
        <row r="57">
          <cell r="D57">
            <v>39626</v>
          </cell>
          <cell r="E57">
            <v>36998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9" workbookViewId="0">
      <selection activeCell="C36" sqref="C36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67">
        <f>'Q1 Mgmt Summary'!C8+'QTD Mgmt Summary'!C8</f>
        <v>259466</v>
      </c>
      <c r="D8" s="60">
        <f>'Q1 Mgmt Summary'!D8+'QTD Mgmt Summary'!D8</f>
        <v>83089</v>
      </c>
      <c r="E8" s="211">
        <f>+C8-D8</f>
        <v>176377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227552</v>
      </c>
      <c r="M8" s="59">
        <f t="shared" si="0"/>
        <v>51958</v>
      </c>
      <c r="N8" s="211">
        <f>+L8-M8</f>
        <v>175594</v>
      </c>
    </row>
    <row r="9" spans="1:23" ht="12" customHeight="1" x14ac:dyDescent="0.2">
      <c r="A9" s="207" t="s">
        <v>273</v>
      </c>
      <c r="B9" s="237"/>
      <c r="C9" s="268">
        <f>+'Q1 Mgmt Summary'!C9+'QTD Mgmt Summary'!C9</f>
        <v>63841</v>
      </c>
      <c r="D9" s="43">
        <f>+'Q1 Mgmt Summary'!D9+'QTD Mgmt Summary'!D9</f>
        <v>15006</v>
      </c>
      <c r="E9" s="213">
        <f>+C9-D9</f>
        <v>48835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57869</v>
      </c>
      <c r="M9" s="41">
        <f t="shared" si="0"/>
        <v>8493</v>
      </c>
      <c r="N9" s="213">
        <f>+L9-M9</f>
        <v>49376</v>
      </c>
    </row>
    <row r="10" spans="1:23" ht="12" customHeight="1" x14ac:dyDescent="0.2">
      <c r="A10" s="207" t="s">
        <v>106</v>
      </c>
      <c r="B10" s="237"/>
      <c r="C10" s="268">
        <f>+'Q1 Mgmt Summary'!C10+'QTD Mgmt Summary'!C10</f>
        <v>221847</v>
      </c>
      <c r="D10" s="43">
        <f>+'Q1 Mgmt Summary'!D10+'QTD Mgmt Summary'!D10</f>
        <v>97187</v>
      </c>
      <c r="E10" s="213">
        <f>+C10-D10</f>
        <v>124660</v>
      </c>
      <c r="F10" s="241"/>
      <c r="G10" s="268">
        <f>+'Q1 Mgmt Summary'!G10+'QTD Mgmt Summary'!G10</f>
        <v>37333</v>
      </c>
      <c r="H10" s="43">
        <f>+'Q1 Mgmt Summary'!H10+'QTD Mgmt Summary'!H10</f>
        <v>52050</v>
      </c>
      <c r="I10" s="65">
        <f>'QTD Mgmt Summary'!I10+'Q1 Mgmt Summary'!I10</f>
        <v>9269</v>
      </c>
      <c r="J10" s="213">
        <f>'QTD Mgmt Summary'!J10+'Q1 Mgmt Summary'!J10</f>
        <v>5448</v>
      </c>
      <c r="K10" s="214"/>
      <c r="L10" s="212">
        <f t="shared" si="0"/>
        <v>184514</v>
      </c>
      <c r="M10" s="41">
        <f t="shared" si="0"/>
        <v>45137</v>
      </c>
      <c r="N10" s="213">
        <f>+L10-M10</f>
        <v>139377</v>
      </c>
    </row>
    <row r="11" spans="1:23" ht="12" customHeight="1" x14ac:dyDescent="0.2">
      <c r="A11" s="207" t="s">
        <v>132</v>
      </c>
      <c r="B11" s="237"/>
      <c r="C11" s="268">
        <f>+'Q1 Mgmt Summary'!C11+'QTD Mgmt Summary'!C11</f>
        <v>53146</v>
      </c>
      <c r="D11" s="43">
        <f>+'Q1 Mgmt Summary'!D11+'QTD Mgmt Summary'!D11</f>
        <v>44804</v>
      </c>
      <c r="E11" s="213">
        <f t="shared" ref="E11:E16" si="1">+C11-D11</f>
        <v>8342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49297</v>
      </c>
      <c r="M11" s="41">
        <f t="shared" si="2"/>
        <v>41567</v>
      </c>
      <c r="N11" s="213">
        <f t="shared" ref="N11:N16" si="3">+L11-M11</f>
        <v>7730</v>
      </c>
    </row>
    <row r="12" spans="1:23" ht="12" customHeight="1" x14ac:dyDescent="0.2">
      <c r="A12" s="207" t="s">
        <v>133</v>
      </c>
      <c r="B12" s="237"/>
      <c r="C12" s="268">
        <f>+'Q1 Mgmt Summary'!C12+'QTD Mgmt Summary'!C12</f>
        <v>45356</v>
      </c>
      <c r="D12" s="43">
        <f>+'Q1 Mgmt Summary'!D12+'QTD Mgmt Summary'!D12</f>
        <v>22894</v>
      </c>
      <c r="E12" s="213">
        <f t="shared" si="1"/>
        <v>22462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41014</v>
      </c>
      <c r="M12" s="41">
        <f t="shared" si="2"/>
        <v>17962</v>
      </c>
      <c r="N12" s="213">
        <f t="shared" si="3"/>
        <v>23052</v>
      </c>
    </row>
    <row r="13" spans="1:23" ht="12" customHeight="1" x14ac:dyDescent="0.2">
      <c r="A13" s="207" t="s">
        <v>251</v>
      </c>
      <c r="B13" s="237"/>
      <c r="C13" s="268">
        <f>+'Q1 Mgmt Summary'!C13+'QTD Mgmt Summary'!C13</f>
        <v>36622</v>
      </c>
      <c r="D13" s="43">
        <f>+'Q1 Mgmt Summary'!D13+'QTD Mgmt Summary'!D13</f>
        <v>34668</v>
      </c>
      <c r="E13" s="213">
        <f t="shared" si="1"/>
        <v>1954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31274</v>
      </c>
      <c r="M13" s="41">
        <f t="shared" si="2"/>
        <v>28229</v>
      </c>
      <c r="N13" s="213">
        <f t="shared" si="3"/>
        <v>3045</v>
      </c>
    </row>
    <row r="14" spans="1:23" ht="12" customHeight="1" x14ac:dyDescent="0.2">
      <c r="A14" s="207" t="s">
        <v>262</v>
      </c>
      <c r="B14" s="237"/>
      <c r="C14" s="268">
        <f>+'Q1 Mgmt Summary'!C14+'QTD Mgmt Summary'!C14</f>
        <v>4484</v>
      </c>
      <c r="D14" s="43">
        <f>+'Q1 Mgmt Summary'!D14+'QTD Mgmt Summary'!D14</f>
        <v>19282</v>
      </c>
      <c r="E14" s="213">
        <f t="shared" si="1"/>
        <v>-14798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-4260</v>
      </c>
      <c r="M14" s="41">
        <f t="shared" si="2"/>
        <v>12516</v>
      </c>
      <c r="N14" s="213">
        <f t="shared" si="3"/>
        <v>-16776</v>
      </c>
    </row>
    <row r="15" spans="1:23" ht="12" customHeight="1" x14ac:dyDescent="0.2">
      <c r="A15" s="207" t="s">
        <v>155</v>
      </c>
      <c r="B15" s="237"/>
      <c r="C15" s="268">
        <f>+'Q1 Mgmt Summary'!C15+'QTD Mgmt Summary'!C15</f>
        <v>8274</v>
      </c>
      <c r="D15" s="43">
        <f>+'Q1 Mgmt Summary'!D15+'QTD Mgmt Summary'!D15</f>
        <v>6430</v>
      </c>
      <c r="E15" s="213">
        <f t="shared" si="1"/>
        <v>1844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3854</v>
      </c>
      <c r="M15" s="41">
        <f t="shared" si="2"/>
        <v>3047</v>
      </c>
      <c r="N15" s="213">
        <f t="shared" si="3"/>
        <v>807</v>
      </c>
    </row>
    <row r="16" spans="1:23" ht="12" customHeight="1" x14ac:dyDescent="0.2">
      <c r="A16" s="207" t="s">
        <v>107</v>
      </c>
      <c r="B16" s="237"/>
      <c r="C16" s="268">
        <f>+'Q1 Mgmt Summary'!C16+'QTD Mgmt Summary'!C16</f>
        <v>-15</v>
      </c>
      <c r="D16" s="43">
        <f>+'Q1 Mgmt Summary'!D16+'QTD Mgmt Summary'!D16</f>
        <v>1500</v>
      </c>
      <c r="E16" s="213">
        <f t="shared" si="1"/>
        <v>-1515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-619</v>
      </c>
      <c r="M16" s="41">
        <f t="shared" si="2"/>
        <v>820</v>
      </c>
      <c r="N16" s="213">
        <f t="shared" si="3"/>
        <v>-1439</v>
      </c>
    </row>
    <row r="17" spans="1:14" s="202" customFormat="1" ht="12" customHeight="1" x14ac:dyDescent="0.25">
      <c r="A17" s="229" t="s">
        <v>130</v>
      </c>
      <c r="B17" s="238"/>
      <c r="C17" s="259">
        <f>SUM(C8:C16)</f>
        <v>693021</v>
      </c>
      <c r="D17" s="259">
        <f>SUM(D8:D16)</f>
        <v>324860</v>
      </c>
      <c r="E17" s="260">
        <f>SUM(E8:E16)</f>
        <v>368161</v>
      </c>
      <c r="F17" s="242">
        <v>129970</v>
      </c>
      <c r="G17" s="259">
        <f>SUM(G8:G16)</f>
        <v>102526</v>
      </c>
      <c r="H17" s="259">
        <f>SUM(H8:H16)</f>
        <v>115131</v>
      </c>
      <c r="I17" s="259">
        <f>SUM(I8:I16)</f>
        <v>9269</v>
      </c>
      <c r="J17" s="260">
        <f>SUM(J8:J16)</f>
        <v>3299</v>
      </c>
      <c r="K17" s="215"/>
      <c r="L17" s="230">
        <f>SUM(L8:L16)</f>
        <v>590495</v>
      </c>
      <c r="M17" s="231">
        <f>SUM(M8:M16)</f>
        <v>209729</v>
      </c>
      <c r="N17" s="260">
        <f>SUM(N8:N16)</f>
        <v>380766</v>
      </c>
    </row>
    <row r="18" spans="1:14" ht="12" customHeight="1" x14ac:dyDescent="0.2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7" si="4">+C19-D19</f>
        <v>-31898</v>
      </c>
      <c r="F19" s="241"/>
      <c r="G19" s="268">
        <f>+'Q1 Mgmt Summary'!G19+'QTD Mgmt Summary'!G19</f>
        <v>17703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-2334</v>
      </c>
      <c r="K19" s="214"/>
      <c r="L19" s="212">
        <f t="shared" ref="L19:M21" si="5">+C19-G19</f>
        <v>-14865</v>
      </c>
      <c r="M19" s="41">
        <f t="shared" si="5"/>
        <v>19367</v>
      </c>
      <c r="N19" s="213">
        <f t="shared" ref="N19:N27" si="6">+L19-M19</f>
        <v>-34232</v>
      </c>
    </row>
    <row r="20" spans="1:14" ht="12" customHeight="1" x14ac:dyDescent="0.2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">
      <c r="A21" s="207" t="s">
        <v>233</v>
      </c>
      <c r="B21" s="237"/>
      <c r="C21" s="268">
        <f>+'Q1 Mgmt Summary'!C21+'QTD Mgmt Summary'!C21</f>
        <v>5846</v>
      </c>
      <c r="D21" s="43">
        <f>+'Q1 Mgmt Summary'!D21+'QTD Mgmt Summary'!D21</f>
        <v>39722</v>
      </c>
      <c r="E21" s="213">
        <f t="shared" si="4"/>
        <v>-33876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-8296</v>
      </c>
      <c r="M21" s="41">
        <f t="shared" si="5"/>
        <v>21112</v>
      </c>
      <c r="N21" s="213">
        <f t="shared" si="6"/>
        <v>-29408</v>
      </c>
    </row>
    <row r="22" spans="1:14" ht="12" customHeight="1" x14ac:dyDescent="0.2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17975</v>
      </c>
      <c r="H22" s="43">
        <f>+'Q1 Mgmt Summary'!H22+'QTD Mgmt Summary'!H22</f>
        <v>18852</v>
      </c>
      <c r="I22" s="65">
        <f>'QTD Mgmt Summary'!I22+'Q1 Mgmt Summary'!I22</f>
        <v>661</v>
      </c>
      <c r="J22" s="213">
        <f>'QTD Mgmt Summary'!J22+'Q1 Mgmt Summary'!J22</f>
        <v>216</v>
      </c>
      <c r="K22" s="214"/>
      <c r="L22" s="212">
        <f t="shared" ref="L22:M26" si="7">+C22-G22</f>
        <v>5394</v>
      </c>
      <c r="M22" s="41">
        <f t="shared" si="7"/>
        <v>18570</v>
      </c>
      <c r="N22" s="213">
        <f>+L22-M22</f>
        <v>-13176</v>
      </c>
    </row>
    <row r="23" spans="1:14" ht="12" customHeight="1" x14ac:dyDescent="0.2">
      <c r="A23" s="207" t="s">
        <v>264</v>
      </c>
      <c r="B23" s="237"/>
      <c r="C23" s="268">
        <f>+'Q1 Mgmt Summary'!C23+'QTD Mgmt Summary'!C23</f>
        <v>-830</v>
      </c>
      <c r="D23" s="43">
        <f>+'Q1 Mgmt Summary'!D23+'QTD Mgmt Summary'!D23</f>
        <v>6212</v>
      </c>
      <c r="E23" s="213">
        <f>+C23-D23</f>
        <v>-7042</v>
      </c>
      <c r="F23" s="241"/>
      <c r="G23" s="268">
        <f>+'Q1 Mgmt Summary'!G23+'QTD Mgmt Summary'!G23</f>
        <v>2990</v>
      </c>
      <c r="H23" s="43">
        <f>+'Q1 Mgmt Summary'!H23+'QTD Mgmt Summary'!H23</f>
        <v>2755</v>
      </c>
      <c r="I23" s="65">
        <f>'QTD Mgmt Summary'!I23+'Q1 Mgmt Summary'!I23</f>
        <v>115</v>
      </c>
      <c r="J23" s="213">
        <f>'QTD Mgmt Summary'!J23+'Q1 Mgmt Summary'!J23</f>
        <v>-313</v>
      </c>
      <c r="K23" s="214"/>
      <c r="L23" s="212">
        <f t="shared" si="7"/>
        <v>-3820</v>
      </c>
      <c r="M23" s="41">
        <f t="shared" si="7"/>
        <v>3457</v>
      </c>
      <c r="N23" s="213">
        <f>+L23-M23</f>
        <v>-7277</v>
      </c>
    </row>
    <row r="24" spans="1:14" ht="12" customHeight="1" x14ac:dyDescent="0.2">
      <c r="A24" s="207" t="s">
        <v>252</v>
      </c>
      <c r="B24" s="237"/>
      <c r="C24" s="268">
        <f>+'Q1 Mgmt Summary'!C24+'QTD Mgmt Summary'!C24</f>
        <v>9186</v>
      </c>
      <c r="D24" s="43">
        <f>+'Q1 Mgmt Summary'!D24+'QTD Mgmt Summary'!D24</f>
        <v>11556</v>
      </c>
      <c r="E24" s="213">
        <f t="shared" si="4"/>
        <v>-2370</v>
      </c>
      <c r="F24" s="241"/>
      <c r="G24" s="268">
        <f>+'Q1 Mgmt Summary'!G24+'QTD Mgmt Summary'!G24</f>
        <v>3666</v>
      </c>
      <c r="H24" s="43">
        <f>+'Q1 Mgmt Summary'!H24+'QTD Mgmt Summary'!H24</f>
        <v>4070</v>
      </c>
      <c r="I24" s="65">
        <f>'QTD Mgmt Summary'!I24+'Q1 Mgmt Summary'!I24</f>
        <v>394</v>
      </c>
      <c r="J24" s="213">
        <f>'QTD Mgmt Summary'!J24+'Q1 Mgmt Summary'!J24</f>
        <v>10</v>
      </c>
      <c r="K24" s="214"/>
      <c r="L24" s="212">
        <f t="shared" si="7"/>
        <v>5520</v>
      </c>
      <c r="M24" s="41">
        <f t="shared" si="7"/>
        <v>7486</v>
      </c>
      <c r="N24" s="213">
        <f t="shared" si="6"/>
        <v>-1966</v>
      </c>
    </row>
    <row r="25" spans="1:14" ht="12" customHeight="1" x14ac:dyDescent="0.2">
      <c r="A25" s="207" t="s">
        <v>248</v>
      </c>
      <c r="B25" s="237"/>
      <c r="C25" s="268">
        <f>+'Q1 Mgmt Summary'!C25+'QTD Mgmt Summary'!C25</f>
        <v>47911</v>
      </c>
      <c r="D25" s="43">
        <f>+'Q1 Mgmt Summary'!D25+'QTD Mgmt Summary'!D25</f>
        <v>61179</v>
      </c>
      <c r="E25" s="213">
        <f>+C25-D25</f>
        <v>-13268</v>
      </c>
      <c r="F25" s="241"/>
      <c r="G25" s="268">
        <f>+'Q1 Mgmt Summary'!G25+'QTD Mgmt Summary'!G25</f>
        <v>127897</v>
      </c>
      <c r="H25" s="43">
        <f>+'Q1 Mgmt Summary'!H25+'QTD Mgmt Summary'!H25</f>
        <v>121276</v>
      </c>
      <c r="I25" s="65">
        <f>'QTD Mgmt Summary'!I25+'Q1 Mgmt Summary'!I25</f>
        <v>1406</v>
      </c>
      <c r="J25" s="213">
        <f>'QTD Mgmt Summary'!J25+'Q1 Mgmt Summary'!J25</f>
        <v>-8027</v>
      </c>
      <c r="K25" s="214"/>
      <c r="L25" s="212">
        <f>+C25-G25</f>
        <v>-79986</v>
      </c>
      <c r="M25" s="41">
        <f>+D25-H25</f>
        <v>-60097</v>
      </c>
      <c r="N25" s="213">
        <f>+L25-M25</f>
        <v>-19889</v>
      </c>
    </row>
    <row r="26" spans="1:14" ht="12" customHeight="1" x14ac:dyDescent="0.2">
      <c r="A26" s="207" t="s">
        <v>156</v>
      </c>
      <c r="B26" s="237"/>
      <c r="C26" s="268">
        <f>+'Q1 Mgmt Summary'!C26+'QTD Mgmt Summary'!C26</f>
        <v>653</v>
      </c>
      <c r="D26" s="43">
        <f>+'Q1 Mgmt Summary'!D26+'QTD Mgmt Summary'!D26</f>
        <v>15424</v>
      </c>
      <c r="E26" s="213">
        <f>+C26-D26</f>
        <v>-14771</v>
      </c>
      <c r="F26" s="241"/>
      <c r="G26" s="268">
        <f>+'Q1 Mgmt Summary'!G26+'QTD Mgmt Summary'!G26</f>
        <v>2756</v>
      </c>
      <c r="H26" s="43">
        <f>+'Q1 Mgmt Summary'!H26+'QTD Mgmt Summary'!H26</f>
        <v>2551</v>
      </c>
      <c r="I26" s="65">
        <f>'QTD Mgmt Summary'!I26+'Q1 Mgmt Summary'!I26</f>
        <v>510</v>
      </c>
      <c r="J26" s="213">
        <f>'QTD Mgmt Summary'!J26+'Q1 Mgmt Summary'!J26</f>
        <v>-715</v>
      </c>
      <c r="K26" s="214"/>
      <c r="L26" s="212">
        <f t="shared" si="7"/>
        <v>-2103</v>
      </c>
      <c r="M26" s="41">
        <f t="shared" si="7"/>
        <v>12873</v>
      </c>
      <c r="N26" s="213">
        <f>+L26-M26</f>
        <v>-14976</v>
      </c>
    </row>
    <row r="27" spans="1:14" ht="12" customHeight="1" x14ac:dyDescent="0.2">
      <c r="A27" s="207" t="s">
        <v>0</v>
      </c>
      <c r="B27" s="237"/>
      <c r="C27" s="269">
        <f>+'Q1 Mgmt Summary'!C27+'QTD Mgmt Summary'!C27</f>
        <v>11</v>
      </c>
      <c r="D27" s="43">
        <f>+'Q1 Mgmt Summary'!D27+'QTD Mgmt Summary'!D27</f>
        <v>9312</v>
      </c>
      <c r="E27" s="213">
        <f t="shared" si="4"/>
        <v>-9301</v>
      </c>
      <c r="F27" s="241"/>
      <c r="G27" s="269">
        <f>+'Q1 Mgmt Summary'!G27+'QTD Mgmt Summary'!G27</f>
        <v>4455</v>
      </c>
      <c r="H27" s="43">
        <f>+'Q1 Mgmt Summary'!H27+'QTD Mgmt Summary'!H27</f>
        <v>5082</v>
      </c>
      <c r="I27" s="65">
        <f>'QTD Mgmt Summary'!I27+'Q1 Mgmt Summary'!I27</f>
        <v>0</v>
      </c>
      <c r="J27" s="213">
        <f>'QTD Mgmt Summary'!J27+'Q1 Mgmt Summary'!J27</f>
        <v>627</v>
      </c>
      <c r="K27" s="214"/>
      <c r="L27" s="212">
        <f>+C27-G27</f>
        <v>-4444</v>
      </c>
      <c r="M27" s="41">
        <f>+D27-H27</f>
        <v>4230</v>
      </c>
      <c r="N27" s="213">
        <f t="shared" si="6"/>
        <v>-8674</v>
      </c>
    </row>
    <row r="28" spans="1:14" s="202" customFormat="1" ht="12" customHeight="1" x14ac:dyDescent="0.25">
      <c r="A28" s="229" t="s">
        <v>1</v>
      </c>
      <c r="B28" s="238"/>
      <c r="C28" s="259">
        <f>SUM(C19:C27)</f>
        <v>97846</v>
      </c>
      <c r="D28" s="259">
        <f>SUM(D19:D27)</f>
        <v>242033</v>
      </c>
      <c r="E28" s="232">
        <f>SUM(E19:E27)</f>
        <v>-144187</v>
      </c>
      <c r="F28" s="242">
        <v>0</v>
      </c>
      <c r="G28" s="259">
        <f>SUM(G19:G27)</f>
        <v>205088</v>
      </c>
      <c r="H28" s="259">
        <f>SUM(H19:H27)</f>
        <v>203295</v>
      </c>
      <c r="I28" s="259">
        <f>SUM(I19:I27)</f>
        <v>4204</v>
      </c>
      <c r="J28" s="232">
        <f>SUM(J19:J27)</f>
        <v>-5960</v>
      </c>
      <c r="K28" s="215"/>
      <c r="L28" s="230">
        <f>SUM(L19:L27)</f>
        <v>-107242</v>
      </c>
      <c r="M28" s="231">
        <f>SUM(M19:M27)</f>
        <v>38738</v>
      </c>
      <c r="N28" s="232">
        <f>SUM(N19:N27)</f>
        <v>-145980</v>
      </c>
    </row>
    <row r="29" spans="1:14" ht="12" customHeight="1" x14ac:dyDescent="0.2">
      <c r="A29" s="207"/>
      <c r="B29" s="237"/>
      <c r="C29" s="212"/>
      <c r="D29" s="257"/>
      <c r="E29" s="213"/>
      <c r="F29" s="241"/>
      <c r="G29" s="212"/>
      <c r="H29" s="257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37"/>
      <c r="C30" s="268">
        <f>+'Q1 Mgmt Summary'!C30+'QTD Mgmt Summary'!C30</f>
        <v>64335</v>
      </c>
      <c r="D30" s="43">
        <f>+'Q1 Mgmt Summary'!D30+'QTD Mgmt Summary'!D30</f>
        <v>30764</v>
      </c>
      <c r="E30" s="213">
        <f>+C30-D30</f>
        <v>33571</v>
      </c>
      <c r="F30" s="241"/>
      <c r="G30" s="268">
        <f>+'Q1 Mgmt Summary'!G30+'QTD Mgmt Summary'!G30</f>
        <v>4873</v>
      </c>
      <c r="H30" s="43">
        <f>+'Q1 Mgmt Summary'!H30+'QTD Mgmt Summary'!H30</f>
        <v>6895</v>
      </c>
      <c r="I30" s="65">
        <f>'QTD Mgmt Summary'!I30+'Q1 Mgmt Summary'!I30</f>
        <v>2012</v>
      </c>
      <c r="J30" s="213">
        <f>'QTD Mgmt Summary'!J30+'Q1 Mgmt Summary'!J30</f>
        <v>10</v>
      </c>
      <c r="K30" s="214"/>
      <c r="L30" s="212">
        <f t="shared" ref="L30:M32" si="8">+C30-G30</f>
        <v>59462</v>
      </c>
      <c r="M30" s="41">
        <f t="shared" si="8"/>
        <v>23869</v>
      </c>
      <c r="N30" s="213">
        <f>+L30-M30</f>
        <v>35593</v>
      </c>
    </row>
    <row r="31" spans="1:14" ht="12" customHeight="1" x14ac:dyDescent="0.2">
      <c r="A31" s="207" t="s">
        <v>257</v>
      </c>
      <c r="B31" s="237"/>
      <c r="C31" s="268">
        <f>+'Q1 Mgmt Summary'!C31+'QTD Mgmt Summary'!C31</f>
        <v>3719</v>
      </c>
      <c r="D31" s="43">
        <f>+'Q1 Mgmt Summary'!D31+'QTD Mgmt Summary'!D31</f>
        <v>2000</v>
      </c>
      <c r="E31" s="213">
        <f>+C31-D31</f>
        <v>1719</v>
      </c>
      <c r="F31" s="241"/>
      <c r="G31" s="268">
        <f>+'Q1 Mgmt Summary'!G31+'QTD Mgmt Summary'!G31</f>
        <v>11569</v>
      </c>
      <c r="H31" s="43">
        <f>+'Q1 Mgmt Summary'!H31+'QTD Mgmt Summary'!H31</f>
        <v>14296</v>
      </c>
      <c r="I31" s="65">
        <f>'QTD Mgmt Summary'!I31+'Q1 Mgmt Summary'!I31</f>
        <v>3281</v>
      </c>
      <c r="J31" s="213">
        <f>'QTD Mgmt Summary'!J31+'Q1 Mgmt Summary'!J31</f>
        <v>-554</v>
      </c>
      <c r="K31" s="214"/>
      <c r="L31" s="212">
        <f t="shared" si="8"/>
        <v>-7850</v>
      </c>
      <c r="M31" s="41">
        <f t="shared" si="8"/>
        <v>-12296</v>
      </c>
      <c r="N31" s="213">
        <f>+L31-M31</f>
        <v>4446</v>
      </c>
    </row>
    <row r="32" spans="1:14" x14ac:dyDescent="0.2">
      <c r="A32" s="207" t="s">
        <v>154</v>
      </c>
      <c r="B32" s="237"/>
      <c r="C32" s="269">
        <f>+'Q1 Mgmt Summary'!C32+'QTD Mgmt Summary'!C32</f>
        <v>-14559</v>
      </c>
      <c r="D32" s="51">
        <f>+'Q1 Mgmt Summary'!D32+'QTD Mgmt Summary'!D32</f>
        <v>29109</v>
      </c>
      <c r="E32" s="213">
        <f>+C32-D32</f>
        <v>-43668</v>
      </c>
      <c r="F32" s="206"/>
      <c r="G32" s="269">
        <f>+'Q1 Mgmt Summary'!G32+'QTD Mgmt Summary'!G32</f>
        <v>20530</v>
      </c>
      <c r="H32" s="51">
        <f>+'Q1 Mgmt Summary'!H32+'QTD Mgmt Summary'!H32</f>
        <v>20771</v>
      </c>
      <c r="I32" s="65">
        <f>'QTD Mgmt Summary'!I32+'Q1 Mgmt Summary'!I32</f>
        <v>-324</v>
      </c>
      <c r="J32" s="213">
        <f>'QTD Mgmt Summary'!J32+'Q1 Mgmt Summary'!J32</f>
        <v>565</v>
      </c>
      <c r="K32" s="206"/>
      <c r="L32" s="212">
        <f t="shared" si="8"/>
        <v>-35089</v>
      </c>
      <c r="M32" s="41">
        <f t="shared" si="8"/>
        <v>8338</v>
      </c>
      <c r="N32" s="213">
        <f>+L32-M32</f>
        <v>-43427</v>
      </c>
    </row>
    <row r="33" spans="1:14" s="202" customFormat="1" ht="12" customHeight="1" x14ac:dyDescent="0.25">
      <c r="A33" s="229" t="s">
        <v>87</v>
      </c>
      <c r="B33" s="238"/>
      <c r="C33" s="259">
        <f>SUM(C30:C32)</f>
        <v>53495</v>
      </c>
      <c r="D33" s="259">
        <f>SUM(D30:D32)</f>
        <v>61873</v>
      </c>
      <c r="E33" s="232">
        <f>SUM(E30:E32)</f>
        <v>-8378</v>
      </c>
      <c r="F33" s="242"/>
      <c r="G33" s="259">
        <f>SUM(G30:G32)</f>
        <v>36972</v>
      </c>
      <c r="H33" s="259">
        <f>SUM(H30:H32)</f>
        <v>41962</v>
      </c>
      <c r="I33" s="259">
        <f>SUM(I30:I32)</f>
        <v>4969</v>
      </c>
      <c r="J33" s="232">
        <f>SUM(J30:J32)</f>
        <v>21</v>
      </c>
      <c r="K33" s="215"/>
      <c r="L33" s="230">
        <f>SUM(L30:L32)</f>
        <v>16523</v>
      </c>
      <c r="M33" s="231">
        <f>SUM(M30:M32)</f>
        <v>19911</v>
      </c>
      <c r="N33" s="232">
        <f>SUM(N30:N32)</f>
        <v>-3388</v>
      </c>
    </row>
    <row r="34" spans="1:14" ht="12" customHeight="1" x14ac:dyDescent="0.2">
      <c r="A34" s="217"/>
      <c r="B34" s="237"/>
      <c r="C34" s="218"/>
      <c r="D34" s="262"/>
      <c r="E34" s="219"/>
      <c r="F34" s="241"/>
      <c r="G34" s="218"/>
      <c r="H34" s="262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37"/>
      <c r="C35" s="268">
        <f>+'Q1 Mgmt Summary'!C35+'QTD Mgmt Summary'!C35</f>
        <v>1400.5</v>
      </c>
      <c r="D35" s="43">
        <f>+'Q1 Mgmt Summary'!D35+'QTD Mgmt Summary'!D35</f>
        <v>5000</v>
      </c>
      <c r="E35" s="213">
        <f>+C35-D35</f>
        <v>-3599.5</v>
      </c>
      <c r="F35" s="241"/>
      <c r="G35" s="268">
        <f>+'Q1 Mgmt Summary'!G35+'QTD Mgmt Summary'!G35</f>
        <v>17571</v>
      </c>
      <c r="H35" s="43">
        <f>+'Q1 Mgmt Summary'!H35+'QTD Mgmt Summary'!H35</f>
        <v>16200</v>
      </c>
      <c r="I35" s="65">
        <f>'QTD Mgmt Summary'!I35+'Q1 Mgmt Summary'!I35</f>
        <v>0</v>
      </c>
      <c r="J35" s="213">
        <f>'QTD Mgmt Summary'!J35+'Q1 Mgmt Summary'!J35</f>
        <v>-1371</v>
      </c>
      <c r="K35" s="214"/>
      <c r="L35" s="212">
        <f t="shared" ref="L35:M37" si="9">+C35-G35</f>
        <v>-16170.5</v>
      </c>
      <c r="M35" s="41">
        <f t="shared" si="9"/>
        <v>-11200</v>
      </c>
      <c r="N35" s="213">
        <f>+L35-M35</f>
        <v>-4970.5</v>
      </c>
    </row>
    <row r="36" spans="1:14" ht="12" customHeight="1" x14ac:dyDescent="0.2">
      <c r="A36" s="217" t="s">
        <v>7</v>
      </c>
      <c r="B36" s="237"/>
      <c r="C36" s="268">
        <f>+'Q1 Mgmt Summary'!C36+'QTD Mgmt Summary'!C36</f>
        <v>0</v>
      </c>
      <c r="D36" s="43">
        <f>+'Q1 Mgmt Summary'!D36+'QTD Mgmt Summary'!D36</f>
        <v>0</v>
      </c>
      <c r="E36" s="213">
        <f>+C36-D36</f>
        <v>0</v>
      </c>
      <c r="F36" s="241"/>
      <c r="G36" s="268">
        <f>+'Q1 Mgmt Summary'!G36+'QTD Mgmt Summary'!G36</f>
        <v>15801</v>
      </c>
      <c r="H36" s="43">
        <f>+'Q1 Mgmt Summary'!H36+'QTD Mgmt Summary'!H36</f>
        <v>14751</v>
      </c>
      <c r="I36" s="65">
        <f>'QTD Mgmt Summary'!I36+'Q1 Mgmt Summary'!I36</f>
        <v>0</v>
      </c>
      <c r="J36" s="213">
        <f>'QTD Mgmt Summary'!J36+'Q1 Mgmt Summary'!J36</f>
        <v>-1050</v>
      </c>
      <c r="K36" s="214"/>
      <c r="L36" s="212">
        <f t="shared" si="9"/>
        <v>-15801</v>
      </c>
      <c r="M36" s="41">
        <f t="shared" si="9"/>
        <v>-14751</v>
      </c>
      <c r="N36" s="213">
        <f>+L36-M36</f>
        <v>-1050</v>
      </c>
    </row>
    <row r="37" spans="1:14" ht="12" customHeight="1" x14ac:dyDescent="0.2">
      <c r="A37" s="217" t="s">
        <v>19</v>
      </c>
      <c r="B37" s="237"/>
      <c r="C37" s="269">
        <f>+'Q1 Mgmt Summary'!C37+'QTD Mgmt Summary'!C37</f>
        <v>0</v>
      </c>
      <c r="D37" s="51">
        <f>+'Q1 Mgmt Summary'!D37+'QTD Mgmt Summary'!D37</f>
        <v>100909</v>
      </c>
      <c r="E37" s="213">
        <f>+C37-D37</f>
        <v>-100909</v>
      </c>
      <c r="F37" s="241"/>
      <c r="G37" s="269">
        <f>+'Q1 Mgmt Summary'!G37+'QTD Mgmt Summary'!G37</f>
        <v>0</v>
      </c>
      <c r="H37" s="51">
        <f>+'Q1 Mgmt Summary'!H37+'QTD Mgmt Summary'!H37</f>
        <v>0</v>
      </c>
      <c r="I37" s="65">
        <f>'QTD Mgmt Summary'!I37+'Q1 Mgmt Summary'!I37</f>
        <v>0</v>
      </c>
      <c r="J37" s="213">
        <f>'QTD Mgmt Summary'!J37+'Q1 Mgmt Summary'!J37</f>
        <v>0</v>
      </c>
      <c r="K37" s="214"/>
      <c r="L37" s="212">
        <f t="shared" si="9"/>
        <v>0</v>
      </c>
      <c r="M37" s="41">
        <f t="shared" si="9"/>
        <v>100909</v>
      </c>
      <c r="N37" s="213">
        <f>+L37-M37</f>
        <v>-100909</v>
      </c>
    </row>
    <row r="38" spans="1:14" s="202" customFormat="1" ht="12" customHeight="1" x14ac:dyDescent="0.25">
      <c r="A38" s="229" t="s">
        <v>10</v>
      </c>
      <c r="B38" s="238"/>
      <c r="C38" s="259">
        <f>C37+C36+C35+C33+C28+C17</f>
        <v>845762.5</v>
      </c>
      <c r="D38" s="259">
        <f>D37+D36+D35+D33+D28+D17</f>
        <v>734675</v>
      </c>
      <c r="E38" s="232">
        <f>E37+E36+E35+E33+E28+E17</f>
        <v>111087.5</v>
      </c>
      <c r="F38" s="242"/>
      <c r="G38" s="259">
        <f>G37+G36+G35+G33+G28+G17</f>
        <v>377958</v>
      </c>
      <c r="H38" s="259">
        <f>H37+H36+H35+H33+H28+H17</f>
        <v>391339</v>
      </c>
      <c r="I38" s="259">
        <f>I37+I36+I35+I33+I28+I17</f>
        <v>18442</v>
      </c>
      <c r="J38" s="232">
        <f>J37+J36+J35+J33+J28+J17</f>
        <v>-5061</v>
      </c>
      <c r="K38" s="215"/>
      <c r="L38" s="259">
        <f>L37+L36+L35+L33+L28+L17</f>
        <v>467804.5</v>
      </c>
      <c r="M38" s="259">
        <f>M37+M36+M35+M33+M28+M17</f>
        <v>343336</v>
      </c>
      <c r="N38" s="232">
        <f>N37+N36+N35+N33+N28+N17</f>
        <v>124468.5</v>
      </c>
    </row>
    <row r="39" spans="1:14" ht="12" customHeight="1" x14ac:dyDescent="0.2">
      <c r="A39" s="217"/>
      <c r="B39" s="237"/>
      <c r="C39" s="218"/>
      <c r="D39" s="262"/>
      <c r="E39" s="219"/>
      <c r="F39" s="241"/>
      <c r="G39" s="218"/>
      <c r="H39" s="262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37"/>
      <c r="C40" s="268">
        <f>+'Q1 Mgmt Summary'!C40+'QTD Mgmt Summary'!C40</f>
        <v>0</v>
      </c>
      <c r="D40" s="43">
        <f>+'Q1 Mgmt Summary'!D40+'QTD Mgmt Summary'!D40</f>
        <v>0</v>
      </c>
      <c r="E40" s="213">
        <f>+C40-D40</f>
        <v>0</v>
      </c>
      <c r="F40" s="241"/>
      <c r="G40" s="268">
        <f>+'Q1 Mgmt Summary'!G40+'QTD Mgmt Summary'!G40</f>
        <v>169398</v>
      </c>
      <c r="H40" s="43">
        <f>+'Q1 Mgmt Summary'!H40+'QTD Mgmt Summary'!H40</f>
        <v>122673</v>
      </c>
      <c r="I40" s="65">
        <f>'QTD Mgmt Summary'!I40+'Q1 Mgmt Summary'!I40</f>
        <v>0</v>
      </c>
      <c r="J40" s="213">
        <f>'QTD Mgmt Summary'!J40+'Q1 Mgmt Summary'!J40</f>
        <v>-46725</v>
      </c>
      <c r="K40" s="214"/>
      <c r="L40" s="212">
        <f>+C40-G40</f>
        <v>-169398</v>
      </c>
      <c r="M40" s="41">
        <f>+D40-H40</f>
        <v>-122673</v>
      </c>
      <c r="N40" s="213">
        <f>+L40-M40</f>
        <v>-46725</v>
      </c>
    </row>
    <row r="41" spans="1:14" ht="12" customHeight="1" x14ac:dyDescent="0.2">
      <c r="A41" s="217" t="s">
        <v>237</v>
      </c>
      <c r="B41" s="237"/>
      <c r="C41" s="268">
        <f>+'Q1 Mgmt Summary'!C41+'QTD Mgmt Summary'!C41</f>
        <v>0</v>
      </c>
      <c r="D41" s="43">
        <f>+'Q1 Mgmt Summary'!D41+'QTD Mgmt Summary'!D41</f>
        <v>0</v>
      </c>
      <c r="E41" s="213">
        <f>+C41-D41</f>
        <v>0</v>
      </c>
      <c r="F41" s="241"/>
      <c r="G41" s="268">
        <f>+'Q1 Mgmt Summary'!G41+'QTD Mgmt Summary'!G41</f>
        <v>-92110</v>
      </c>
      <c r="H41" s="43">
        <f>+'Q1 Mgmt Summary'!H41+'QTD Mgmt Summary'!H41</f>
        <v>-98755</v>
      </c>
      <c r="I41" s="65">
        <f>'QTD Mgmt Summary'!I41+'Q1 Mgmt Summary'!I41</f>
        <v>0</v>
      </c>
      <c r="J41" s="213">
        <f>'QTD Mgmt Summary'!J41+'Q1 Mgmt Summary'!J41</f>
        <v>-6645</v>
      </c>
      <c r="K41" s="214"/>
      <c r="L41" s="212">
        <f t="shared" ref="L41:M43" si="10">+C41-G41</f>
        <v>92110</v>
      </c>
      <c r="M41" s="41">
        <f t="shared" si="10"/>
        <v>98755</v>
      </c>
      <c r="N41" s="213">
        <f>+L41-M41</f>
        <v>-6645</v>
      </c>
    </row>
    <row r="42" spans="1:14" ht="12" customHeight="1" x14ac:dyDescent="0.2">
      <c r="A42" s="217" t="s">
        <v>18</v>
      </c>
      <c r="B42" s="237"/>
      <c r="C42" s="268">
        <f>+'Q1 Mgmt Summary'!C42+'QTD Mgmt Summary'!C44</f>
        <v>-41335</v>
      </c>
      <c r="D42" s="43">
        <f>+'Q1 Mgmt Summary'!D42+'QTD Mgmt Summary'!D44</f>
        <v>-21590</v>
      </c>
      <c r="E42" s="213">
        <f>+C42-D42</f>
        <v>-19745</v>
      </c>
      <c r="F42" s="243"/>
      <c r="G42" s="268">
        <f>+'Q1 Mgmt Summary'!G42+'QTD Mgmt Summary'!G44</f>
        <v>37352</v>
      </c>
      <c r="H42" s="43">
        <f>+'Q1 Mgmt Summary'!H42+'QTD Mgmt Summary'!H44</f>
        <v>49287</v>
      </c>
      <c r="I42" s="65">
        <f>'QTD Mgmt Summary'!I44+'Q1 Mgmt Summary'!I42</f>
        <v>0</v>
      </c>
      <c r="J42" s="213">
        <f>'QTD Mgmt Summary'!J44+'Q1 Mgmt Summary'!J42</f>
        <v>11935</v>
      </c>
      <c r="K42" s="214"/>
      <c r="L42" s="212">
        <f t="shared" si="10"/>
        <v>-78687</v>
      </c>
      <c r="M42" s="41">
        <f t="shared" si="10"/>
        <v>-70877</v>
      </c>
      <c r="N42" s="213">
        <f>+L42-M42</f>
        <v>-7810</v>
      </c>
    </row>
    <row r="43" spans="1:14" ht="12" customHeight="1" x14ac:dyDescent="0.2">
      <c r="A43" s="217" t="s">
        <v>60</v>
      </c>
      <c r="B43" s="237"/>
      <c r="C43" s="268">
        <f>+'Q1 Mgmt Summary'!C43+'QTD Mgmt Summary'!C45</f>
        <v>0</v>
      </c>
      <c r="D43" s="43">
        <f>+'Q1 Mgmt Summary'!D43+'QTD Mgmt Summary'!D45</f>
        <v>0</v>
      </c>
      <c r="E43" s="213">
        <f>+C43-D43</f>
        <v>0</v>
      </c>
      <c r="F43" s="241"/>
      <c r="G43" s="268">
        <f>+'Q1 Mgmt Summary'!G43+'QTD Mgmt Summary'!G45</f>
        <v>-64372</v>
      </c>
      <c r="H43" s="43">
        <f>+'Q1 Mgmt Summary'!H43+'QTD Mgmt Summary'!H45</f>
        <v>-82814</v>
      </c>
      <c r="I43" s="65">
        <f>'QTD Mgmt Summary'!I45+'Q1 Mgmt Summary'!I43</f>
        <v>-18442</v>
      </c>
      <c r="J43" s="213">
        <f>'QTD Mgmt Summary'!J45+'Q1 Mgmt Summary'!J43</f>
        <v>0</v>
      </c>
      <c r="K43" s="214"/>
      <c r="L43" s="212">
        <f t="shared" si="10"/>
        <v>64372</v>
      </c>
      <c r="M43" s="41">
        <f t="shared" si="10"/>
        <v>82814</v>
      </c>
      <c r="N43" s="213">
        <f>+L43-M43</f>
        <v>-18442</v>
      </c>
    </row>
    <row r="44" spans="1:14" s="202" customFormat="1" ht="12" customHeight="1" x14ac:dyDescent="0.25">
      <c r="A44" s="229" t="s">
        <v>65</v>
      </c>
      <c r="B44" s="238"/>
      <c r="C44" s="259">
        <f>SUM(C38:C43)</f>
        <v>804427.5</v>
      </c>
      <c r="D44" s="259">
        <f>SUM(D38:D43)</f>
        <v>713085</v>
      </c>
      <c r="E44" s="233">
        <f>SUM(E38:E43)</f>
        <v>91342.5</v>
      </c>
      <c r="F44" s="242"/>
      <c r="G44" s="259">
        <f>SUM(G38:G43)</f>
        <v>428226</v>
      </c>
      <c r="H44" s="259">
        <f>SUM(H38:H43)</f>
        <v>381730</v>
      </c>
      <c r="I44" s="259">
        <f>SUM(I38:I43)</f>
        <v>0</v>
      </c>
      <c r="J44" s="233">
        <f>SUM(J38:J43)</f>
        <v>-46496</v>
      </c>
      <c r="K44" s="215"/>
      <c r="L44" s="259">
        <f>SUM(L38:L43)</f>
        <v>376201.5</v>
      </c>
      <c r="M44" s="259">
        <f>SUM(M38:M43)</f>
        <v>331355</v>
      </c>
      <c r="N44" s="233">
        <f>SUM(N38:N43)</f>
        <v>44846.5</v>
      </c>
    </row>
    <row r="45" spans="1:14" ht="12" customHeight="1" thickBot="1" x14ac:dyDescent="0.25">
      <c r="A45" s="217" t="s">
        <v>150</v>
      </c>
      <c r="B45" s="237"/>
      <c r="C45" s="212">
        <f>+'[1]1Q'!C46+'[1]2QTD'!C46</f>
        <v>0</v>
      </c>
      <c r="D45" s="257">
        <f>+'[1]1Q'!D46+'[1]2QTD'!D46</f>
        <v>0</v>
      </c>
      <c r="E45" s="213">
        <f>+C45-D45</f>
        <v>0</v>
      </c>
      <c r="F45" s="241"/>
      <c r="G45" s="212">
        <f>+'[1]1Q'!G46+'[1]2QTD'!G46</f>
        <v>9823</v>
      </c>
      <c r="H45" s="257">
        <f>+'[1]1Q'!H46+'[1]2QTD'!H46</f>
        <v>20600</v>
      </c>
      <c r="I45" s="65">
        <f>'QTD Mgmt Summary'!I47+'Q1 Mgmt Summary'!I45</f>
        <v>0</v>
      </c>
      <c r="J45" s="213">
        <f>'QTD Mgmt Summary'!J47+'Q1 Mgmt Summary'!J45</f>
        <v>4677</v>
      </c>
      <c r="K45" s="214"/>
      <c r="L45" s="212">
        <f>+C45-G45</f>
        <v>-9823</v>
      </c>
      <c r="M45" s="41">
        <f>+D45-H45</f>
        <v>-20600</v>
      </c>
      <c r="N45" s="213">
        <f>+L45-M45</f>
        <v>10777</v>
      </c>
    </row>
    <row r="46" spans="1:14" s="202" customFormat="1" ht="12" customHeight="1" thickBot="1" x14ac:dyDescent="0.3">
      <c r="A46" s="249" t="s">
        <v>66</v>
      </c>
      <c r="B46" s="250"/>
      <c r="C46" s="264">
        <f>SUM(C44:C45)</f>
        <v>804427.5</v>
      </c>
      <c r="D46" s="264">
        <f>SUM(D44:D45)</f>
        <v>713085</v>
      </c>
      <c r="E46" s="253">
        <f>SUM(E44:E45)</f>
        <v>91342.5</v>
      </c>
      <c r="F46" s="254"/>
      <c r="G46" s="264">
        <f>SUM(G44:G45)</f>
        <v>438049</v>
      </c>
      <c r="H46" s="264">
        <f>SUM(H44:H45)</f>
        <v>402330</v>
      </c>
      <c r="I46" s="264">
        <f>SUM(I44:I45)</f>
        <v>0</v>
      </c>
      <c r="J46" s="253">
        <f>SUM(J44:J45)</f>
        <v>-41819</v>
      </c>
      <c r="K46" s="254"/>
      <c r="L46" s="264">
        <f>SUM(L44:L45)</f>
        <v>366378.5</v>
      </c>
      <c r="M46" s="264">
        <f>SUM(M44:M45)</f>
        <v>310755</v>
      </c>
      <c r="N46" s="253">
        <f>SUM(N44:N45)</f>
        <v>55623.5</v>
      </c>
    </row>
    <row r="47" spans="1:14" ht="3" customHeight="1" x14ac:dyDescent="0.3">
      <c r="A47" s="184"/>
      <c r="C47" s="185"/>
      <c r="D47" s="42"/>
      <c r="E47" s="184"/>
      <c r="F47" s="44"/>
      <c r="J47" s="176"/>
    </row>
    <row r="48" spans="1:14" x14ac:dyDescent="0.2">
      <c r="A48" s="176" t="s">
        <v>149</v>
      </c>
      <c r="C48" s="44"/>
      <c r="D48" s="42"/>
      <c r="E48" s="44"/>
      <c r="F48" s="44"/>
    </row>
    <row r="49" spans="4:9" ht="13.5" customHeight="1" x14ac:dyDescent="0.2">
      <c r="D49" s="38"/>
      <c r="E49" s="38"/>
      <c r="F49" s="38"/>
      <c r="G49" s="38"/>
      <c r="H49" s="38"/>
      <c r="I49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3"/>
  <sheetViews>
    <sheetView topLeftCell="B16" workbookViewId="0">
      <selection activeCell="A51" sqref="A51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3.8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107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E20+3000+541+541</f>
        <v>9051</v>
      </c>
      <c r="E20" s="12">
        <f>ROUND(_xll.HPVAL($A20,$A$1,$A$2,$A$3,$A$4,$A$6)/1000,0)</f>
        <v>4969</v>
      </c>
      <c r="F20" s="123">
        <f t="shared" ref="F20:F28" si="1">E20-D20</f>
        <v>-4082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5">
      <c r="A23" s="23" t="s">
        <v>37</v>
      </c>
      <c r="B23" s="7" t="s">
        <v>67</v>
      </c>
      <c r="D23" s="20">
        <v>1721</v>
      </c>
      <c r="E23" s="12">
        <f>ROUND(_xll.HPVAL($A23,$A$1,$A$2,$A$3,$A$4,$A$6)/1000,0)</f>
        <v>1294</v>
      </c>
      <c r="F23" s="123">
        <f>E23-D23</f>
        <v>-427</v>
      </c>
      <c r="G23" s="5"/>
      <c r="H23" s="4" t="s">
        <v>296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29" t="s">
        <v>248</v>
      </c>
      <c r="C26" s="72"/>
      <c r="D26" s="20">
        <v>6135</v>
      </c>
      <c r="E26" s="12">
        <f>ROUND(_xll.HPVAL($A26,$A$1,$A$2,$A$3,$A$4,$A$6)/1000,0)</f>
        <v>5557</v>
      </c>
      <c r="F26" s="123">
        <f>E26-D26</f>
        <v>-578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73</v>
      </c>
      <c r="B27" s="7" t="s">
        <v>156</v>
      </c>
      <c r="D27" s="20">
        <v>1364</v>
      </c>
      <c r="E27" s="12">
        <f>ROUND(_xll.HPVAL($A27,$A$1,$A$2,$A$3,$A$4,$A$6)/1000,0)</f>
        <v>1298</v>
      </c>
      <c r="F27" s="123">
        <f t="shared" si="1"/>
        <v>-66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36</v>
      </c>
      <c r="B28" s="7" t="s">
        <v>0</v>
      </c>
      <c r="D28" s="20">
        <v>1616</v>
      </c>
      <c r="E28" s="12">
        <f>ROUND(_xll.HPVAL($A28,$A$1,$A$2,$A$3,$A$4,$A$6)/1000,0)</f>
        <v>2005</v>
      </c>
      <c r="F28" s="123">
        <f t="shared" si="1"/>
        <v>389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B29" s="115" t="s">
        <v>1</v>
      </c>
      <c r="C29" s="114"/>
      <c r="D29" s="120">
        <f>D20+D21+D22+D23+D24+D25+D28+D27+D26</f>
        <v>32184</v>
      </c>
      <c r="E29" s="121">
        <f>E20+E21+E22+E23+E24+E25+E28+E27+E26</f>
        <v>26710</v>
      </c>
      <c r="F29" s="113">
        <f>F20+F21+F22+F23+F24+F25+F26+F27+F28</f>
        <v>-5474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5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40</v>
      </c>
      <c r="B32" s="7" t="s">
        <v>9</v>
      </c>
      <c r="D32" s="20">
        <v>635</v>
      </c>
      <c r="E32" s="12">
        <f>ROUND(_xll.HPVAL($A32,$A$1,$A$2,$A$3,$A$4,$A$6)/1000,0)</f>
        <v>735</v>
      </c>
      <c r="F32" s="123">
        <f>E32-D32</f>
        <v>100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39</v>
      </c>
      <c r="B33" s="7" t="s">
        <v>267</v>
      </c>
      <c r="D33" s="20">
        <v>1433</v>
      </c>
      <c r="E33" s="12">
        <f>ROUND(_xll.HPVAL($A33,$A$1,$A$2,$A$3,$A$4,$A$6)/1000,0)</f>
        <v>1307</v>
      </c>
      <c r="F33" s="123">
        <f>E33-D33</f>
        <v>-126</v>
      </c>
      <c r="G33" s="5"/>
      <c r="H33" s="4" t="s">
        <v>295</v>
      </c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5">
      <c r="A34" s="23" t="s">
        <v>153</v>
      </c>
      <c r="B34" s="291" t="s">
        <v>180</v>
      </c>
      <c r="D34" s="20">
        <v>402</v>
      </c>
      <c r="E34" s="12">
        <f>ROUND(_xll.HPVAL($A34,$A$1,$A$2,$A$3,$A$4,$A$6)/1000,0)</f>
        <v>839</v>
      </c>
      <c r="F34" s="123">
        <f>E34-D34</f>
        <v>437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157</v>
      </c>
      <c r="B35" s="291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B36" s="7" t="s">
        <v>154</v>
      </c>
      <c r="D36" s="226">
        <f>SUM(D34:D35)</f>
        <v>402</v>
      </c>
      <c r="E36" s="227">
        <f>SUM(E34:E35)</f>
        <v>839</v>
      </c>
      <c r="F36" s="297">
        <f>SUM(F34:F35)</f>
        <v>437</v>
      </c>
      <c r="G36" s="225"/>
      <c r="K36" s="283"/>
    </row>
    <row r="37" spans="1:37" ht="11.25" customHeight="1" x14ac:dyDescent="0.25">
      <c r="B37" s="115" t="s">
        <v>87</v>
      </c>
      <c r="C37" s="114"/>
      <c r="D37" s="120">
        <f>SUM(D32:D35)</f>
        <v>2470</v>
      </c>
      <c r="E37" s="121">
        <f>SUM(E32:E35)</f>
        <v>2881</v>
      </c>
      <c r="F37" s="113">
        <f>SUM(F32:F35)</f>
        <v>411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5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82</v>
      </c>
      <c r="B39" s="7" t="s">
        <v>8</v>
      </c>
      <c r="C39" s="72"/>
      <c r="D39" s="20">
        <v>6035</v>
      </c>
      <c r="E39" s="12">
        <f>ROUND(_xll.HPVAL($A39,$A$1,$A$2,$A$3,$A$4,$A$6)/1000,0)</f>
        <v>4617</v>
      </c>
      <c r="F39" s="123">
        <f>E39-D39</f>
        <v>-1418</v>
      </c>
      <c r="G39" s="5"/>
      <c r="H39" s="4" t="s">
        <v>279</v>
      </c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44</v>
      </c>
      <c r="B41" s="7" t="s">
        <v>7</v>
      </c>
      <c r="C41" s="72"/>
      <c r="D41" s="20">
        <f>23130-17600-2300</f>
        <v>3230</v>
      </c>
      <c r="E41" s="12">
        <f>ROUND(_xll.HPVAL($A41,$A$1,$A$2,$A$3,$A$4,$A$6)/1000,0)</f>
        <v>2430</v>
      </c>
      <c r="F41" s="123">
        <f>E41-D41</f>
        <v>-800</v>
      </c>
      <c r="G41" s="5"/>
      <c r="H41" s="4" t="s">
        <v>282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5">
      <c r="A43" s="23"/>
      <c r="B43" s="115" t="s">
        <v>10</v>
      </c>
      <c r="D43" s="120">
        <f>SUM(D37:D41)+D18+D29</f>
        <v>63149</v>
      </c>
      <c r="E43" s="121">
        <f>SUM(E37:E41)+E18+E29</f>
        <v>51448</v>
      </c>
      <c r="F43" s="113">
        <f>SUM(F37:F41)+F18+F29</f>
        <v>-11701</v>
      </c>
      <c r="G43" s="116"/>
      <c r="H43" s="117"/>
      <c r="I43" s="118"/>
      <c r="J43" s="118"/>
      <c r="K43" s="119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45</v>
      </c>
      <c r="B45" s="7" t="s">
        <v>48</v>
      </c>
      <c r="C45" s="72"/>
      <c r="D45" s="20">
        <f>75928-15698+30000</f>
        <v>90230</v>
      </c>
      <c r="E45" s="12">
        <f>ROUND(_xll.HPVAL($A45,$A$1,$A$2,$A$3,$A$4,$A$6)/1000,0)-13698</f>
        <v>59297</v>
      </c>
      <c r="F45" s="123">
        <f>E45-D45</f>
        <v>-30933</v>
      </c>
      <c r="G45" s="5"/>
      <c r="H45" s="4" t="s">
        <v>297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5">
      <c r="B47" s="7" t="s">
        <v>274</v>
      </c>
      <c r="D47" s="20">
        <v>13698</v>
      </c>
      <c r="E47" s="12">
        <v>13698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46</v>
      </c>
      <c r="B49" s="7" t="s">
        <v>18</v>
      </c>
      <c r="C49" s="72"/>
      <c r="D49" s="20">
        <v>22625</v>
      </c>
      <c r="E49" s="12">
        <f>ROUND(_xll.HPVAL($A49,$A$1,$A$2,$A$3,$A$4,$A$6)/1000,0)</f>
        <v>26684</v>
      </c>
      <c r="F49" s="123">
        <f>E49-D49</f>
        <v>4059</v>
      </c>
      <c r="G49" s="5"/>
      <c r="H49" s="4" t="s">
        <v>281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5">
      <c r="B51" s="115" t="s">
        <v>14</v>
      </c>
      <c r="D51" s="108">
        <f>D43+D45+D49+D47</f>
        <v>189702</v>
      </c>
      <c r="E51" s="109">
        <f>E43+E45+E49+E47</f>
        <v>151127</v>
      </c>
      <c r="F51" s="110">
        <f>F43+F45+F49+F47</f>
        <v>-38575</v>
      </c>
      <c r="G51" s="116"/>
      <c r="H51" s="117"/>
      <c r="I51" s="118"/>
      <c r="J51" s="118"/>
      <c r="K51" s="119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5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33</v>
      </c>
      <c r="D56" s="181">
        <f>9833-9833</f>
        <v>0</v>
      </c>
      <c r="E56" s="182">
        <v>8789</v>
      </c>
      <c r="F56" s="179">
        <f>E56-D56</f>
        <v>8789</v>
      </c>
      <c r="G56" s="1"/>
      <c r="H56" s="9" t="s">
        <v>292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92</v>
      </c>
      <c r="D57" s="21">
        <v>40367</v>
      </c>
      <c r="E57" s="15">
        <v>36998</v>
      </c>
      <c r="F57" s="180">
        <f>E57-D57</f>
        <v>-3369</v>
      </c>
      <c r="G57" s="1"/>
      <c r="H57" s="13" t="s">
        <v>271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279">
        <f>SUM(D56:D57)</f>
        <v>40367</v>
      </c>
      <c r="E58" s="279">
        <f>SUM(E56:E57)</f>
        <v>45787</v>
      </c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7" workbookViewId="0">
      <selection activeCell="A51" sqref="A51"/>
    </sheetView>
  </sheetViews>
  <sheetFormatPr defaultRowHeight="13.2" x14ac:dyDescent="0.25"/>
  <cols>
    <col min="1" max="1" width="16.886718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3.8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Expenses!B4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Expenses!D9-[2]Expenses!D9</f>
        <v>1975</v>
      </c>
      <c r="E9" s="63">
        <f>Expenses!E9-[2]Expenses!E9</f>
        <v>0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468</v>
      </c>
      <c r="F14" s="295">
        <f t="shared" si="0"/>
        <v>468</v>
      </c>
      <c r="G14" s="5"/>
      <c r="H14" s="4" t="s">
        <v>288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107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1975</v>
      </c>
      <c r="E18" s="121">
        <f>SUM(E9:E17)</f>
        <v>468</v>
      </c>
      <c r="F18" s="113">
        <f>SUM(F9:F17)</f>
        <v>-1507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8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37</v>
      </c>
      <c r="B23" s="7" t="s">
        <v>67</v>
      </c>
      <c r="D23" s="293">
        <f>Expenses!D23-[2]Expenses!D23</f>
        <v>272</v>
      </c>
      <c r="E23" s="294">
        <f>Expenses!E23-[2]Expenses!E23</f>
        <v>0</v>
      </c>
      <c r="F23" s="295">
        <f>E23-D23</f>
        <v>-272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B25" s="7" t="s">
        <v>252</v>
      </c>
      <c r="D25" s="293">
        <f>Expenses!D25-[2]Expenses!D25</f>
        <v>0</v>
      </c>
      <c r="E25" s="294">
        <f>Expenses!E25-[2]Expenses!E25</f>
        <v>-468</v>
      </c>
      <c r="F25" s="295">
        <f t="shared" si="1"/>
        <v>-468</v>
      </c>
      <c r="G25" s="5"/>
      <c r="H25" s="4" t="s">
        <v>288</v>
      </c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29" t="s">
        <v>248</v>
      </c>
      <c r="C26" s="72"/>
      <c r="D26" s="293">
        <f>Expenses!D26-[2]Expenses!D26</f>
        <v>279</v>
      </c>
      <c r="E26" s="294">
        <f>Expenses!E26-[2]Expenses!E26</f>
        <v>0</v>
      </c>
      <c r="F26" s="295">
        <f t="shared" si="1"/>
        <v>-279</v>
      </c>
      <c r="G26" s="5"/>
      <c r="H26" s="4" t="s">
        <v>290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73</v>
      </c>
      <c r="B27" s="7" t="s">
        <v>156</v>
      </c>
      <c r="D27" s="293">
        <f>Expenses!D27-[2]Expenses!D27</f>
        <v>0</v>
      </c>
      <c r="E27" s="294">
        <f>Expenses!E27-[2]Expenses!E27</f>
        <v>0</v>
      </c>
      <c r="F27" s="295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36</v>
      </c>
      <c r="B28" s="7" t="s">
        <v>0</v>
      </c>
      <c r="D28" s="293">
        <f>Expenses!D28-[2]Expenses!D28</f>
        <v>-124</v>
      </c>
      <c r="E28" s="294">
        <f>Expenses!E28-[2]Expenses!E28</f>
        <v>0</v>
      </c>
      <c r="F28" s="295">
        <f t="shared" si="1"/>
        <v>124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B29" s="115" t="s">
        <v>1</v>
      </c>
      <c r="C29" s="114"/>
      <c r="D29" s="120">
        <f>SUM(D20:D28)</f>
        <v>427</v>
      </c>
      <c r="E29" s="121">
        <f>SUM(E20:E28)</f>
        <v>-468</v>
      </c>
      <c r="F29" s="113">
        <f>SUM(F20:F28)</f>
        <v>-895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5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40</v>
      </c>
      <c r="B32" s="7" t="s">
        <v>9</v>
      </c>
      <c r="D32" s="293">
        <f>Expenses!D32-[2]Expenses!D32</f>
        <v>-138</v>
      </c>
      <c r="E32" s="294">
        <f>Expenses!E32-[2]Expenses!E32</f>
        <v>0</v>
      </c>
      <c r="F32" s="295">
        <f>E32-D32</f>
        <v>138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39</v>
      </c>
      <c r="B33" s="7" t="s">
        <v>267</v>
      </c>
      <c r="D33" s="293">
        <f>Expenses!D33-[2]Expenses!D33</f>
        <v>126</v>
      </c>
      <c r="E33" s="294">
        <f>Expenses!E33-[2]Expenses!E33</f>
        <v>0</v>
      </c>
      <c r="F33" s="295">
        <f>E33-D33</f>
        <v>-126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5">
      <c r="A34" s="23" t="s">
        <v>153</v>
      </c>
      <c r="B34" s="291" t="s">
        <v>180</v>
      </c>
      <c r="D34" s="293">
        <f>Expenses!D34-[2]Expenses!D34</f>
        <v>67</v>
      </c>
      <c r="E34" s="294">
        <f>Expenses!E34-[2]Expenses!E34</f>
        <v>0</v>
      </c>
      <c r="F34" s="295">
        <f>E34-D34</f>
        <v>-67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157</v>
      </c>
      <c r="B35" s="291" t="s">
        <v>154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B36" s="7" t="s">
        <v>154</v>
      </c>
      <c r="D36" s="293">
        <f>Expenses!D36-[2]Expenses!D36</f>
        <v>67</v>
      </c>
      <c r="E36" s="294">
        <f>Expenses!E36-[2]Expenses!E36</f>
        <v>0</v>
      </c>
      <c r="F36" s="295">
        <f>E36-D36</f>
        <v>-67</v>
      </c>
      <c r="G36" s="225"/>
      <c r="K36" s="283"/>
    </row>
    <row r="37" spans="1:37" ht="11.25" customHeight="1" x14ac:dyDescent="0.25">
      <c r="B37" s="115" t="s">
        <v>87</v>
      </c>
      <c r="C37" s="114"/>
      <c r="D37" s="120">
        <f>SUM(D32:D35)</f>
        <v>55</v>
      </c>
      <c r="E37" s="121">
        <f>SUM(E32:E35)</f>
        <v>0</v>
      </c>
      <c r="F37" s="113">
        <f>SUM(F32:F35)</f>
        <v>-55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5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82</v>
      </c>
      <c r="B39" s="7" t="s">
        <v>8</v>
      </c>
      <c r="C39" s="72"/>
      <c r="D39" s="293">
        <f>Expenses!D39-[2]Expenses!D39</f>
        <v>0</v>
      </c>
      <c r="E39" s="294">
        <f>Expenses!E39-[2]Expenses!E39</f>
        <v>0</v>
      </c>
      <c r="F39" s="295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44</v>
      </c>
      <c r="B41" s="7" t="s">
        <v>7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5">
      <c r="A43" s="23"/>
      <c r="B43" s="115" t="s">
        <v>10</v>
      </c>
      <c r="D43" s="120">
        <f>SUM(D37:D41)+D18+D29</f>
        <v>2457</v>
      </c>
      <c r="E43" s="121">
        <f>SUM(E37:E41)+E18+E29</f>
        <v>0</v>
      </c>
      <c r="F43" s="113">
        <f>SUM(F37:F41)+F18+F29</f>
        <v>-2457</v>
      </c>
      <c r="G43" s="116"/>
      <c r="H43" s="117"/>
      <c r="I43" s="118"/>
      <c r="J43" s="118"/>
      <c r="K43" s="119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45</v>
      </c>
      <c r="B45" s="7" t="s">
        <v>48</v>
      </c>
      <c r="C45" s="72"/>
      <c r="D45" s="293">
        <f>Expenses!D45-[2]Expenses!D45</f>
        <v>30000</v>
      </c>
      <c r="E45" s="294">
        <f>Expenses!E45-[2]Expenses!E45</f>
        <v>0</v>
      </c>
      <c r="F45" s="295">
        <f>E45-D45</f>
        <v>-30000</v>
      </c>
      <c r="G45" s="5"/>
      <c r="H45" s="4" t="s">
        <v>298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5">
      <c r="B47" s="7" t="s">
        <v>274</v>
      </c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46</v>
      </c>
      <c r="B49" s="7" t="s">
        <v>18</v>
      </c>
      <c r="C49" s="72"/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5">
      <c r="B51" s="115" t="s">
        <v>14</v>
      </c>
      <c r="D51" s="108">
        <f>D43+D45+D49+D47</f>
        <v>32457</v>
      </c>
      <c r="E51" s="109">
        <f>E43+E45+E49+E47</f>
        <v>0</v>
      </c>
      <c r="F51" s="110">
        <f>F43+F45+F49+F47</f>
        <v>-32457</v>
      </c>
      <c r="G51" s="116"/>
      <c r="H51" s="117"/>
      <c r="I51" s="118"/>
      <c r="J51" s="118"/>
      <c r="K51" s="119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5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33</v>
      </c>
      <c r="D56" s="298">
        <f>Expenses!D56-[2]Expenses!D56</f>
        <v>-6379</v>
      </c>
      <c r="E56" s="299">
        <f>Expenses!E56-[2]Expenses!E56</f>
        <v>0</v>
      </c>
      <c r="F56" s="122">
        <f>E56-D56</f>
        <v>6379</v>
      </c>
      <c r="G56" s="1"/>
      <c r="H56" s="9" t="s">
        <v>293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92</v>
      </c>
      <c r="D57" s="300">
        <f>Expenses!D57-[2]Expenses!D57</f>
        <v>741</v>
      </c>
      <c r="E57" s="296">
        <f>Expenses!E57-[2]Expenses!E57</f>
        <v>0</v>
      </c>
      <c r="F57" s="296">
        <f>E57-D57</f>
        <v>-741</v>
      </c>
      <c r="G57" s="1"/>
      <c r="H57" s="13" t="s">
        <v>289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7:K7"/>
    <mergeCell ref="D54:F54"/>
    <mergeCell ref="H55:K55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zoomScaleNormal="100" workbookViewId="0">
      <pane xSplit="3" ySplit="9" topLeftCell="D10" activePane="bottomRight" state="frozen"/>
      <selection activeCell="A51" sqref="A51"/>
      <selection pane="topRight" activeCell="A51" sqref="A51"/>
      <selection pane="bottomLeft" activeCell="A51" sqref="A51"/>
      <selection pane="bottomRight" activeCell="A51" sqref="A51"/>
    </sheetView>
  </sheetViews>
  <sheetFormatPr defaultRowHeight="13.2" x14ac:dyDescent="0.25"/>
  <cols>
    <col min="1" max="1" width="16.88671875" style="23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3.8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5">
      <c r="A4" s="24">
        <v>36678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105</v>
      </c>
      <c r="B12" s="7" t="s">
        <v>106</v>
      </c>
      <c r="D12" s="20">
        <f>7803-7803</f>
        <v>0</v>
      </c>
      <c r="E12" s="12">
        <f>ROUND(_xll.HPVAL($A12,$A$1,$A$2,$A$4,$A$5,$A$6)/1000,0)</f>
        <v>8791</v>
      </c>
      <c r="F12" s="125">
        <f t="shared" ref="F12:F18" si="0">E12-D12</f>
        <v>8791</v>
      </c>
      <c r="G12" s="2" t="s">
        <v>294</v>
      </c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4</v>
      </c>
      <c r="B18" s="7" t="s">
        <v>107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0</v>
      </c>
      <c r="E19" s="121">
        <f>SUM(E10:E18)</f>
        <v>8791</v>
      </c>
      <c r="F19" s="121">
        <f>SUM(F10:F18)</f>
        <v>8791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9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29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5">
      <c r="A24" s="23" t="s">
        <v>37</v>
      </c>
      <c r="B24" s="7" t="s">
        <v>67</v>
      </c>
      <c r="D24" s="20">
        <v>6038</v>
      </c>
      <c r="E24" s="12">
        <f>ROUND(_xll.HPVAL($A24,$A$1,$A$2,$A$4,$A$5,$A$6)/1000,0)</f>
        <v>6294</v>
      </c>
      <c r="F24" s="125">
        <f>E24-D24</f>
        <v>256</v>
      </c>
      <c r="G24" s="2"/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B25" s="7" t="s">
        <v>264</v>
      </c>
      <c r="D25" s="20">
        <v>639</v>
      </c>
      <c r="E25" s="12">
        <v>717</v>
      </c>
      <c r="F25" s="125">
        <f t="shared" si="4"/>
        <v>78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B26" s="7" t="s">
        <v>252</v>
      </c>
      <c r="D26" s="20">
        <v>165</v>
      </c>
      <c r="E26" s="12">
        <v>376</v>
      </c>
      <c r="F26" s="125">
        <f t="shared" si="4"/>
        <v>211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29" t="s">
        <v>248</v>
      </c>
      <c r="C27" s="72"/>
      <c r="D27" s="20">
        <v>12003</v>
      </c>
      <c r="E27" s="12">
        <f>ROUND(_xll.HPVAL($A27,$A$1,$A$2,$A$4,$A$5,$A$6)/1000,0)</f>
        <v>11065</v>
      </c>
      <c r="F27" s="125">
        <f>E27-D27</f>
        <v>-938</v>
      </c>
      <c r="G27" s="2"/>
      <c r="H27" s="2"/>
      <c r="I27" s="3"/>
      <c r="J27" s="1"/>
      <c r="K27" s="20">
        <f>L27</f>
        <v>6963</v>
      </c>
      <c r="L27" s="12">
        <f>ROUND(_xll.HPVAL($A27,$A$1,$A$3,$A$4,$A$5,$A$6)/1000,0)</f>
        <v>6963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73</v>
      </c>
      <c r="B28" s="7" t="s">
        <v>156</v>
      </c>
      <c r="D28" s="20">
        <v>-510</v>
      </c>
      <c r="E28" s="12">
        <f>ROUND(_xll.HPVAL($A28,$A$1,$A$2,$A$4,$A$5,$A$6)/1000,0)</f>
        <v>0</v>
      </c>
      <c r="F28" s="125">
        <f>E28-D28</f>
        <v>510</v>
      </c>
      <c r="G28" s="2"/>
      <c r="H28" s="2"/>
      <c r="I28" s="3"/>
      <c r="J28" s="1"/>
      <c r="K28" s="20">
        <v>418</v>
      </c>
      <c r="L28" s="12">
        <f>ROUND(_xll.HPVAL($A28,$A$1,$A$3,$A$4,$A$5,$A$6)/1000,0)</f>
        <v>36</v>
      </c>
      <c r="M28" s="125">
        <f>ROUND(L28-K28,0)</f>
        <v>-382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36</v>
      </c>
      <c r="B29" s="7" t="s">
        <v>0</v>
      </c>
      <c r="D29" s="20">
        <f>E29</f>
        <v>0</v>
      </c>
      <c r="E29" s="12">
        <f>ROUND(_xll.HPVAL($A29,$A$1,$A$2,$A$4,$A$5,$A$6)/1000,0)</f>
        <v>0</v>
      </c>
      <c r="F29" s="125">
        <f t="shared" si="4"/>
        <v>0</v>
      </c>
      <c r="G29" s="2"/>
      <c r="H29" s="2"/>
      <c r="I29" s="3"/>
      <c r="J29" s="1"/>
      <c r="K29" s="20">
        <f>L29</f>
        <v>621</v>
      </c>
      <c r="L29" s="12">
        <f>ROUND(_xll.HPVAL($A29,$A$1,$A$3,$A$4,$A$5,$A$6)/1000,0)</f>
        <v>621</v>
      </c>
      <c r="M29" s="125">
        <f t="shared" si="5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B30" s="115" t="s">
        <v>1</v>
      </c>
      <c r="C30" s="114"/>
      <c r="D30" s="120">
        <f>D21+D22+D23+D24+D25+D26+D29+D28+D27</f>
        <v>19382</v>
      </c>
      <c r="E30" s="121">
        <f>E21+E22+E23+E24+E25+E26+E29+E28+E27</f>
        <v>19826</v>
      </c>
      <c r="F30" s="121">
        <f>F21+F22+F23+F24+F25+F26+F29+F28+F27</f>
        <v>444</v>
      </c>
      <c r="G30" s="118"/>
      <c r="H30" s="118"/>
      <c r="I30" s="119"/>
      <c r="J30" s="114"/>
      <c r="K30" s="120">
        <f>K21+K22+K23+K24+K25+K26+K29+K28+K27</f>
        <v>19745</v>
      </c>
      <c r="L30" s="121">
        <f>L21+L22+L23+L24+L25+L26+L29+L28+L27</f>
        <v>18893</v>
      </c>
      <c r="M30" s="121">
        <f>M21+M22+M23+M24+M25+M26+M29+M28+M27</f>
        <v>-852</v>
      </c>
      <c r="N30" s="118"/>
      <c r="O30" s="118"/>
      <c r="P30" s="119"/>
      <c r="Q30" s="1"/>
      <c r="R30" s="1"/>
      <c r="S30" s="1"/>
      <c r="T30" s="1"/>
    </row>
    <row r="31" spans="1:20" ht="3" customHeight="1" x14ac:dyDescent="0.25">
      <c r="B31" s="7"/>
      <c r="D31" s="20"/>
      <c r="E31" s="12"/>
      <c r="F31" s="125"/>
      <c r="G31" s="2"/>
      <c r="H31" s="2"/>
      <c r="I31" s="3"/>
      <c r="J31" s="1"/>
      <c r="K31" s="20"/>
      <c r="L31" s="12"/>
      <c r="M31" s="125"/>
      <c r="N31" s="2"/>
      <c r="O31" s="2"/>
      <c r="P31" s="3"/>
      <c r="Q31" s="1"/>
      <c r="R31" s="1"/>
      <c r="S31" s="1"/>
      <c r="T31" s="1"/>
    </row>
    <row r="32" spans="1:20" ht="3" customHeight="1" x14ac:dyDescent="0.25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40</v>
      </c>
      <c r="B33" s="7" t="s">
        <v>9</v>
      </c>
      <c r="D33" s="20">
        <v>655</v>
      </c>
      <c r="E33" s="12">
        <f>ROUND(_xll.HPVAL($A33,$A$1,$A$2,$A$4,$A$5,$A$6)/1000,0)</f>
        <v>2042</v>
      </c>
      <c r="F33" s="125">
        <f>E33-D33</f>
        <v>1387</v>
      </c>
      <c r="G33" s="2" t="s">
        <v>192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0.5" customHeight="1" x14ac:dyDescent="0.25">
      <c r="A34" s="23" t="s">
        <v>39</v>
      </c>
      <c r="B34" s="7" t="s">
        <v>267</v>
      </c>
      <c r="D34" s="20">
        <v>2495</v>
      </c>
      <c r="E34" s="12">
        <f>ROUND(_xll.HPVAL($A34,$A$1,$A$2,$A$4,$A$5,$A$6)/1000,0)</f>
        <v>4237</v>
      </c>
      <c r="F34" s="125">
        <f>E34-D34</f>
        <v>1742</v>
      </c>
      <c r="G34" s="163" t="s">
        <v>258</v>
      </c>
      <c r="H34" s="2"/>
      <c r="I34" s="3"/>
      <c r="J34" s="1"/>
      <c r="K34" s="20">
        <f>L34</f>
        <v>1614</v>
      </c>
      <c r="L34" s="12">
        <f>ROUND(_xll.HPVAL($A34,$A$1,$A$3,$A$4,$A$5,$A$6)/1000,0)</f>
        <v>1614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153</v>
      </c>
      <c r="B35" s="291" t="s">
        <v>180</v>
      </c>
      <c r="D35" s="20">
        <f>2252+1805</f>
        <v>4057</v>
      </c>
      <c r="E35" s="12">
        <f>ROUND(_xll.HPVAL($A35,$A$1,$A$2,$A$4,$A$5,$A$6)/1000,0)</f>
        <v>5483</v>
      </c>
      <c r="F35" s="125">
        <f>E35-D35</f>
        <v>1426</v>
      </c>
      <c r="G35" s="162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157</v>
      </c>
      <c r="B36" s="291" t="s">
        <v>154</v>
      </c>
      <c r="D36" s="20">
        <v>5042</v>
      </c>
      <c r="E36" s="12">
        <f>ROUND(_xll.HPVAL($A36,$A$1,$A$2,$A$4,$A$5,$A$6)/1000,0)</f>
        <v>2561</v>
      </c>
      <c r="F36" s="125">
        <f>E36-D36</f>
        <v>-2481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B37" s="7" t="s">
        <v>154</v>
      </c>
      <c r="D37" s="20">
        <f>SUM(D35:D36)</f>
        <v>9099</v>
      </c>
      <c r="E37" s="12">
        <f>SUM(E35:E36)</f>
        <v>8044</v>
      </c>
      <c r="F37" s="125">
        <f>SUM(F35:F36)</f>
        <v>-1055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B38" s="115" t="s">
        <v>87</v>
      </c>
      <c r="C38" s="114"/>
      <c r="D38" s="120">
        <f>SUM(D33:D36)</f>
        <v>12249</v>
      </c>
      <c r="E38" s="121">
        <f>SUM(E33:E36)</f>
        <v>14323</v>
      </c>
      <c r="F38" s="121">
        <f>SUM(F33:F36)</f>
        <v>2074</v>
      </c>
      <c r="G38" s="118"/>
      <c r="H38" s="118"/>
      <c r="I38" s="119"/>
      <c r="J38" s="114"/>
      <c r="K38" s="120">
        <f>SUM(K33:K36)</f>
        <v>4044</v>
      </c>
      <c r="L38" s="121">
        <f>SUM(L33:L36)</f>
        <v>4044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5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3069</v>
      </c>
      <c r="L40" s="12">
        <f>ROUND(_xll.HPVAL($A40,$A$1,$A$3,$A$4,$A$5,$A$6)/1000,0)</f>
        <v>3069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5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v>4286</v>
      </c>
      <c r="L42" s="12">
        <f>ROUND(_xll.HPVAL($A42,$A$1,$A$3,$A$4,$A$5,$A$6)/1000,0)</f>
        <v>4669</v>
      </c>
      <c r="M42" s="125">
        <f>ROUND(L42-K42,0)</f>
        <v>383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B44" s="7" t="s">
        <v>60</v>
      </c>
      <c r="C44" s="72"/>
      <c r="D44" s="20">
        <f>-SUM(D38:D42,D19,D30)</f>
        <v>-31631</v>
      </c>
      <c r="E44" s="12">
        <f>-SUM(E38:E42,E19,E30)</f>
        <v>-42940</v>
      </c>
      <c r="F44" s="125">
        <f>E44-D44</f>
        <v>-11309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5">
      <c r="B46" s="115" t="s">
        <v>10</v>
      </c>
      <c r="D46" s="120">
        <f>SUM(D38:D44)+D30+D19</f>
        <v>0</v>
      </c>
      <c r="E46" s="121">
        <f>SUM(E38:E44)+E30+E19</f>
        <v>0</v>
      </c>
      <c r="F46" s="121">
        <f>SUM(F38:F44)+F30+F19</f>
        <v>0</v>
      </c>
      <c r="G46" s="118"/>
      <c r="H46" s="118"/>
      <c r="I46" s="119"/>
      <c r="K46" s="120">
        <f>SUM(K38:K44)+K30+K19</f>
        <v>56653</v>
      </c>
      <c r="L46" s="121">
        <f>SUM(L38:L44)+L30+L19</f>
        <v>55721</v>
      </c>
      <c r="M46" s="121">
        <f>SUM(M38:M44)+M30+M19</f>
        <v>-932</v>
      </c>
      <c r="N46" s="118"/>
      <c r="O46" s="118"/>
      <c r="P46" s="119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-K46+13343</f>
        <v>-43310</v>
      </c>
      <c r="L48" s="12">
        <f>-L46+13343</f>
        <v>-42378</v>
      </c>
      <c r="M48" s="125">
        <f>ROUND(L48-K48,0)</f>
        <v>932</v>
      </c>
      <c r="N48" s="2"/>
      <c r="O48" s="2"/>
      <c r="P48" s="3"/>
      <c r="Q48" s="1"/>
      <c r="R48" s="1"/>
      <c r="S48" s="1"/>
      <c r="T48" s="1"/>
    </row>
    <row r="49" spans="2:20" ht="3" customHeight="1" x14ac:dyDescent="0.25">
      <c r="B49" s="7"/>
      <c r="C49" s="72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ht="11.25" customHeight="1" x14ac:dyDescent="0.25">
      <c r="B50" s="7" t="s">
        <v>274</v>
      </c>
      <c r="C50" s="72"/>
      <c r="D50" s="20">
        <v>0</v>
      </c>
      <c r="E50" s="12">
        <v>0</v>
      </c>
      <c r="F50" s="125">
        <v>0</v>
      </c>
      <c r="G50" s="2"/>
      <c r="H50" s="2"/>
      <c r="I50" s="3"/>
      <c r="J50" s="1"/>
      <c r="K50" s="20">
        <v>-13343</v>
      </c>
      <c r="L50" s="12">
        <v>-13343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2:20" ht="3" customHeight="1" x14ac:dyDescent="0.25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2:20" s="114" customFormat="1" ht="11.25" customHeight="1" x14ac:dyDescent="0.25">
      <c r="B52" s="115" t="s">
        <v>14</v>
      </c>
      <c r="D52" s="108">
        <f>D48+D46</f>
        <v>0</v>
      </c>
      <c r="E52" s="109">
        <f>E48+E46</f>
        <v>0</v>
      </c>
      <c r="F52" s="109">
        <f>F48+F46</f>
        <v>0</v>
      </c>
      <c r="G52" s="118"/>
      <c r="H52" s="118"/>
      <c r="I52" s="119"/>
      <c r="K52" s="108">
        <f>K48+K46+K50</f>
        <v>0</v>
      </c>
      <c r="L52" s="109">
        <f>L48+L46+L50</f>
        <v>0</v>
      </c>
      <c r="M52" s="109">
        <f>M48+M46+M50</f>
        <v>0</v>
      </c>
      <c r="N52" s="118"/>
      <c r="O52" s="118"/>
      <c r="P52" s="119"/>
    </row>
    <row r="53" spans="2:20" ht="3" customHeight="1" x14ac:dyDescent="0.25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2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5">
      <c r="D58" s="5"/>
      <c r="E58" s="5"/>
      <c r="F58" s="5"/>
      <c r="G58" s="1"/>
      <c r="H58" s="1"/>
      <c r="I58" s="1"/>
      <c r="J58" s="1"/>
      <c r="K58" s="5"/>
      <c r="L58" s="5"/>
      <c r="M58" s="5" t="s">
        <v>299</v>
      </c>
      <c r="N58" s="1"/>
      <c r="O58" s="1"/>
      <c r="P58" s="1"/>
      <c r="Q58" s="1"/>
      <c r="R58" s="1"/>
      <c r="S58" s="1"/>
      <c r="T58" s="1"/>
    </row>
    <row r="59" spans="2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5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5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5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3.8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5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5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5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5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workbookViewId="0">
      <selection activeCell="A3" sqref="A3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">
      <c r="A16" s="207" t="s">
        <v>107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5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61"/>
      <c r="C19" s="257">
        <v>2838</v>
      </c>
      <c r="D19" s="257">
        <v>14243</v>
      </c>
      <c r="E19" s="213">
        <f t="shared" ref="E19:E27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7" si="6">(H19-G19)-I19</f>
        <v>1748</v>
      </c>
      <c r="K19" s="214"/>
      <c r="L19" s="212">
        <f t="shared" ref="L19:M27" si="7">+C19-G19</f>
        <v>-1977</v>
      </c>
      <c r="M19" s="41">
        <f t="shared" si="7"/>
        <v>7680</v>
      </c>
      <c r="N19" s="213">
        <f t="shared" ref="N19:N27" si="8">+L19-M19</f>
        <v>-9657</v>
      </c>
    </row>
    <row r="20" spans="1:14" ht="12" customHeight="1" x14ac:dyDescent="0.2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6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">
      <c r="A25" s="207" t="s">
        <v>92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">
      <c r="A26" s="207" t="s">
        <v>156</v>
      </c>
      <c r="B26" s="237"/>
      <c r="C26" s="41">
        <v>0</v>
      </c>
      <c r="D26" s="41">
        <v>7712</v>
      </c>
      <c r="E26" s="213">
        <f t="shared" si="5"/>
        <v>-7712</v>
      </c>
      <c r="F26" s="241"/>
      <c r="G26" s="42">
        <v>1484</v>
      </c>
      <c r="H26" s="128">
        <v>1217</v>
      </c>
      <c r="I26" s="64">
        <v>0</v>
      </c>
      <c r="J26" s="213">
        <f t="shared" si="6"/>
        <v>-267</v>
      </c>
      <c r="K26" s="214"/>
      <c r="L26" s="212">
        <f t="shared" si="9"/>
        <v>-1484</v>
      </c>
      <c r="M26" s="41">
        <f t="shared" si="9"/>
        <v>6495</v>
      </c>
      <c r="N26" s="213">
        <f t="shared" si="8"/>
        <v>-7979</v>
      </c>
    </row>
    <row r="27" spans="1:14" ht="12" customHeight="1" x14ac:dyDescent="0.2">
      <c r="A27" s="207" t="s">
        <v>0</v>
      </c>
      <c r="B27" s="261"/>
      <c r="C27" s="257">
        <v>11</v>
      </c>
      <c r="D27" s="257">
        <v>4656</v>
      </c>
      <c r="E27" s="213">
        <f t="shared" si="5"/>
        <v>-4645</v>
      </c>
      <c r="F27" s="241"/>
      <c r="G27" s="257">
        <v>2218</v>
      </c>
      <c r="H27" s="257">
        <v>2456</v>
      </c>
      <c r="I27" s="64">
        <v>0</v>
      </c>
      <c r="J27" s="213">
        <f t="shared" si="6"/>
        <v>238</v>
      </c>
      <c r="K27" s="214"/>
      <c r="L27" s="212">
        <f t="shared" si="7"/>
        <v>-2207</v>
      </c>
      <c r="M27" s="41">
        <f t="shared" si="7"/>
        <v>2200</v>
      </c>
      <c r="N27" s="213">
        <f t="shared" si="8"/>
        <v>-4407</v>
      </c>
    </row>
    <row r="28" spans="1:14" s="202" customFormat="1" ht="12" customHeight="1" x14ac:dyDescent="0.25">
      <c r="A28" s="229" t="s">
        <v>1</v>
      </c>
      <c r="B28" s="258"/>
      <c r="C28" s="259">
        <f>SUM(C19:C27)</f>
        <v>44420</v>
      </c>
      <c r="D28" s="259">
        <f>SUM(D19:D27)</f>
        <v>105738</v>
      </c>
      <c r="E28" s="232">
        <f>SUM(E19:E27)</f>
        <v>-61318</v>
      </c>
      <c r="F28" s="242">
        <v>0</v>
      </c>
      <c r="G28" s="259">
        <f>SUM(G19:G27)</f>
        <v>93410</v>
      </c>
      <c r="H28" s="259">
        <f>SUM(H19:H27)</f>
        <v>100868</v>
      </c>
      <c r="I28" s="259">
        <f>SUM(I19:I27)</f>
        <v>3760</v>
      </c>
      <c r="J28" s="232">
        <f>SUM(J19:J27)</f>
        <v>3735</v>
      </c>
      <c r="K28" s="215"/>
      <c r="L28" s="230">
        <f>SUM(L19:L27)</f>
        <v>-48990</v>
      </c>
      <c r="M28" s="231">
        <f>SUM(M19:M27)</f>
        <v>4870</v>
      </c>
      <c r="N28" s="232">
        <f>SUM(N19:N27)</f>
        <v>-53860</v>
      </c>
    </row>
    <row r="29" spans="1:14" ht="12" customHeight="1" x14ac:dyDescent="0.2">
      <c r="A29" s="207"/>
      <c r="B29" s="261"/>
      <c r="C29" s="257"/>
      <c r="D29" s="257"/>
      <c r="E29" s="213"/>
      <c r="F29" s="241"/>
      <c r="G29" s="257"/>
      <c r="H29" s="257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61"/>
      <c r="C30" s="257">
        <v>93673</v>
      </c>
      <c r="D30" s="257">
        <v>15379</v>
      </c>
      <c r="E30" s="213">
        <f>+C30-D30</f>
        <v>78294</v>
      </c>
      <c r="F30" s="241"/>
      <c r="G30" s="257">
        <v>2669</v>
      </c>
      <c r="H30" s="257">
        <v>3204</v>
      </c>
      <c r="I30" s="64">
        <v>625</v>
      </c>
      <c r="J30" s="213">
        <f>(H30-G30)-I30</f>
        <v>-90</v>
      </c>
      <c r="K30" s="214"/>
      <c r="L30" s="212">
        <f t="shared" ref="L30:M32" si="10">+C30-G30</f>
        <v>91004</v>
      </c>
      <c r="M30" s="41">
        <f t="shared" si="10"/>
        <v>12175</v>
      </c>
      <c r="N30" s="213">
        <f>+L30-M30</f>
        <v>78829</v>
      </c>
    </row>
    <row r="31" spans="1:14" ht="12" customHeight="1" x14ac:dyDescent="0.2">
      <c r="A31" s="207" t="s">
        <v>257</v>
      </c>
      <c r="B31" s="261"/>
      <c r="C31" s="257">
        <v>858</v>
      </c>
      <c r="D31" s="257">
        <v>0</v>
      </c>
      <c r="E31" s="213">
        <f>+C31-D31</f>
        <v>858</v>
      </c>
      <c r="F31" s="241"/>
      <c r="G31" s="257">
        <v>6027</v>
      </c>
      <c r="H31" s="257">
        <v>7138</v>
      </c>
      <c r="I31" s="64">
        <v>1539</v>
      </c>
      <c r="J31" s="213">
        <f>(H31-G31)-I31</f>
        <v>-428</v>
      </c>
      <c r="K31" s="214"/>
      <c r="L31" s="212">
        <f t="shared" si="10"/>
        <v>-5169</v>
      </c>
      <c r="M31" s="41">
        <f t="shared" si="10"/>
        <v>-7138</v>
      </c>
      <c r="N31" s="213">
        <f>+L31-M31</f>
        <v>1969</v>
      </c>
    </row>
    <row r="32" spans="1:14" x14ac:dyDescent="0.2">
      <c r="A32" s="207" t="s">
        <v>154</v>
      </c>
      <c r="B32" s="261"/>
      <c r="C32" s="257">
        <f>26838-27505</f>
        <v>-667</v>
      </c>
      <c r="D32" s="257">
        <v>14404</v>
      </c>
      <c r="E32" s="213">
        <f>+C32-D32</f>
        <v>-15071</v>
      </c>
      <c r="F32" s="206"/>
      <c r="G32" s="257">
        <f>3379+6134</f>
        <v>9513</v>
      </c>
      <c r="H32" s="257">
        <f>2561+7811</f>
        <v>10372</v>
      </c>
      <c r="I32" s="64">
        <f>1549-818</f>
        <v>731</v>
      </c>
      <c r="J32" s="213">
        <f>(H32-G32)-I32</f>
        <v>128</v>
      </c>
      <c r="K32" s="206"/>
      <c r="L32" s="212">
        <f t="shared" si="10"/>
        <v>-10180</v>
      </c>
      <c r="M32" s="41">
        <f t="shared" si="10"/>
        <v>4032</v>
      </c>
      <c r="N32" s="213">
        <f>+L32-M32</f>
        <v>-14212</v>
      </c>
    </row>
    <row r="33" spans="1:14" s="202" customFormat="1" ht="12" customHeight="1" x14ac:dyDescent="0.25">
      <c r="A33" s="229" t="s">
        <v>87</v>
      </c>
      <c r="B33" s="258"/>
      <c r="C33" s="259">
        <f>SUM(C30:C32)</f>
        <v>93864</v>
      </c>
      <c r="D33" s="259">
        <f>SUM(D30:D32)</f>
        <v>29783</v>
      </c>
      <c r="E33" s="232">
        <f>SUM(E30:E32)</f>
        <v>64081</v>
      </c>
      <c r="F33" s="242"/>
      <c r="G33" s="259">
        <f>SUM(G30:G32)</f>
        <v>18209</v>
      </c>
      <c r="H33" s="259">
        <f>SUM(H30:H32)</f>
        <v>20714</v>
      </c>
      <c r="I33" s="259">
        <f>SUM(I30:I32)</f>
        <v>2895</v>
      </c>
      <c r="J33" s="232">
        <f>SUM(J30:J32)</f>
        <v>-390</v>
      </c>
      <c r="K33" s="215"/>
      <c r="L33" s="230">
        <f>SUM(L30:L32)</f>
        <v>75655</v>
      </c>
      <c r="M33" s="231">
        <f>SUM(M30:M32)</f>
        <v>9069</v>
      </c>
      <c r="N33" s="232">
        <f>SUM(N30:N32)</f>
        <v>66586</v>
      </c>
    </row>
    <row r="34" spans="1:14" ht="12" customHeight="1" x14ac:dyDescent="0.2">
      <c r="A34" s="217"/>
      <c r="B34" s="261"/>
      <c r="C34" s="262"/>
      <c r="D34" s="262"/>
      <c r="E34" s="219"/>
      <c r="F34" s="241"/>
      <c r="G34" s="262"/>
      <c r="H34" s="262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61"/>
      <c r="C35" s="257">
        <v>1400</v>
      </c>
      <c r="D35" s="257">
        <v>2500</v>
      </c>
      <c r="E35" s="213">
        <f>+C35-D35</f>
        <v>-1100</v>
      </c>
      <c r="F35" s="241"/>
      <c r="G35" s="257">
        <v>8467</v>
      </c>
      <c r="H35" s="257">
        <v>8514</v>
      </c>
      <c r="I35" s="64">
        <v>0</v>
      </c>
      <c r="J35" s="213">
        <f>(H35-G35)-I35</f>
        <v>47</v>
      </c>
      <c r="K35" s="214"/>
      <c r="L35" s="212">
        <f t="shared" ref="L35:M37" si="11">+C35-G35</f>
        <v>-7067</v>
      </c>
      <c r="M35" s="41">
        <f t="shared" si="11"/>
        <v>-6014</v>
      </c>
      <c r="N35" s="213">
        <f>+L35-M35</f>
        <v>-1053</v>
      </c>
    </row>
    <row r="36" spans="1:14" ht="12" customHeight="1" x14ac:dyDescent="0.2">
      <c r="A36" s="217" t="s">
        <v>7</v>
      </c>
      <c r="B36" s="261"/>
      <c r="C36" s="262">
        <v>0</v>
      </c>
      <c r="D36" s="262">
        <v>0</v>
      </c>
      <c r="E36" s="213">
        <f>+C36-D36</f>
        <v>0</v>
      </c>
      <c r="F36" s="241"/>
      <c r="G36" s="262">
        <v>8285</v>
      </c>
      <c r="H36" s="262">
        <v>7652</v>
      </c>
      <c r="I36" s="105">
        <v>0</v>
      </c>
      <c r="J36" s="213">
        <f>(H36-G36)-I36</f>
        <v>-633</v>
      </c>
      <c r="K36" s="214"/>
      <c r="L36" s="212">
        <f t="shared" si="11"/>
        <v>-8285</v>
      </c>
      <c r="M36" s="41">
        <f t="shared" si="11"/>
        <v>-7652</v>
      </c>
      <c r="N36" s="213">
        <f>+L36-M36</f>
        <v>-633</v>
      </c>
    </row>
    <row r="37" spans="1:14" ht="12" customHeight="1" x14ac:dyDescent="0.2">
      <c r="A37" s="217" t="s">
        <v>19</v>
      </c>
      <c r="B37" s="261"/>
      <c r="C37" s="257">
        <v>0</v>
      </c>
      <c r="D37" s="257">
        <v>48693</v>
      </c>
      <c r="E37" s="213">
        <f>+C37-D37</f>
        <v>-48693</v>
      </c>
      <c r="F37" s="241"/>
      <c r="G37" s="257">
        <v>0</v>
      </c>
      <c r="H37" s="257">
        <v>0</v>
      </c>
      <c r="I37" s="64">
        <v>0</v>
      </c>
      <c r="J37" s="213">
        <f>(H37-G37)-I37</f>
        <v>0</v>
      </c>
      <c r="K37" s="214"/>
      <c r="L37" s="212">
        <f t="shared" si="11"/>
        <v>0</v>
      </c>
      <c r="M37" s="41">
        <f t="shared" si="11"/>
        <v>48693</v>
      </c>
      <c r="N37" s="213">
        <f>+L37-M37</f>
        <v>-48693</v>
      </c>
    </row>
    <row r="38" spans="1:14" s="202" customFormat="1" ht="12" customHeight="1" x14ac:dyDescent="0.25">
      <c r="A38" s="229" t="s">
        <v>10</v>
      </c>
      <c r="B38" s="258"/>
      <c r="C38" s="259">
        <f>C37+C36+C35+C33+C28+C17</f>
        <v>388590</v>
      </c>
      <c r="D38" s="259">
        <f>D37+D36+D35+D33+D28+D17</f>
        <v>339366</v>
      </c>
      <c r="E38" s="232">
        <f>E37+E36+E35+E33+E28+E17</f>
        <v>49224</v>
      </c>
      <c r="F38" s="242"/>
      <c r="G38" s="259">
        <f>G37+G36+G35+G33+G28+G17</f>
        <v>186158</v>
      </c>
      <c r="H38" s="259">
        <f>H37+H36+H35+H33+H28+H17</f>
        <v>195443</v>
      </c>
      <c r="I38" s="259">
        <f>I37+I36+I35+I33+I28+I17</f>
        <v>7133</v>
      </c>
      <c r="J38" s="232">
        <f>J37+J36+J35+J33+J28+J17</f>
        <v>2152</v>
      </c>
      <c r="K38" s="215"/>
      <c r="L38" s="259">
        <f>L37+L36+L35+L33+L28+L17</f>
        <v>202432</v>
      </c>
      <c r="M38" s="259">
        <f>M37+M36+M35+M33+M28+M17</f>
        <v>143923</v>
      </c>
      <c r="N38" s="232">
        <f>N37+N36+N35+N33+N28+N17</f>
        <v>58509</v>
      </c>
    </row>
    <row r="39" spans="1:14" ht="12" customHeight="1" x14ac:dyDescent="0.2">
      <c r="A39" s="217"/>
      <c r="B39" s="261"/>
      <c r="C39" s="262"/>
      <c r="D39" s="262"/>
      <c r="E39" s="219"/>
      <c r="F39" s="241"/>
      <c r="G39" s="262"/>
      <c r="H39" s="262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61"/>
      <c r="C40" s="262"/>
      <c r="D40" s="262"/>
      <c r="E40" s="213">
        <f>+C40-D40</f>
        <v>0</v>
      </c>
      <c r="F40" s="241"/>
      <c r="G40" s="262">
        <v>79168</v>
      </c>
      <c r="H40" s="262">
        <v>63376</v>
      </c>
      <c r="I40" s="105"/>
      <c r="J40" s="213">
        <f>(H40-G40)-I40</f>
        <v>-15792</v>
      </c>
      <c r="K40" s="214"/>
      <c r="L40" s="212">
        <f>+C40-G40</f>
        <v>-79168</v>
      </c>
      <c r="M40" s="41">
        <f>+D40-H40</f>
        <v>-63376</v>
      </c>
      <c r="N40" s="213">
        <f>+L40-M40</f>
        <v>-15792</v>
      </c>
    </row>
    <row r="41" spans="1:14" ht="12" customHeight="1" x14ac:dyDescent="0.2">
      <c r="A41" s="217" t="s">
        <v>237</v>
      </c>
      <c r="B41" s="261"/>
      <c r="C41" s="262">
        <v>0</v>
      </c>
      <c r="D41" s="262"/>
      <c r="E41" s="213">
        <f>+C41-D41</f>
        <v>0</v>
      </c>
      <c r="F41" s="241"/>
      <c r="G41" s="262">
        <v>-48800</v>
      </c>
      <c r="H41" s="262">
        <v>-56377</v>
      </c>
      <c r="I41" s="105">
        <v>0</v>
      </c>
      <c r="J41" s="213">
        <f>(H41-G41)-I41</f>
        <v>-7577</v>
      </c>
      <c r="K41" s="214"/>
      <c r="L41" s="212">
        <f t="shared" ref="L41:M43" si="12">+C41-G41</f>
        <v>48800</v>
      </c>
      <c r="M41" s="41">
        <f t="shared" si="12"/>
        <v>56377</v>
      </c>
      <c r="N41" s="213">
        <f>+L41-M41</f>
        <v>-7577</v>
      </c>
    </row>
    <row r="42" spans="1:14" ht="12" customHeight="1" x14ac:dyDescent="0.2">
      <c r="A42" s="217" t="s">
        <v>18</v>
      </c>
      <c r="B42" s="261"/>
      <c r="C42" s="257">
        <v>-22158</v>
      </c>
      <c r="D42" s="257">
        <v>-10795</v>
      </c>
      <c r="E42" s="213">
        <f>+C42-D42</f>
        <v>-11363</v>
      </c>
      <c r="F42" s="243"/>
      <c r="G42" s="257">
        <v>14727</v>
      </c>
      <c r="H42" s="257">
        <v>22603</v>
      </c>
      <c r="I42" s="64">
        <v>0</v>
      </c>
      <c r="J42" s="213">
        <f>(H42-G42)-I42</f>
        <v>7876</v>
      </c>
      <c r="K42" s="214"/>
      <c r="L42" s="212">
        <f t="shared" si="12"/>
        <v>-36885</v>
      </c>
      <c r="M42" s="41">
        <f t="shared" si="12"/>
        <v>-33398</v>
      </c>
      <c r="N42" s="213">
        <f>+L42-M42</f>
        <v>-3487</v>
      </c>
    </row>
    <row r="43" spans="1:14" ht="12" customHeight="1" x14ac:dyDescent="0.2">
      <c r="A43" s="217" t="s">
        <v>60</v>
      </c>
      <c r="B43" s="261"/>
      <c r="C43" s="262">
        <f>SUM(C39)</f>
        <v>0</v>
      </c>
      <c r="D43" s="262">
        <f>SUM(D39)</f>
        <v>0</v>
      </c>
      <c r="E43" s="213">
        <f>+C43-D43</f>
        <v>0</v>
      </c>
      <c r="F43" s="241"/>
      <c r="G43" s="262">
        <v>-32741</v>
      </c>
      <c r="H43" s="262">
        <v>-39874</v>
      </c>
      <c r="I43" s="105">
        <v>-7133</v>
      </c>
      <c r="J43" s="213">
        <f>(H43-G43)-I43</f>
        <v>0</v>
      </c>
      <c r="K43" s="214"/>
      <c r="L43" s="212">
        <f t="shared" si="12"/>
        <v>32741</v>
      </c>
      <c r="M43" s="41">
        <f t="shared" si="12"/>
        <v>39874</v>
      </c>
      <c r="N43" s="213">
        <f>+L43-M43</f>
        <v>-7133</v>
      </c>
    </row>
    <row r="44" spans="1:14" s="202" customFormat="1" ht="12" customHeight="1" x14ac:dyDescent="0.25">
      <c r="A44" s="229" t="s">
        <v>65</v>
      </c>
      <c r="B44" s="258"/>
      <c r="C44" s="259">
        <f>SUM(C38:C43)</f>
        <v>366432</v>
      </c>
      <c r="D44" s="259">
        <f>SUM(D38:D43)</f>
        <v>328571</v>
      </c>
      <c r="E44" s="233">
        <f>SUM(E38:E43)</f>
        <v>37861</v>
      </c>
      <c r="F44" s="242"/>
      <c r="G44" s="259">
        <f>SUM(G38:G43)</f>
        <v>198512</v>
      </c>
      <c r="H44" s="259">
        <f>SUM(H38:H43)</f>
        <v>185171</v>
      </c>
      <c r="I44" s="259">
        <f>SUM(I38:I43)</f>
        <v>0</v>
      </c>
      <c r="J44" s="233">
        <f>SUM(J38:J43)</f>
        <v>-13341</v>
      </c>
      <c r="K44" s="215"/>
      <c r="L44" s="259">
        <f>SUM(L38:L43)</f>
        <v>167920</v>
      </c>
      <c r="M44" s="259">
        <f>SUM(M38:M43)</f>
        <v>143400</v>
      </c>
      <c r="N44" s="233">
        <f>SUM(N38:N43)</f>
        <v>24520</v>
      </c>
    </row>
    <row r="45" spans="1:14" ht="12" customHeight="1" thickBot="1" x14ac:dyDescent="0.25">
      <c r="A45" s="217" t="s">
        <v>150</v>
      </c>
      <c r="B45" s="261"/>
      <c r="C45" s="262"/>
      <c r="D45" s="262"/>
      <c r="E45" s="213">
        <f>+C45-D45</f>
        <v>0</v>
      </c>
      <c r="F45" s="241"/>
      <c r="G45" s="262">
        <v>1223</v>
      </c>
      <c r="H45" s="262">
        <v>12000</v>
      </c>
      <c r="I45" s="64">
        <v>0</v>
      </c>
      <c r="J45" s="213">
        <f>+H45-G45</f>
        <v>10777</v>
      </c>
      <c r="K45" s="214"/>
      <c r="L45" s="212">
        <f>+C45-G45</f>
        <v>-1223</v>
      </c>
      <c r="M45" s="212">
        <f>+D45-H45</f>
        <v>-12000</v>
      </c>
      <c r="N45" s="213">
        <f>+L45-M45</f>
        <v>10777</v>
      </c>
    </row>
    <row r="46" spans="1:14" s="202" customFormat="1" ht="12" customHeight="1" thickBot="1" x14ac:dyDescent="0.3">
      <c r="A46" s="249" t="s">
        <v>66</v>
      </c>
      <c r="B46" s="263"/>
      <c r="C46" s="264">
        <f>SUM(C44:C45)</f>
        <v>366432</v>
      </c>
      <c r="D46" s="264">
        <f>SUM(D44:D45)</f>
        <v>328571</v>
      </c>
      <c r="E46" s="253">
        <f>SUM(E44:E45)</f>
        <v>37861</v>
      </c>
      <c r="F46" s="254"/>
      <c r="G46" s="264">
        <f>SUM(G44:G45)</f>
        <v>199735</v>
      </c>
      <c r="H46" s="264">
        <f>SUM(H44:H45)</f>
        <v>197171</v>
      </c>
      <c r="I46" s="264">
        <f>SUM(I44:I45)</f>
        <v>0</v>
      </c>
      <c r="J46" s="253">
        <f>SUM(J44:J45)</f>
        <v>-2564</v>
      </c>
      <c r="K46" s="254"/>
      <c r="L46" s="264">
        <f>SUM(L44:L45)</f>
        <v>166697</v>
      </c>
      <c r="M46" s="264">
        <f>SUM(M44:M45)</f>
        <v>131400</v>
      </c>
      <c r="N46" s="253">
        <f>SUM(N44:N45)</f>
        <v>35297</v>
      </c>
    </row>
    <row r="47" spans="1:14" ht="3" customHeight="1" x14ac:dyDescent="0.3">
      <c r="A47" s="184"/>
      <c r="C47" s="185"/>
      <c r="D47" s="42"/>
      <c r="E47" s="184"/>
      <c r="F47" s="44"/>
      <c r="J47" s="176"/>
    </row>
    <row r="48" spans="1:14" x14ac:dyDescent="0.2">
      <c r="A48" s="176" t="s">
        <v>149</v>
      </c>
      <c r="C48" s="44"/>
      <c r="D48" s="42"/>
      <c r="E48" s="44"/>
      <c r="F48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A55" sqref="A55"/>
    </sheetView>
  </sheetViews>
  <sheetFormatPr defaultColWidth="9.109375" defaultRowHeight="10.199999999999999" x14ac:dyDescent="0.2"/>
  <cols>
    <col min="1" max="1" width="22.554687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10">
        <f>GrossMargin!J10</f>
        <v>206743</v>
      </c>
      <c r="D8" s="59">
        <f>GrossMargin!N10</f>
        <v>41497</v>
      </c>
      <c r="E8" s="211">
        <f t="shared" ref="E8:E16" si="0">-D8+C8</f>
        <v>165246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189911</v>
      </c>
      <c r="M8" s="59">
        <f t="shared" ref="M8:M16" si="2">D8-H8</f>
        <v>26640</v>
      </c>
      <c r="N8" s="211">
        <f t="shared" ref="N8:N16" si="3">L8-M8</f>
        <v>163271</v>
      </c>
    </row>
    <row r="9" spans="1:23" ht="12" customHeight="1" x14ac:dyDescent="0.2">
      <c r="A9" s="207" t="s">
        <v>273</v>
      </c>
      <c r="B9" s="278"/>
      <c r="C9" s="212">
        <f>GrossMargin!J11</f>
        <v>46648</v>
      </c>
      <c r="D9" s="41">
        <f>GrossMargin!N11</f>
        <v>7570</v>
      </c>
      <c r="E9" s="213">
        <f>-D9+C9</f>
        <v>39078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43551</v>
      </c>
      <c r="M9" s="41">
        <f>D9-H9</f>
        <v>4412</v>
      </c>
      <c r="N9" s="213">
        <f>L9-M9</f>
        <v>39139</v>
      </c>
    </row>
    <row r="10" spans="1:23" ht="12" customHeight="1" x14ac:dyDescent="0.2">
      <c r="A10" s="207" t="s">
        <v>106</v>
      </c>
      <c r="B10" s="237"/>
      <c r="C10" s="212">
        <f>GrossMargin!J12</f>
        <v>138753</v>
      </c>
      <c r="D10" s="41">
        <f>GrossMargin!N12</f>
        <v>67236</v>
      </c>
      <c r="E10" s="213">
        <f t="shared" si="0"/>
        <v>71517</v>
      </c>
      <c r="F10" s="241"/>
      <c r="G10" s="212">
        <f>Expenses!D11+'CapChrg-AllocExp'!D12+'CapChrg-AllocExp'!K12+Expenses!D56</f>
        <v>13465</v>
      </c>
      <c r="H10" s="41">
        <f>Expenses!E11+'CapChrg-AllocExp'!E12+'CapChrg-AllocExp'!L12+Expenses!E56</f>
        <v>28234</v>
      </c>
      <c r="I10" s="64">
        <f>'CapChrg-AllocExp'!F12</f>
        <v>8791</v>
      </c>
      <c r="J10" s="213">
        <f>(H10-G10)-I10</f>
        <v>5978</v>
      </c>
      <c r="K10" s="214"/>
      <c r="L10" s="212">
        <f t="shared" si="1"/>
        <v>125288</v>
      </c>
      <c r="M10" s="41">
        <f t="shared" si="2"/>
        <v>39002</v>
      </c>
      <c r="N10" s="213">
        <f t="shared" si="3"/>
        <v>86286</v>
      </c>
    </row>
    <row r="11" spans="1:23" ht="12" customHeight="1" x14ac:dyDescent="0.2">
      <c r="A11" s="207" t="s">
        <v>132</v>
      </c>
      <c r="B11" s="237"/>
      <c r="C11" s="212">
        <f>GrossMargin!J13</f>
        <v>27181</v>
      </c>
      <c r="D11" s="41">
        <f>GrossMargin!N13</f>
        <v>22402</v>
      </c>
      <c r="E11" s="213">
        <f t="shared" si="0"/>
        <v>4779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25166</v>
      </c>
      <c r="M11" s="41">
        <f t="shared" si="2"/>
        <v>20795</v>
      </c>
      <c r="N11" s="213">
        <f t="shared" si="3"/>
        <v>4371</v>
      </c>
    </row>
    <row r="12" spans="1:23" ht="12" customHeight="1" x14ac:dyDescent="0.2">
      <c r="A12" s="207" t="s">
        <v>133</v>
      </c>
      <c r="B12" s="237"/>
      <c r="C12" s="212">
        <f>GrossMargin!J14</f>
        <v>9591</v>
      </c>
      <c r="D12" s="41">
        <f>GrossMargin!N14</f>
        <v>11447</v>
      </c>
      <c r="E12" s="213">
        <f t="shared" si="0"/>
        <v>-1856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7103</v>
      </c>
      <c r="M12" s="41">
        <f t="shared" si="2"/>
        <v>8951</v>
      </c>
      <c r="N12" s="213">
        <f t="shared" si="3"/>
        <v>-1848</v>
      </c>
    </row>
    <row r="13" spans="1:23" ht="12" customHeight="1" x14ac:dyDescent="0.2">
      <c r="A13" s="207" t="s">
        <v>251</v>
      </c>
      <c r="B13" s="237"/>
      <c r="C13" s="212">
        <f>GrossMargin!J15</f>
        <v>15194</v>
      </c>
      <c r="D13" s="41">
        <f>(GrossMargin!N15)</f>
        <v>11556</v>
      </c>
      <c r="E13" s="213">
        <f t="shared" si="0"/>
        <v>3638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12852</v>
      </c>
      <c r="M13" s="41">
        <f t="shared" si="2"/>
        <v>8509</v>
      </c>
      <c r="N13" s="213">
        <f t="shared" si="3"/>
        <v>4343</v>
      </c>
    </row>
    <row r="14" spans="1:23" ht="12" customHeight="1" x14ac:dyDescent="0.2">
      <c r="A14" s="207" t="s">
        <v>275</v>
      </c>
      <c r="B14" s="237"/>
      <c r="C14" s="212">
        <f>GrossMargin!J16</f>
        <v>1086</v>
      </c>
      <c r="D14" s="41">
        <f>GrossMargin!N16</f>
        <v>6535</v>
      </c>
      <c r="E14" s="213">
        <f t="shared" si="0"/>
        <v>-5449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-1265</v>
      </c>
      <c r="M14" s="41">
        <f t="shared" si="2"/>
        <v>4497</v>
      </c>
      <c r="N14" s="213">
        <f t="shared" si="3"/>
        <v>-5762</v>
      </c>
    </row>
    <row r="15" spans="1:23" ht="12" customHeight="1" x14ac:dyDescent="0.2">
      <c r="A15" s="207" t="s">
        <v>155</v>
      </c>
      <c r="B15" s="237"/>
      <c r="C15" s="212">
        <f>GrossMargin!J17</f>
        <v>2608</v>
      </c>
      <c r="D15" s="41">
        <f>GrossMargin!N17</f>
        <v>3215</v>
      </c>
      <c r="E15" s="213">
        <f t="shared" si="0"/>
        <v>-607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797</v>
      </c>
      <c r="M15" s="41">
        <f t="shared" si="2"/>
        <v>1554</v>
      </c>
      <c r="N15" s="213">
        <f t="shared" si="3"/>
        <v>-757</v>
      </c>
    </row>
    <row r="16" spans="1:23" ht="12" customHeight="1" x14ac:dyDescent="0.2">
      <c r="A16" s="207" t="s">
        <v>107</v>
      </c>
      <c r="B16" s="237"/>
      <c r="C16" s="212">
        <f>GrossMargin!J18</f>
        <v>-3689</v>
      </c>
      <c r="D16" s="41">
        <f>GrossMargin!N18</f>
        <v>750</v>
      </c>
      <c r="E16" s="213">
        <f t="shared" si="0"/>
        <v>-4439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-4027</v>
      </c>
      <c r="M16" s="41">
        <f t="shared" si="2"/>
        <v>412</v>
      </c>
      <c r="N16" s="213">
        <f t="shared" si="3"/>
        <v>-4439</v>
      </c>
    </row>
    <row r="17" spans="1:14" s="202" customFormat="1" ht="12" customHeight="1" x14ac:dyDescent="0.25">
      <c r="A17" s="229" t="s">
        <v>276</v>
      </c>
      <c r="B17" s="238"/>
      <c r="C17" s="230">
        <f>SUM(C8:C16)</f>
        <v>444115</v>
      </c>
      <c r="D17" s="231">
        <f>SUM(D8:D16)</f>
        <v>172208</v>
      </c>
      <c r="E17" s="232">
        <f>SUM(E8:E16)</f>
        <v>271907</v>
      </c>
      <c r="F17" s="242">
        <f>SUM(D17:E17)</f>
        <v>444115</v>
      </c>
      <c r="G17" s="230">
        <f>SUM(G8:G16)</f>
        <v>44739</v>
      </c>
      <c r="H17" s="231">
        <f>SUM(H8:H16)</f>
        <v>57436</v>
      </c>
      <c r="I17" s="231">
        <f>SUM(I8:I16)</f>
        <v>8791</v>
      </c>
      <c r="J17" s="232">
        <f>SUM(J8:J16)</f>
        <v>3906</v>
      </c>
      <c r="K17" s="215"/>
      <c r="L17" s="230">
        <f>SUM(L8:L16)</f>
        <v>399376</v>
      </c>
      <c r="M17" s="231">
        <f>SUM(M8:M16)</f>
        <v>114772</v>
      </c>
      <c r="N17" s="232">
        <f>SUM(N8:N16)</f>
        <v>284604</v>
      </c>
    </row>
    <row r="18" spans="1:14" ht="12" customHeight="1" x14ac:dyDescent="0.2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7" si="5">-D19+C19</f>
        <v>-20493</v>
      </c>
      <c r="F19" s="241"/>
      <c r="G19" s="212">
        <f>Expenses!D20+'CapChrg-AllocExp'!D21+'CapChrg-AllocExp'!K21</f>
        <v>12888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7" si="6">(H19-G19)-I19</f>
        <v>-4082</v>
      </c>
      <c r="K19" s="214"/>
      <c r="L19" s="212">
        <f t="shared" ref="L19:M21" si="7">C19-G19</f>
        <v>-12888</v>
      </c>
      <c r="M19" s="41">
        <f t="shared" si="7"/>
        <v>11687</v>
      </c>
      <c r="N19" s="213">
        <f t="shared" ref="N19:N27" si="8">L19-M19</f>
        <v>-24575</v>
      </c>
    </row>
    <row r="20" spans="1:14" ht="12" customHeight="1" x14ac:dyDescent="0.2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">
      <c r="A21" s="207" t="s">
        <v>233</v>
      </c>
      <c r="B21" s="237"/>
      <c r="C21" s="212">
        <f>GrossMargin!J24</f>
        <v>2616</v>
      </c>
      <c r="D21" s="41">
        <f>GrossMargin!N24</f>
        <v>22861</v>
      </c>
      <c r="E21" s="213">
        <f t="shared" si="5"/>
        <v>-20245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-5473</v>
      </c>
      <c r="M21" s="41">
        <f t="shared" si="7"/>
        <v>13952</v>
      </c>
      <c r="N21" s="213">
        <f t="shared" si="8"/>
        <v>-19425</v>
      </c>
    </row>
    <row r="22" spans="1:14" ht="12" customHeight="1" x14ac:dyDescent="0.2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8419</v>
      </c>
      <c r="H22" s="41">
        <f>Expenses!E23+'CapChrg-AllocExp'!E24+'CapChrg-AllocExp'!L24</f>
        <v>8248</v>
      </c>
      <c r="I22" s="64">
        <f>'CapChrg-AllocExp'!F24</f>
        <v>256</v>
      </c>
      <c r="J22" s="213">
        <f>(H22-G22)-I22</f>
        <v>-427</v>
      </c>
      <c r="K22" s="214"/>
      <c r="L22" s="212">
        <f>C22-G22</f>
        <v>7731</v>
      </c>
      <c r="M22" s="41">
        <f>D22-H22</f>
        <v>10463</v>
      </c>
      <c r="N22" s="213">
        <f>L22-M22</f>
        <v>-2732</v>
      </c>
    </row>
    <row r="23" spans="1:14" ht="12" customHeight="1" x14ac:dyDescent="0.2">
      <c r="A23" s="207" t="s">
        <v>264</v>
      </c>
      <c r="B23" s="237"/>
      <c r="C23" s="212">
        <f>GrossMargin!J26</f>
        <v>297</v>
      </c>
      <c r="D23" s="41">
        <f>GrossMargin!N26</f>
        <v>6212</v>
      </c>
      <c r="E23" s="213">
        <f>-D23+C23</f>
        <v>-5915</v>
      </c>
      <c r="F23" s="241"/>
      <c r="G23" s="212">
        <f>Expenses!D24+'CapChrg-AllocExp'!D25+'CapChrg-AllocExp'!K25</f>
        <v>2990</v>
      </c>
      <c r="H23" s="41">
        <f>Expenses!E24+'CapChrg-AllocExp'!E25+'CapChrg-AllocExp'!L25</f>
        <v>2755</v>
      </c>
      <c r="I23" s="64">
        <f>'CapChrg-AllocExp'!F25</f>
        <v>78</v>
      </c>
      <c r="J23" s="213">
        <f>(H23-G23)-I23</f>
        <v>-313</v>
      </c>
      <c r="K23" s="214"/>
      <c r="L23" s="212">
        <f t="shared" ref="L23:M26" si="9">C23-G23</f>
        <v>-2693</v>
      </c>
      <c r="M23" s="41">
        <f t="shared" si="9"/>
        <v>3457</v>
      </c>
      <c r="N23" s="213">
        <f>L23-M23</f>
        <v>-6150</v>
      </c>
    </row>
    <row r="24" spans="1:14" ht="12" customHeight="1" x14ac:dyDescent="0.2">
      <c r="A24" s="207" t="s">
        <v>252</v>
      </c>
      <c r="B24" s="237"/>
      <c r="C24" s="212">
        <f>GrossMargin!J27</f>
        <v>8371</v>
      </c>
      <c r="D24" s="41">
        <f>GrossMargin!N27</f>
        <v>11556</v>
      </c>
      <c r="E24" s="213">
        <f t="shared" si="5"/>
        <v>-3185</v>
      </c>
      <c r="F24" s="241"/>
      <c r="G24" s="212">
        <f>Expenses!D25+'CapChrg-AllocExp'!D26+'CapChrg-AllocExp'!K26</f>
        <v>1858</v>
      </c>
      <c r="H24" s="41">
        <f>Expenses!E25+'CapChrg-AllocExp'!E26+'CapChrg-AllocExp'!L26</f>
        <v>1900</v>
      </c>
      <c r="I24" s="64">
        <f>'CapChrg-AllocExp'!F26</f>
        <v>211</v>
      </c>
      <c r="J24" s="213">
        <f t="shared" si="6"/>
        <v>-169</v>
      </c>
      <c r="K24" s="214"/>
      <c r="L24" s="212">
        <f t="shared" si="9"/>
        <v>6513</v>
      </c>
      <c r="M24" s="41">
        <f t="shared" si="9"/>
        <v>9656</v>
      </c>
      <c r="N24" s="213">
        <f t="shared" si="8"/>
        <v>-3143</v>
      </c>
    </row>
    <row r="25" spans="1:14" ht="12" customHeight="1" x14ac:dyDescent="0.2">
      <c r="A25" s="207" t="s">
        <v>248</v>
      </c>
      <c r="B25" s="278"/>
      <c r="C25" s="212">
        <f>GrossMargin!J28</f>
        <v>24833</v>
      </c>
      <c r="D25" s="41">
        <f>GrossMargin!N28</f>
        <v>30859</v>
      </c>
      <c r="E25" s="213">
        <f>-D25+C25</f>
        <v>-6026</v>
      </c>
      <c r="F25" s="241"/>
      <c r="G25" s="212">
        <f>Expenses!D26+'CapChrg-AllocExp'!D27+'CapChrg-AllocExp'!K27+Expenses!D57</f>
        <v>65468</v>
      </c>
      <c r="H25" s="41">
        <f>Expenses!E26+'CapChrg-AllocExp'!E27+'CapChrg-AllocExp'!L27+Expenses!E57</f>
        <v>60583</v>
      </c>
      <c r="I25" s="64">
        <f>'CapChrg-AllocExp'!F27</f>
        <v>-938</v>
      </c>
      <c r="J25" s="213">
        <f>(H25-G25)-I25</f>
        <v>-3947</v>
      </c>
      <c r="K25" s="214"/>
      <c r="L25" s="212">
        <f>C25-G25</f>
        <v>-40635</v>
      </c>
      <c r="M25" s="41">
        <f>D25-H25</f>
        <v>-29724</v>
      </c>
      <c r="N25" s="213">
        <f>L25-M25</f>
        <v>-10911</v>
      </c>
    </row>
    <row r="26" spans="1:14" ht="12" customHeight="1" x14ac:dyDescent="0.2">
      <c r="A26" s="207" t="s">
        <v>156</v>
      </c>
      <c r="B26" s="237"/>
      <c r="C26" s="212">
        <f>GrossMargin!J29</f>
        <v>653</v>
      </c>
      <c r="D26" s="41">
        <f>GrossMargin!N29</f>
        <v>7712</v>
      </c>
      <c r="E26" s="213">
        <f>-D26+C26</f>
        <v>-7059</v>
      </c>
      <c r="F26" s="241"/>
      <c r="G26" s="212">
        <f>Expenses!D27+'CapChrg-AllocExp'!D28+'CapChrg-AllocExp'!K28</f>
        <v>1272</v>
      </c>
      <c r="H26" s="41">
        <f>Expenses!E27+'CapChrg-AllocExp'!E28+'CapChrg-AllocExp'!L28</f>
        <v>1334</v>
      </c>
      <c r="I26" s="64">
        <f>'CapChrg-AllocExp'!F28</f>
        <v>510</v>
      </c>
      <c r="J26" s="213">
        <f>(H26-G26)-I26</f>
        <v>-448</v>
      </c>
      <c r="K26" s="214"/>
      <c r="L26" s="212">
        <f t="shared" si="9"/>
        <v>-619</v>
      </c>
      <c r="M26" s="41">
        <f t="shared" si="9"/>
        <v>6378</v>
      </c>
      <c r="N26" s="213">
        <f>L26-M26</f>
        <v>-6997</v>
      </c>
    </row>
    <row r="27" spans="1:14" ht="12" customHeight="1" x14ac:dyDescent="0.2">
      <c r="A27" s="207" t="s">
        <v>0</v>
      </c>
      <c r="B27" s="237"/>
      <c r="C27" s="212">
        <f>GrossMargin!J30</f>
        <v>0</v>
      </c>
      <c r="D27" s="41">
        <f>GrossMargin!N30</f>
        <v>4656</v>
      </c>
      <c r="E27" s="213">
        <f t="shared" si="5"/>
        <v>-4656</v>
      </c>
      <c r="F27" s="241"/>
      <c r="G27" s="212">
        <f>Expenses!D28+'CapChrg-AllocExp'!D29+'CapChrg-AllocExp'!K29</f>
        <v>2237</v>
      </c>
      <c r="H27" s="41">
        <f>Expenses!E28+'CapChrg-AllocExp'!E29+'CapChrg-AllocExp'!L29</f>
        <v>2626</v>
      </c>
      <c r="I27" s="64">
        <f>'CapChrg-AllocExp'!F29</f>
        <v>0</v>
      </c>
      <c r="J27" s="213">
        <f t="shared" si="6"/>
        <v>389</v>
      </c>
      <c r="K27" s="214"/>
      <c r="L27" s="212">
        <f>C27-G27</f>
        <v>-2237</v>
      </c>
      <c r="M27" s="41">
        <f>D27-H27</f>
        <v>2030</v>
      </c>
      <c r="N27" s="213">
        <f t="shared" si="8"/>
        <v>-4267</v>
      </c>
    </row>
    <row r="28" spans="1:14" s="202" customFormat="1" ht="12" customHeight="1" x14ac:dyDescent="0.25">
      <c r="A28" s="229" t="s">
        <v>1</v>
      </c>
      <c r="B28" s="238"/>
      <c r="C28" s="230">
        <f t="shared" ref="C28:J28" si="10">SUM(C19:C27)</f>
        <v>53426</v>
      </c>
      <c r="D28" s="231">
        <f t="shared" si="10"/>
        <v>136295</v>
      </c>
      <c r="E28" s="232">
        <f t="shared" si="10"/>
        <v>-82869</v>
      </c>
      <c r="F28" s="242">
        <f t="shared" si="10"/>
        <v>0</v>
      </c>
      <c r="G28" s="230">
        <f t="shared" si="10"/>
        <v>111678</v>
      </c>
      <c r="H28" s="231">
        <f t="shared" si="10"/>
        <v>102427</v>
      </c>
      <c r="I28" s="231">
        <f t="shared" si="10"/>
        <v>444</v>
      </c>
      <c r="J28" s="232">
        <f t="shared" si="10"/>
        <v>-9695</v>
      </c>
      <c r="K28" s="215"/>
      <c r="L28" s="230">
        <f>SUM(L19:L27)</f>
        <v>-58252</v>
      </c>
      <c r="M28" s="231">
        <f>SUM(M19:M27)</f>
        <v>33868</v>
      </c>
      <c r="N28" s="232">
        <f>SUM(N19:N27)</f>
        <v>-92120</v>
      </c>
    </row>
    <row r="29" spans="1:14" ht="12" customHeight="1" x14ac:dyDescent="0.2">
      <c r="A29" s="207"/>
      <c r="B29" s="237"/>
      <c r="C29" s="212"/>
      <c r="D29" s="41"/>
      <c r="E29" s="213"/>
      <c r="F29" s="241"/>
      <c r="G29" s="216"/>
      <c r="H29" s="41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37"/>
      <c r="C30" s="212">
        <f>GrossMargin!J35</f>
        <v>-29338</v>
      </c>
      <c r="D30" s="41">
        <f>GrossMargin!N35</f>
        <v>15385</v>
      </c>
      <c r="E30" s="213">
        <f>-D30+C30</f>
        <v>-44723</v>
      </c>
      <c r="F30" s="241"/>
      <c r="G30" s="212">
        <f>Expenses!D32+'CapChrg-AllocExp'!D33+'CapChrg-AllocExp'!K33</f>
        <v>2204</v>
      </c>
      <c r="H30" s="41">
        <f>Expenses!E32+'CapChrg-AllocExp'!E33+'CapChrg-AllocExp'!L33</f>
        <v>3691</v>
      </c>
      <c r="I30" s="64">
        <f>'CapChrg-AllocExp'!F33</f>
        <v>1387</v>
      </c>
      <c r="J30" s="213">
        <f>(H30-G30)-I30</f>
        <v>100</v>
      </c>
      <c r="K30" s="214"/>
      <c r="L30" s="212">
        <f t="shared" ref="L30:M32" si="11">C30-G30</f>
        <v>-31542</v>
      </c>
      <c r="M30" s="41">
        <f t="shared" si="11"/>
        <v>11694</v>
      </c>
      <c r="N30" s="213">
        <f>L30-M30</f>
        <v>-43236</v>
      </c>
    </row>
    <row r="31" spans="1:14" ht="12" customHeight="1" x14ac:dyDescent="0.2">
      <c r="A31" s="207" t="s">
        <v>267</v>
      </c>
      <c r="B31" s="237"/>
      <c r="C31" s="212">
        <f>GrossMargin!J36</f>
        <v>2861</v>
      </c>
      <c r="D31" s="41">
        <f>GrossMargin!N36</f>
        <v>2000</v>
      </c>
      <c r="E31" s="213">
        <f>-D31+C31</f>
        <v>861</v>
      </c>
      <c r="F31" s="241"/>
      <c r="G31" s="212">
        <f>Expenses!D33+'CapChrg-AllocExp'!D34+'CapChrg-AllocExp'!K34</f>
        <v>5542</v>
      </c>
      <c r="H31" s="41">
        <f>Expenses!E33+'CapChrg-AllocExp'!E34+'CapChrg-AllocExp'!L34</f>
        <v>7158</v>
      </c>
      <c r="I31" s="64">
        <f>'CapChrg-AllocExp'!F34</f>
        <v>1742</v>
      </c>
      <c r="J31" s="213">
        <f>(H31-G31)-I31</f>
        <v>-126</v>
      </c>
      <c r="K31" s="214"/>
      <c r="L31" s="212">
        <f t="shared" si="11"/>
        <v>-2681</v>
      </c>
      <c r="M31" s="41">
        <f t="shared" si="11"/>
        <v>-5158</v>
      </c>
      <c r="N31" s="213">
        <f>L31-M31</f>
        <v>2477</v>
      </c>
    </row>
    <row r="32" spans="1:14" x14ac:dyDescent="0.2">
      <c r="A32" s="207" t="s">
        <v>154</v>
      </c>
      <c r="B32" s="237"/>
      <c r="C32" s="212">
        <f>GrossMargin!J39</f>
        <v>-13892</v>
      </c>
      <c r="D32" s="41">
        <f>GrossMargin!N39</f>
        <v>14705</v>
      </c>
      <c r="E32" s="213">
        <f>-D32+C32</f>
        <v>-28597</v>
      </c>
      <c r="F32" s="206"/>
      <c r="G32" s="212">
        <f>Expenses!D36+'CapChrg-AllocExp'!D37+'CapChrg-AllocExp'!K37</f>
        <v>11017</v>
      </c>
      <c r="H32" s="41">
        <f>Expenses!E36+'CapChrg-AllocExp'!E37+'CapChrg-AllocExp'!L37</f>
        <v>10399</v>
      </c>
      <c r="I32" s="64">
        <f>'CapChrg-AllocExp'!F37</f>
        <v>-1055</v>
      </c>
      <c r="J32" s="213">
        <f>(H32-G32)-I32</f>
        <v>437</v>
      </c>
      <c r="K32" s="206"/>
      <c r="L32" s="212">
        <f t="shared" si="11"/>
        <v>-24909</v>
      </c>
      <c r="M32" s="41">
        <f t="shared" si="11"/>
        <v>4306</v>
      </c>
      <c r="N32" s="213">
        <f>L32-M32</f>
        <v>-29215</v>
      </c>
    </row>
    <row r="33" spans="1:14" s="202" customFormat="1" ht="12" customHeight="1" x14ac:dyDescent="0.25">
      <c r="A33" s="229" t="s">
        <v>87</v>
      </c>
      <c r="B33" s="238"/>
      <c r="C33" s="230">
        <f>C30+C31+C32</f>
        <v>-40369</v>
      </c>
      <c r="D33" s="231">
        <f>D30+D31+D32</f>
        <v>32090</v>
      </c>
      <c r="E33" s="232">
        <f>SUM(E30:E32)</f>
        <v>-72459</v>
      </c>
      <c r="F33" s="242"/>
      <c r="G33" s="230">
        <f>G30+G31+G32</f>
        <v>18763</v>
      </c>
      <c r="H33" s="231">
        <f>H30+H31+H32</f>
        <v>21248</v>
      </c>
      <c r="I33" s="231">
        <f>I30+I31+I32</f>
        <v>2074</v>
      </c>
      <c r="J33" s="232">
        <f>SUM(J30:J32)</f>
        <v>411</v>
      </c>
      <c r="K33" s="215"/>
      <c r="L33" s="230">
        <f>L30+L31+L32</f>
        <v>-59132</v>
      </c>
      <c r="M33" s="231">
        <f>M30+M31+M32</f>
        <v>10842</v>
      </c>
      <c r="N33" s="232">
        <f>SUM(N30:N32)</f>
        <v>-69974</v>
      </c>
    </row>
    <row r="34" spans="1:14" ht="12" customHeight="1" x14ac:dyDescent="0.2">
      <c r="A34" s="217"/>
      <c r="B34" s="237"/>
      <c r="C34" s="218"/>
      <c r="D34" s="104"/>
      <c r="E34" s="219"/>
      <c r="F34" s="241"/>
      <c r="G34" s="220"/>
      <c r="H34" s="104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37"/>
      <c r="C35" s="218">
        <f>GrossMargin!J43</f>
        <v>0.5</v>
      </c>
      <c r="D35" s="104">
        <f>GrossMargin!N43</f>
        <v>2500</v>
      </c>
      <c r="E35" s="219">
        <f>-D35+C35</f>
        <v>-2499.5</v>
      </c>
      <c r="F35" s="241"/>
      <c r="G35" s="218">
        <f>Expenses!D39+'CapChrg-AllocExp'!D40+'CapChrg-AllocExp'!K40</f>
        <v>9104</v>
      </c>
      <c r="H35" s="104">
        <f>Expenses!E39+'CapChrg-AllocExp'!E40+'CapChrg-AllocExp'!L40</f>
        <v>7686</v>
      </c>
      <c r="I35" s="105">
        <f>'CapChrg-AllocExp'!F40</f>
        <v>0</v>
      </c>
      <c r="J35" s="213">
        <f>(H35-G35)-I35</f>
        <v>-1418</v>
      </c>
      <c r="K35" s="214"/>
      <c r="L35" s="218">
        <f t="shared" ref="L35:M37" si="12">C35-G35</f>
        <v>-9103.5</v>
      </c>
      <c r="M35" s="104">
        <f t="shared" si="12"/>
        <v>-5186</v>
      </c>
      <c r="N35" s="219">
        <f>L35-M35</f>
        <v>-3917.5</v>
      </c>
    </row>
    <row r="36" spans="1:14" ht="12" customHeight="1" x14ac:dyDescent="0.2">
      <c r="A36" s="217" t="s">
        <v>7</v>
      </c>
      <c r="B36" s="237"/>
      <c r="C36" s="218">
        <f>GrossMargin!J45</f>
        <v>0</v>
      </c>
      <c r="D36" s="104">
        <f>GrossMargin!N45</f>
        <v>0</v>
      </c>
      <c r="E36" s="219">
        <f>-D36+C36</f>
        <v>0</v>
      </c>
      <c r="F36" s="241"/>
      <c r="G36" s="218">
        <f>Expenses!D41+'CapChrg-AllocExp'!D42+'CapChrg-AllocExp'!K42</f>
        <v>7516</v>
      </c>
      <c r="H36" s="104">
        <f>Expenses!E41+'CapChrg-AllocExp'!E42+'CapChrg-AllocExp'!L42</f>
        <v>7099</v>
      </c>
      <c r="I36" s="105">
        <f>'CapChrg-AllocExp'!F42</f>
        <v>0</v>
      </c>
      <c r="J36" s="213">
        <f>(H36-G36)-I36</f>
        <v>-417</v>
      </c>
      <c r="K36" s="214"/>
      <c r="L36" s="218">
        <f t="shared" si="12"/>
        <v>-7516</v>
      </c>
      <c r="M36" s="104">
        <f t="shared" si="12"/>
        <v>-7099</v>
      </c>
      <c r="N36" s="219">
        <f>L36-M36</f>
        <v>-417</v>
      </c>
    </row>
    <row r="37" spans="1:14" ht="12" customHeight="1" x14ac:dyDescent="0.2">
      <c r="A37" s="217" t="s">
        <v>19</v>
      </c>
      <c r="B37" s="237"/>
      <c r="C37" s="218">
        <f>GrossMargin!J49</f>
        <v>0</v>
      </c>
      <c r="D37" s="104">
        <f>GrossMargin!N49</f>
        <v>52216</v>
      </c>
      <c r="E37" s="219">
        <f>-D37+C37</f>
        <v>-52216</v>
      </c>
      <c r="F37" s="241"/>
      <c r="G37" s="218">
        <f>Expenses!D53+'CapChrg-AllocExp'!D54+'CapChrg-AllocExp'!K54</f>
        <v>0</v>
      </c>
      <c r="H37" s="104">
        <f>Expenses!E53+'CapChrg-AllocExp'!E54+'CapChrg-AllocExp'!L54</f>
        <v>0</v>
      </c>
      <c r="I37" s="105">
        <v>0</v>
      </c>
      <c r="J37" s="213">
        <f>(H37-G37)-I37</f>
        <v>0</v>
      </c>
      <c r="K37" s="214"/>
      <c r="L37" s="218">
        <f t="shared" si="12"/>
        <v>0</v>
      </c>
      <c r="M37" s="104">
        <f t="shared" si="12"/>
        <v>52216</v>
      </c>
      <c r="N37" s="219">
        <f>L37-M37</f>
        <v>-52216</v>
      </c>
    </row>
    <row r="38" spans="1:14" s="202" customFormat="1" ht="12" customHeight="1" x14ac:dyDescent="0.25">
      <c r="A38" s="229" t="s">
        <v>10</v>
      </c>
      <c r="B38" s="238"/>
      <c r="C38" s="230">
        <f>SUM(C33:C37)+C17+C28</f>
        <v>457172.5</v>
      </c>
      <c r="D38" s="231">
        <f>SUM(D33:D37)+D17+D28</f>
        <v>395309</v>
      </c>
      <c r="E38" s="232">
        <f>SUM(E33:E37)+E17+E28</f>
        <v>61863.5</v>
      </c>
      <c r="F38" s="242"/>
      <c r="G38" s="230">
        <f>SUM(G33:G37)+G17+G28</f>
        <v>191800</v>
      </c>
      <c r="H38" s="231">
        <f>SUM(H33:H37)+H17+H28</f>
        <v>195896</v>
      </c>
      <c r="I38" s="231">
        <f>SUM(I33:I37)+I17+I28</f>
        <v>11309</v>
      </c>
      <c r="J38" s="232">
        <f>SUM(J33:J37)+J17+J28</f>
        <v>-7213</v>
      </c>
      <c r="K38" s="215"/>
      <c r="L38" s="230">
        <f>SUM(L33:L37)+L17+L28</f>
        <v>265372.5</v>
      </c>
      <c r="M38" s="231">
        <f>SUM(M33:M37)+M17+M28</f>
        <v>199413</v>
      </c>
      <c r="N38" s="232">
        <f>SUM(N33:N37)+N17+N28</f>
        <v>65959.5</v>
      </c>
    </row>
    <row r="39" spans="1:14" ht="12" customHeight="1" x14ac:dyDescent="0.2">
      <c r="A39" s="217"/>
      <c r="B39" s="237"/>
      <c r="C39" s="218"/>
      <c r="D39" s="104"/>
      <c r="E39" s="219"/>
      <c r="F39" s="241"/>
      <c r="G39" s="220"/>
      <c r="H39" s="104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37"/>
      <c r="C40" s="218">
        <v>0</v>
      </c>
      <c r="D40" s="104">
        <v>0</v>
      </c>
      <c r="E40" s="219">
        <f t="shared" ref="E40:E45" si="13">-D40+C40</f>
        <v>0</v>
      </c>
      <c r="F40" s="241"/>
      <c r="G40" s="218">
        <f>Expenses!D45</f>
        <v>90230</v>
      </c>
      <c r="H40" s="104">
        <f>Expenses!E45</f>
        <v>59297</v>
      </c>
      <c r="I40" s="104">
        <v>0</v>
      </c>
      <c r="J40" s="213">
        <f t="shared" ref="J40:J45" si="14">(H40-G40)-I40</f>
        <v>-30933</v>
      </c>
      <c r="K40" s="214"/>
      <c r="L40" s="218">
        <f t="shared" ref="L40:M45" si="15">C40-G40</f>
        <v>-90230</v>
      </c>
      <c r="M40" s="104">
        <f t="shared" si="15"/>
        <v>-59297</v>
      </c>
      <c r="N40" s="219">
        <f t="shared" ref="N40:N45" si="16">L40-M40</f>
        <v>-30933</v>
      </c>
    </row>
    <row r="41" spans="1:14" ht="12" customHeight="1" x14ac:dyDescent="0.2">
      <c r="A41" s="217" t="s">
        <v>237</v>
      </c>
      <c r="B41" s="237"/>
      <c r="C41" s="218">
        <v>0</v>
      </c>
      <c r="D41" s="104">
        <v>0</v>
      </c>
      <c r="E41" s="219">
        <f t="shared" si="13"/>
        <v>0</v>
      </c>
      <c r="F41" s="241"/>
      <c r="G41" s="218">
        <f>'CapChrg-AllocExp'!K48</f>
        <v>-43310</v>
      </c>
      <c r="H41" s="104">
        <f>'CapChrg-AllocExp'!L48</f>
        <v>-42378</v>
      </c>
      <c r="I41" s="104">
        <v>0</v>
      </c>
      <c r="J41" s="213">
        <f t="shared" si="14"/>
        <v>932</v>
      </c>
      <c r="K41" s="214"/>
      <c r="L41" s="218">
        <f t="shared" si="15"/>
        <v>43310</v>
      </c>
      <c r="M41" s="104">
        <f t="shared" si="15"/>
        <v>42378</v>
      </c>
      <c r="N41" s="219">
        <f t="shared" si="16"/>
        <v>932</v>
      </c>
    </row>
    <row r="42" spans="1:14" ht="12" customHeight="1" x14ac:dyDescent="0.2">
      <c r="A42" s="217" t="s">
        <v>274</v>
      </c>
      <c r="B42" s="237"/>
      <c r="C42" s="218">
        <v>0</v>
      </c>
      <c r="D42" s="104">
        <v>0</v>
      </c>
      <c r="E42" s="219">
        <f t="shared" si="13"/>
        <v>0</v>
      </c>
      <c r="F42" s="241"/>
      <c r="G42" s="218">
        <f>Expenses!D47</f>
        <v>13698</v>
      </c>
      <c r="H42" s="104">
        <f>Expenses!E47</f>
        <v>13698</v>
      </c>
      <c r="I42" s="104">
        <v>0</v>
      </c>
      <c r="J42" s="213">
        <f t="shared" si="14"/>
        <v>0</v>
      </c>
      <c r="K42" s="214"/>
      <c r="L42" s="218">
        <f>C42-G42</f>
        <v>-13698</v>
      </c>
      <c r="M42" s="104">
        <f>D42-H42</f>
        <v>-13698</v>
      </c>
      <c r="N42" s="219">
        <f t="shared" si="16"/>
        <v>0</v>
      </c>
    </row>
    <row r="43" spans="1:14" ht="12" customHeight="1" x14ac:dyDescent="0.2">
      <c r="A43" s="217" t="s">
        <v>277</v>
      </c>
      <c r="B43" s="237"/>
      <c r="C43" s="218">
        <v>0</v>
      </c>
      <c r="D43" s="104">
        <v>0</v>
      </c>
      <c r="E43" s="219">
        <f t="shared" si="13"/>
        <v>0</v>
      </c>
      <c r="F43" s="241"/>
      <c r="G43" s="218">
        <f>'CapChrg-AllocExp'!K50</f>
        <v>-13343</v>
      </c>
      <c r="H43" s="104">
        <f>'CapChrg-AllocExp'!K50</f>
        <v>-13343</v>
      </c>
      <c r="I43" s="104">
        <v>0</v>
      </c>
      <c r="J43" s="213">
        <f t="shared" si="14"/>
        <v>0</v>
      </c>
      <c r="K43" s="214"/>
      <c r="L43" s="218">
        <f>C43-G43</f>
        <v>13343</v>
      </c>
      <c r="M43" s="104">
        <f>D43-H43</f>
        <v>13343</v>
      </c>
      <c r="N43" s="219">
        <f t="shared" si="16"/>
        <v>0</v>
      </c>
    </row>
    <row r="44" spans="1:14" ht="12" customHeight="1" x14ac:dyDescent="0.2">
      <c r="A44" s="217" t="s">
        <v>18</v>
      </c>
      <c r="B44" s="237"/>
      <c r="C44" s="218">
        <f>GrossMargin!J47</f>
        <v>-19177</v>
      </c>
      <c r="D44" s="104">
        <f>GrossMargin!N47</f>
        <v>-10795</v>
      </c>
      <c r="E44" s="219">
        <f t="shared" si="13"/>
        <v>-8382</v>
      </c>
      <c r="F44" s="243"/>
      <c r="G44" s="218">
        <f>Expenses!D49</f>
        <v>22625</v>
      </c>
      <c r="H44" s="104">
        <f>Expenses!E49</f>
        <v>26684</v>
      </c>
      <c r="I44" s="104">
        <v>0</v>
      </c>
      <c r="J44" s="213">
        <f t="shared" si="14"/>
        <v>4059</v>
      </c>
      <c r="K44" s="214"/>
      <c r="L44" s="218">
        <f t="shared" si="15"/>
        <v>-41802</v>
      </c>
      <c r="M44" s="104">
        <f t="shared" si="15"/>
        <v>-37479</v>
      </c>
      <c r="N44" s="219">
        <f t="shared" si="16"/>
        <v>-4323</v>
      </c>
    </row>
    <row r="45" spans="1:14" ht="12" customHeight="1" x14ac:dyDescent="0.2">
      <c r="A45" s="217" t="s">
        <v>60</v>
      </c>
      <c r="B45" s="237"/>
      <c r="C45" s="218">
        <v>0</v>
      </c>
      <c r="D45" s="104">
        <v>0</v>
      </c>
      <c r="E45" s="219">
        <f t="shared" si="13"/>
        <v>0</v>
      </c>
      <c r="F45" s="241"/>
      <c r="G45" s="218">
        <f>'CapChrg-AllocExp'!D44</f>
        <v>-31631</v>
      </c>
      <c r="H45" s="104">
        <f>'CapChrg-AllocExp'!E44</f>
        <v>-42940</v>
      </c>
      <c r="I45" s="104">
        <f>'CapChrg-AllocExp'!F44</f>
        <v>-11309</v>
      </c>
      <c r="J45" s="213">
        <f t="shared" si="14"/>
        <v>0</v>
      </c>
      <c r="K45" s="214"/>
      <c r="L45" s="218">
        <f t="shared" si="15"/>
        <v>31631</v>
      </c>
      <c r="M45" s="104">
        <f t="shared" si="15"/>
        <v>42940</v>
      </c>
      <c r="N45" s="219">
        <f t="shared" si="16"/>
        <v>-11309</v>
      </c>
    </row>
    <row r="46" spans="1:14" s="202" customFormat="1" ht="12" customHeight="1" x14ac:dyDescent="0.25">
      <c r="A46" s="229" t="s">
        <v>65</v>
      </c>
      <c r="B46" s="238"/>
      <c r="C46" s="230">
        <f>SUM(C38:C45)</f>
        <v>437995.5</v>
      </c>
      <c r="D46" s="231">
        <f>SUM(D38:D45)</f>
        <v>384514</v>
      </c>
      <c r="E46" s="233">
        <f>SUM(E38:E45)</f>
        <v>53481.5</v>
      </c>
      <c r="F46" s="242"/>
      <c r="G46" s="230">
        <f>SUM(G38:G45)</f>
        <v>230069</v>
      </c>
      <c r="H46" s="231">
        <f>SUM(H38:H45)</f>
        <v>196914</v>
      </c>
      <c r="I46" s="231">
        <f>SUM(I38:I45)</f>
        <v>0</v>
      </c>
      <c r="J46" s="233">
        <f>SUM(J38:J45)</f>
        <v>-33155</v>
      </c>
      <c r="K46" s="215"/>
      <c r="L46" s="230">
        <f>SUM(L38:L45)</f>
        <v>207926.5</v>
      </c>
      <c r="M46" s="231">
        <f>SUM(M38:M45)</f>
        <v>187600</v>
      </c>
      <c r="N46" s="233">
        <f>SUM(N38:N45)</f>
        <v>20326.5</v>
      </c>
    </row>
    <row r="47" spans="1:14" ht="12" customHeight="1" thickBot="1" x14ac:dyDescent="0.25">
      <c r="A47" s="217" t="s">
        <v>150</v>
      </c>
      <c r="B47" s="237"/>
      <c r="C47" s="218">
        <v>0</v>
      </c>
      <c r="D47" s="104">
        <v>0</v>
      </c>
      <c r="E47" s="219">
        <f>D47-C47</f>
        <v>0</v>
      </c>
      <c r="F47" s="241"/>
      <c r="G47" s="218">
        <f>'Old Mgmt Summary'!M59</f>
        <v>14700</v>
      </c>
      <c r="H47" s="104">
        <f>'Old Mgmt Summary'!D59</f>
        <v>8600</v>
      </c>
      <c r="I47" s="104"/>
      <c r="J47" s="219">
        <f>H47-G47</f>
        <v>-6100</v>
      </c>
      <c r="K47" s="214"/>
      <c r="L47" s="218">
        <f>C47-G47</f>
        <v>-14700</v>
      </c>
      <c r="M47" s="104">
        <f>D47-H47</f>
        <v>-8600</v>
      </c>
      <c r="N47" s="219">
        <f>L47-M47</f>
        <v>-6100</v>
      </c>
    </row>
    <row r="48" spans="1:14" s="202" customFormat="1" ht="12" customHeight="1" thickBot="1" x14ac:dyDescent="0.3">
      <c r="A48" s="249" t="s">
        <v>66</v>
      </c>
      <c r="B48" s="250"/>
      <c r="C48" s="251">
        <f>SUM(C46:C47)</f>
        <v>437995.5</v>
      </c>
      <c r="D48" s="252">
        <f>SUM(D46:D47)</f>
        <v>384514</v>
      </c>
      <c r="E48" s="253">
        <f>SUM(E46:E47)</f>
        <v>53481.5</v>
      </c>
      <c r="F48" s="254"/>
      <c r="G48" s="251">
        <f>SUM(G46:G47)</f>
        <v>244769</v>
      </c>
      <c r="H48" s="252">
        <f>SUM(H46:H47)</f>
        <v>205514</v>
      </c>
      <c r="I48" s="252">
        <f>SUM(I46:I47)</f>
        <v>0</v>
      </c>
      <c r="J48" s="253">
        <f>SUM(J46:J47)</f>
        <v>-39255</v>
      </c>
      <c r="K48" s="254"/>
      <c r="L48" s="251">
        <f>SUM(L46:L47)</f>
        <v>193226.5</v>
      </c>
      <c r="M48" s="252">
        <f>SUM(M46:M47)</f>
        <v>179000</v>
      </c>
      <c r="N48" s="253">
        <f>SUM(N46:N47)</f>
        <v>14226.5</v>
      </c>
    </row>
    <row r="49" spans="1:13" ht="3" customHeight="1" x14ac:dyDescent="0.3">
      <c r="A49" s="184"/>
      <c r="C49" s="185"/>
      <c r="D49" s="42"/>
      <c r="E49" s="184"/>
      <c r="F49" s="44"/>
      <c r="J49" s="176"/>
    </row>
    <row r="50" spans="1:13" x14ac:dyDescent="0.2">
      <c r="A50" s="176" t="s">
        <v>149</v>
      </c>
      <c r="C50" s="44"/>
      <c r="D50" s="42"/>
      <c r="E50" s="44"/>
      <c r="F50" s="44"/>
    </row>
    <row r="51" spans="1:13" ht="13.5" customHeight="1" x14ac:dyDescent="0.2">
      <c r="A51" s="176"/>
      <c r="D51" s="38"/>
      <c r="E51" s="38"/>
      <c r="F51" s="38"/>
      <c r="G51" s="38"/>
      <c r="H51" s="38"/>
      <c r="I51" s="38"/>
    </row>
    <row r="52" spans="1:13" ht="13.8" x14ac:dyDescent="0.3">
      <c r="C52" s="307" t="s">
        <v>285</v>
      </c>
      <c r="D52" s="308"/>
      <c r="E52" s="309"/>
      <c r="G52" s="307" t="s">
        <v>286</v>
      </c>
      <c r="H52" s="308"/>
      <c r="I52" s="308"/>
      <c r="J52" s="309"/>
    </row>
    <row r="53" spans="1:13" x14ac:dyDescent="0.2">
      <c r="C53" s="221" t="s">
        <v>247</v>
      </c>
      <c r="D53" s="203"/>
      <c r="E53" s="66">
        <f>'GM-WklyChnge'!C50</f>
        <v>70138</v>
      </c>
      <c r="G53" s="221" t="s">
        <v>245</v>
      </c>
      <c r="H53" s="203"/>
      <c r="I53" s="314">
        <f>'Expense Weekly Change'!D56+'Expense Weekly Change'!D57</f>
        <v>-5638</v>
      </c>
      <c r="J53" s="314"/>
    </row>
    <row r="54" spans="1:13" x14ac:dyDescent="0.2">
      <c r="C54" s="221" t="s">
        <v>300</v>
      </c>
      <c r="D54" s="203"/>
      <c r="E54" s="66">
        <f>'GM-WklyChnge'!D50</f>
        <v>-1095</v>
      </c>
      <c r="G54" s="221" t="s">
        <v>270</v>
      </c>
      <c r="H54" s="203"/>
      <c r="I54" s="314">
        <f>'Expense Weekly Change'!D43</f>
        <v>2457</v>
      </c>
      <c r="J54" s="314"/>
    </row>
    <row r="55" spans="1:13" x14ac:dyDescent="0.2">
      <c r="C55" s="221" t="s">
        <v>301</v>
      </c>
      <c r="D55" s="203"/>
      <c r="E55" s="66">
        <f>'GM-WklyChnge'!E50+'GM-WklyChnge'!F50+'GM-WklyChnge'!G50</f>
        <v>2705</v>
      </c>
      <c r="G55" s="221" t="s">
        <v>53</v>
      </c>
      <c r="H55" s="203"/>
      <c r="I55" s="265"/>
      <c r="J55" s="266">
        <f>'Expense Weekly Change'!D45+'Expense Weekly Change'!D47</f>
        <v>30000</v>
      </c>
    </row>
    <row r="56" spans="1:13" x14ac:dyDescent="0.2">
      <c r="C56" s="222"/>
      <c r="D56" s="223"/>
      <c r="E56" s="224"/>
      <c r="G56" s="222"/>
      <c r="H56" s="223"/>
      <c r="I56" s="282"/>
      <c r="J56" s="281"/>
    </row>
    <row r="57" spans="1:13" ht="13.8" x14ac:dyDescent="0.3">
      <c r="C57" s="234" t="s">
        <v>182</v>
      </c>
      <c r="D57" s="235"/>
      <c r="E57" s="277">
        <f>SUM(E53:E56)</f>
        <v>71748</v>
      </c>
      <c r="G57" s="234" t="s">
        <v>182</v>
      </c>
      <c r="H57" s="235"/>
      <c r="I57" s="315">
        <f>+J55+I54+I53+J56</f>
        <v>26819</v>
      </c>
      <c r="J57" s="316"/>
    </row>
    <row r="58" spans="1:13" x14ac:dyDescent="0.2">
      <c r="M58" s="27" t="s">
        <v>299</v>
      </c>
    </row>
    <row r="60" spans="1:13" ht="13.8" x14ac:dyDescent="0.3">
      <c r="C60" s="272" t="s">
        <v>235</v>
      </c>
      <c r="D60" s="273"/>
      <c r="E60" s="274">
        <f>'[2]QTD Mgmt Summary'!$C$48</f>
        <v>366247.5</v>
      </c>
      <c r="G60" s="272" t="s">
        <v>235</v>
      </c>
      <c r="H60" s="273"/>
      <c r="I60" s="312">
        <f>'[2]QTD Mgmt Summary'!$G$48</f>
        <v>217950</v>
      </c>
      <c r="J60" s="312"/>
    </row>
    <row r="61" spans="1:13" s="152" customFormat="1" ht="13.8" x14ac:dyDescent="0.3">
      <c r="A61" s="27"/>
      <c r="B61" s="27"/>
      <c r="C61" s="272" t="s">
        <v>244</v>
      </c>
      <c r="D61" s="272"/>
      <c r="E61" s="276">
        <f>C48</f>
        <v>437995.5</v>
      </c>
      <c r="G61" s="272" t="s">
        <v>244</v>
      </c>
      <c r="H61" s="272"/>
      <c r="I61" s="313">
        <f>G48</f>
        <v>244769</v>
      </c>
      <c r="J61" s="313"/>
    </row>
    <row r="62" spans="1:13" s="152" customFormat="1" ht="6" customHeight="1" x14ac:dyDescent="0.3">
      <c r="A62" s="27"/>
      <c r="B62" s="27"/>
      <c r="C62" s="272"/>
      <c r="D62" s="272"/>
      <c r="E62" s="275"/>
      <c r="G62" s="272"/>
      <c r="H62" s="272"/>
      <c r="I62" s="275"/>
    </row>
    <row r="63" spans="1:13" s="152" customFormat="1" ht="12.75" customHeight="1" thickBot="1" x14ac:dyDescent="0.25">
      <c r="A63" s="27"/>
      <c r="B63" s="27"/>
      <c r="C63" s="286" t="s">
        <v>256</v>
      </c>
      <c r="D63" s="284"/>
      <c r="E63" s="285">
        <f>+E61-E60</f>
        <v>71748</v>
      </c>
      <c r="G63" s="286" t="s">
        <v>256</v>
      </c>
      <c r="H63" s="284"/>
      <c r="I63" s="311">
        <f>+I61-I60</f>
        <v>26819</v>
      </c>
      <c r="J63" s="311"/>
    </row>
    <row r="64" spans="1:13" ht="10.8" thickTop="1" x14ac:dyDescent="0.2"/>
  </sheetData>
  <mergeCells count="12">
    <mergeCell ref="I63:J63"/>
    <mergeCell ref="I60:J60"/>
    <mergeCell ref="I61:J61"/>
    <mergeCell ref="I53:J53"/>
    <mergeCell ref="I54:J54"/>
    <mergeCell ref="I57:J57"/>
    <mergeCell ref="C52:E52"/>
    <mergeCell ref="C5:E5"/>
    <mergeCell ref="L5:N5"/>
    <mergeCell ref="I6:J6"/>
    <mergeCell ref="G5:J5"/>
    <mergeCell ref="G52:J52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49"/>
    <col min="15" max="15" width="9.109375" style="169"/>
    <col min="16" max="24" width="9.109375" style="149"/>
    <col min="25" max="16384" width="9.109375" style="85"/>
  </cols>
  <sheetData>
    <row r="1" spans="1:24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4.4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3">
      <c r="A3" s="319" t="str">
        <f>'Old Mgmt Summary'!A3</f>
        <v>Results based on Activity through June 8,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3"/>
    <row r="5" spans="1:24" s="27" customFormat="1" ht="10.199999999999999" x14ac:dyDescent="0.2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ht="10.199999999999999" x14ac:dyDescent="0.2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ht="10.199999999999999" x14ac:dyDescent="0.2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ht="10.199999999999999" x14ac:dyDescent="0.2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ht="10.199999999999999" x14ac:dyDescent="0.2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ht="10.199999999999999" x14ac:dyDescent="0.2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ht="10.199999999999999" x14ac:dyDescent="0.2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ht="10.199999999999999" x14ac:dyDescent="0.2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ht="10.199999999999999" x14ac:dyDescent="0.2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ht="10.199999999999999" x14ac:dyDescent="0.2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ht="10.199999999999999" x14ac:dyDescent="0.2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ht="10.199999999999999" x14ac:dyDescent="0.2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ht="10.199999999999999" x14ac:dyDescent="0.2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ht="10.199999999999999" x14ac:dyDescent="0.2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ht="10.199999999999999" x14ac:dyDescent="0.2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ht="10.199999999999999" x14ac:dyDescent="0.2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ht="10.199999999999999" x14ac:dyDescent="0.2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ht="10.199999999999999" x14ac:dyDescent="0.2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ht="10.199999999999999" x14ac:dyDescent="0.2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ht="10.199999999999999" x14ac:dyDescent="0.2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ht="10.199999999999999" x14ac:dyDescent="0.2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ht="10.199999999999999" x14ac:dyDescent="0.2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ht="10.199999999999999" x14ac:dyDescent="0.2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ht="10.199999999999999" x14ac:dyDescent="0.2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ht="10.199999999999999" x14ac:dyDescent="0.2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ht="10.199999999999999" x14ac:dyDescent="0.2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ht="10.199999999999999" x14ac:dyDescent="0.2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ht="10.199999999999999" x14ac:dyDescent="0.2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ht="10.199999999999999" x14ac:dyDescent="0.2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ht="10.199999999999999" x14ac:dyDescent="0.2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ht="10.199999999999999" x14ac:dyDescent="0.2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ht="10.199999999999999" x14ac:dyDescent="0.2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ht="10.199999999999999" x14ac:dyDescent="0.2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ht="10.199999999999999" x14ac:dyDescent="0.2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ht="10.199999999999999" x14ac:dyDescent="0.2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ht="10.199999999999999" x14ac:dyDescent="0.2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ht="10.199999999999999" x14ac:dyDescent="0.2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ht="10.199999999999999" x14ac:dyDescent="0.2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ht="10.199999999999999" x14ac:dyDescent="0.2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ht="10.199999999999999" x14ac:dyDescent="0.2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ht="10.199999999999999" x14ac:dyDescent="0.2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ht="10.199999999999999" x14ac:dyDescent="0.2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ht="10.199999999999999" x14ac:dyDescent="0.2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ht="10.199999999999999" x14ac:dyDescent="0.2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ht="10.199999999999999" x14ac:dyDescent="0.2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ht="10.199999999999999" x14ac:dyDescent="0.2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ht="10.199999999999999" x14ac:dyDescent="0.2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t="10.199999999999999" hidden="1" x14ac:dyDescent="0.2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t="10.199999999999999" hidden="1" x14ac:dyDescent="0.2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t="10.199999999999999" hidden="1" x14ac:dyDescent="0.2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t="10.199999999999999" hidden="1" x14ac:dyDescent="0.2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t="10.199999999999999" hidden="1" x14ac:dyDescent="0.2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t="10.199999999999999" hidden="1" x14ac:dyDescent="0.2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t="10.199999999999999" hidden="1" x14ac:dyDescent="0.2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t="10.199999999999999" hidden="1" x14ac:dyDescent="0.2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t="10.199999999999999" hidden="1" x14ac:dyDescent="0.2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t="10.199999999999999" hidden="1" x14ac:dyDescent="0.2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t="10.199999999999999" hidden="1" x14ac:dyDescent="0.2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t="10.199999999999999" hidden="1" x14ac:dyDescent="0.2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t="10.199999999999999" hidden="1" x14ac:dyDescent="0.2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ht="10.199999999999999" x14ac:dyDescent="0.2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ht="10.199999999999999" x14ac:dyDescent="0.2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ht="10.199999999999999" x14ac:dyDescent="0.2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ht="10.199999999999999" x14ac:dyDescent="0.2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ht="10.199999999999999" x14ac:dyDescent="0.2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ht="10.199999999999999" x14ac:dyDescent="0.2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ht="10.199999999999999" x14ac:dyDescent="0.2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ht="10.199999999999999" x14ac:dyDescent="0.2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ht="10.199999999999999" x14ac:dyDescent="0.2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ht="10.199999999999999" x14ac:dyDescent="0.2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0.8" thickBot="1" x14ac:dyDescent="0.25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t="10.199999999999999" hidden="1" x14ac:dyDescent="0.2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t="10.199999999999999" hidden="1" x14ac:dyDescent="0.2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t="10.199999999999999" hidden="1" x14ac:dyDescent="0.2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t="10.199999999999999" hidden="1" x14ac:dyDescent="0.2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ht="10.199999999999999" x14ac:dyDescent="0.2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ht="10.199999999999999" x14ac:dyDescent="0.2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ht="10.199999999999999" x14ac:dyDescent="0.2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ht="10.199999999999999" x14ac:dyDescent="0.2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ht="10.199999999999999" x14ac:dyDescent="0.2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ht="10.199999999999999" x14ac:dyDescent="0.2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t="10.199999999999999" hidden="1" x14ac:dyDescent="0.2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t="10.199999999999999" hidden="1" x14ac:dyDescent="0.2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t="10.199999999999999" hidden="1" x14ac:dyDescent="0.2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ht="10.199999999999999" x14ac:dyDescent="0.2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ht="10.199999999999999" x14ac:dyDescent="0.2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ht="10.199999999999999" x14ac:dyDescent="0.2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ht="10.199999999999999" x14ac:dyDescent="0.2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ht="10.199999999999999" x14ac:dyDescent="0.2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ht="10.199999999999999" x14ac:dyDescent="0.2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t="10.199999999999999" hidden="1" x14ac:dyDescent="0.2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t="10.199999999999999" hidden="1" x14ac:dyDescent="0.2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t="10.199999999999999" hidden="1" x14ac:dyDescent="0.2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t="10.199999999999999" hidden="1" x14ac:dyDescent="0.2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t="10.199999999999999" hidden="1" x14ac:dyDescent="0.2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t="10.199999999999999" hidden="1" x14ac:dyDescent="0.2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0.8" thickBot="1" x14ac:dyDescent="0.25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ht="10.199999999999999" x14ac:dyDescent="0.2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ht="10.199999999999999" x14ac:dyDescent="0.2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ht="10.199999999999999" x14ac:dyDescent="0.2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ht="10.199999999999999" x14ac:dyDescent="0.2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ht="10.199999999999999" x14ac:dyDescent="0.2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ht="10.199999999999999" x14ac:dyDescent="0.2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ht="10.199999999999999" x14ac:dyDescent="0.2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ht="10.199999999999999" x14ac:dyDescent="0.2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ht="10.199999999999999" x14ac:dyDescent="0.2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ht="10.199999999999999" x14ac:dyDescent="0.2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ht="10.199999999999999" x14ac:dyDescent="0.2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ht="10.199999999999999" x14ac:dyDescent="0.2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ht="10.199999999999999" x14ac:dyDescent="0.2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ht="10.199999999999999" x14ac:dyDescent="0.2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ht="10.199999999999999" x14ac:dyDescent="0.2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ht="10.199999999999999" x14ac:dyDescent="0.2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ht="10.199999999999999" x14ac:dyDescent="0.2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ht="10.199999999999999" x14ac:dyDescent="0.2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ht="10.199999999999999" x14ac:dyDescent="0.2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ht="10.199999999999999" x14ac:dyDescent="0.2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ht="10.199999999999999" x14ac:dyDescent="0.2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ht="10.199999999999999" x14ac:dyDescent="0.2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ht="10.199999999999999" x14ac:dyDescent="0.2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ht="10.199999999999999" x14ac:dyDescent="0.2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ht="10.199999999999999" x14ac:dyDescent="0.2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ht="10.199999999999999" x14ac:dyDescent="0.2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ht="10.199999999999999" x14ac:dyDescent="0.2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ht="10.199999999999999" x14ac:dyDescent="0.2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ht="10.199999999999999" x14ac:dyDescent="0.2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ht="10.199999999999999" x14ac:dyDescent="0.2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ht="10.199999999999999" x14ac:dyDescent="0.2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ht="10.199999999999999" x14ac:dyDescent="0.2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ht="10.199999999999999" x14ac:dyDescent="0.2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ht="10.199999999999999" x14ac:dyDescent="0.2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ht="10.199999999999999" x14ac:dyDescent="0.2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ht="10.199999999999999" x14ac:dyDescent="0.2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ht="10.199999999999999" x14ac:dyDescent="0.2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ht="10.199999999999999" x14ac:dyDescent="0.2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ht="10.199999999999999" x14ac:dyDescent="0.2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ht="10.199999999999999" x14ac:dyDescent="0.2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ht="10.199999999999999" x14ac:dyDescent="0.2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ht="10.199999999999999" x14ac:dyDescent="0.2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ht="10.199999999999999" x14ac:dyDescent="0.2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ht="10.199999999999999" x14ac:dyDescent="0.2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ht="10.199999999999999" x14ac:dyDescent="0.2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ht="10.199999999999999" x14ac:dyDescent="0.2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ht="10.199999999999999" x14ac:dyDescent="0.2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ht="10.199999999999999" x14ac:dyDescent="0.2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ht="10.199999999999999" x14ac:dyDescent="0.2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ht="10.199999999999999" x14ac:dyDescent="0.2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ht="10.199999999999999" x14ac:dyDescent="0.2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ht="10.199999999999999" x14ac:dyDescent="0.2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ht="10.199999999999999" x14ac:dyDescent="0.2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ht="10.199999999999999" x14ac:dyDescent="0.2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ht="10.199999999999999" x14ac:dyDescent="0.2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ht="10.199999999999999" x14ac:dyDescent="0.2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ht="10.199999999999999" x14ac:dyDescent="0.2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ht="10.199999999999999" x14ac:dyDescent="0.2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ht="10.199999999999999" x14ac:dyDescent="0.2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ht="10.199999999999999" x14ac:dyDescent="0.2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ht="10.199999999999999" x14ac:dyDescent="0.2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ht="10.199999999999999" x14ac:dyDescent="0.2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ht="10.199999999999999" x14ac:dyDescent="0.2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ht="10.199999999999999" x14ac:dyDescent="0.2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ht="10.199999999999999" x14ac:dyDescent="0.2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ht="10.199999999999999" x14ac:dyDescent="0.2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ht="10.199999999999999" x14ac:dyDescent="0.2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ht="10.199999999999999" x14ac:dyDescent="0.2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ht="10.199999999999999" x14ac:dyDescent="0.2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ht="10.199999999999999" x14ac:dyDescent="0.2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ht="10.199999999999999" x14ac:dyDescent="0.2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ht="10.199999999999999" x14ac:dyDescent="0.2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ht="10.199999999999999" x14ac:dyDescent="0.2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ht="10.199999999999999" x14ac:dyDescent="0.2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ht="10.199999999999999" x14ac:dyDescent="0.2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ht="10.199999999999999" x14ac:dyDescent="0.2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ht="10.199999999999999" x14ac:dyDescent="0.2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ht="10.199999999999999" x14ac:dyDescent="0.2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4.4" thickBot="1" x14ac:dyDescent="0.3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1"/>
  <sheetViews>
    <sheetView topLeftCell="A37" workbookViewId="0">
      <selection activeCell="A51" sqref="A51"/>
    </sheetView>
  </sheetViews>
  <sheetFormatPr defaultColWidth="9.109375" defaultRowHeight="10.199999999999999" x14ac:dyDescent="0.2"/>
  <cols>
    <col min="1" max="1" width="22.441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8" x14ac:dyDescent="0.3">
      <c r="A3" s="323" t="s">
        <v>287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"/>
    <row r="5" spans="1:23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206743</v>
      </c>
      <c r="H9" s="60">
        <f>GrossMargin!K10</f>
        <v>0</v>
      </c>
      <c r="I9" s="60">
        <f>GrossMargin!L10</f>
        <v>0</v>
      </c>
      <c r="J9" s="82">
        <f>SUM(G9:I9)</f>
        <v>206743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189911</v>
      </c>
      <c r="P9" s="44"/>
      <c r="Q9" s="59">
        <f>GrossMargin!O10</f>
        <v>165246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163271</v>
      </c>
    </row>
    <row r="10" spans="1:23" ht="12" customHeight="1" x14ac:dyDescent="0.2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46648</v>
      </c>
      <c r="H10" s="42">
        <f>GrossMargin!K11</f>
        <v>0</v>
      </c>
      <c r="I10" s="42">
        <f>GrossMargin!L11</f>
        <v>0</v>
      </c>
      <c r="J10" s="83">
        <f>SUM(G10:I10)</f>
        <v>46648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43551</v>
      </c>
      <c r="P10" s="44"/>
      <c r="Q10" s="41">
        <f>GrossMargin!O11</f>
        <v>39078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39139</v>
      </c>
    </row>
    <row r="11" spans="1:23" ht="12" customHeight="1" x14ac:dyDescent="0.2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Expenses!E11+'CapChrg-AllocExp'!E12+'CapChrg-AllocExp'!L12+Expenses!E56</f>
        <v>28234</v>
      </c>
      <c r="E11" s="66">
        <f t="shared" ref="E11:E17" si="0">C11-D11</f>
        <v>39002</v>
      </c>
      <c r="F11" s="42"/>
      <c r="G11" s="41">
        <f>GrossMargin!J12</f>
        <v>138753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138753</v>
      </c>
      <c r="K11" s="42">
        <f>Expenses!D56</f>
        <v>0</v>
      </c>
      <c r="L11" s="42">
        <f>'CapChrg-AllocExp'!D12</f>
        <v>0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125288</v>
      </c>
      <c r="P11" s="44"/>
      <c r="Q11" s="41">
        <f>GrossMargin!O12</f>
        <v>71517</v>
      </c>
      <c r="R11" s="42">
        <f>Expenses!F56</f>
        <v>8789</v>
      </c>
      <c r="S11" s="42">
        <f>'CapChrg-AllocExp'!F12</f>
        <v>8791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86286</v>
      </c>
    </row>
    <row r="12" spans="1:23" ht="12" customHeight="1" x14ac:dyDescent="0.2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27181</v>
      </c>
      <c r="H12" s="42">
        <f>GrossMargin!K13</f>
        <v>0</v>
      </c>
      <c r="I12" s="42">
        <f>GrossMargin!L13</f>
        <v>0</v>
      </c>
      <c r="J12" s="83">
        <f t="shared" si="1"/>
        <v>27181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25166</v>
      </c>
      <c r="P12" s="44"/>
      <c r="Q12" s="41">
        <f>GrossMargin!O13</f>
        <v>4779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4371</v>
      </c>
    </row>
    <row r="13" spans="1:23" ht="12" customHeight="1" x14ac:dyDescent="0.2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9591</v>
      </c>
      <c r="H13" s="42">
        <f>GrossMargin!K14</f>
        <v>0</v>
      </c>
      <c r="I13" s="42">
        <f>GrossMargin!L14</f>
        <v>0</v>
      </c>
      <c r="J13" s="83">
        <f>SUM(G13:I13)</f>
        <v>9591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7103</v>
      </c>
      <c r="P13" s="44"/>
      <c r="Q13" s="41">
        <f>GrossMargin!O14</f>
        <v>-1856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-1848</v>
      </c>
    </row>
    <row r="14" spans="1:23" ht="12" customHeight="1" x14ac:dyDescent="0.2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15194</v>
      </c>
      <c r="H14" s="42">
        <f>GrossMargin!K15</f>
        <v>0</v>
      </c>
      <c r="I14" s="42">
        <f>GrossMargin!L15</f>
        <v>0</v>
      </c>
      <c r="J14" s="83">
        <f>SUM(G14:I14)</f>
        <v>15194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12852</v>
      </c>
      <c r="P14" s="44"/>
      <c r="Q14" s="41">
        <f>GrossMargin!O15</f>
        <v>3638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4343</v>
      </c>
    </row>
    <row r="15" spans="1:23" ht="12" customHeight="1" x14ac:dyDescent="0.2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1086</v>
      </c>
      <c r="H15" s="42">
        <f>GrossMargin!K16</f>
        <v>0</v>
      </c>
      <c r="I15" s="42">
        <f>GrossMargin!L16</f>
        <v>0</v>
      </c>
      <c r="J15" s="83">
        <f t="shared" si="1"/>
        <v>1086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-1265</v>
      </c>
      <c r="P15" s="44"/>
      <c r="Q15" s="41">
        <f>GrossMargin!O16</f>
        <v>-5449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-5762</v>
      </c>
    </row>
    <row r="16" spans="1:23" ht="12" customHeight="1" x14ac:dyDescent="0.2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2608</v>
      </c>
      <c r="H16" s="42">
        <f>GrossMargin!K17</f>
        <v>0</v>
      </c>
      <c r="I16" s="42">
        <f>GrossMargin!L17</f>
        <v>0</v>
      </c>
      <c r="J16" s="83">
        <f t="shared" si="1"/>
        <v>2608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797</v>
      </c>
      <c r="P16" s="44"/>
      <c r="Q16" s="41">
        <f>GrossMargin!O17</f>
        <v>-607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-757</v>
      </c>
    </row>
    <row r="17" spans="1:22" ht="12" customHeight="1" x14ac:dyDescent="0.2">
      <c r="A17" s="29" t="s">
        <v>107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-3689</v>
      </c>
      <c r="H17" s="42">
        <f>GrossMargin!K18</f>
        <v>0</v>
      </c>
      <c r="I17" s="42">
        <f>GrossMargin!L18</f>
        <v>0</v>
      </c>
      <c r="J17" s="83">
        <f t="shared" si="1"/>
        <v>-3689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-4027</v>
      </c>
      <c r="P17" s="44"/>
      <c r="Q17" s="41">
        <f>GrossMargin!O18</f>
        <v>-4439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-4439</v>
      </c>
    </row>
    <row r="18" spans="1:22" s="90" customFormat="1" ht="12" customHeight="1" x14ac:dyDescent="0.3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444115</v>
      </c>
      <c r="H18" s="100">
        <f t="shared" si="4"/>
        <v>0</v>
      </c>
      <c r="I18" s="100">
        <f t="shared" si="4"/>
        <v>0</v>
      </c>
      <c r="J18" s="102">
        <f t="shared" si="4"/>
        <v>444115</v>
      </c>
      <c r="K18" s="100">
        <f t="shared" si="4"/>
        <v>0</v>
      </c>
      <c r="L18" s="100">
        <f t="shared" si="4"/>
        <v>0</v>
      </c>
      <c r="M18" s="100">
        <f t="shared" si="4"/>
        <v>19230</v>
      </c>
      <c r="N18" s="101">
        <f t="shared" si="4"/>
        <v>25509</v>
      </c>
      <c r="O18" s="102">
        <f t="shared" si="2"/>
        <v>399376</v>
      </c>
      <c r="P18" s="93"/>
      <c r="Q18" s="99">
        <f t="shared" ref="Q18:V18" si="5">SUM(Q9:Q17)</f>
        <v>271907</v>
      </c>
      <c r="R18" s="100">
        <f t="shared" si="5"/>
        <v>8789</v>
      </c>
      <c r="S18" s="100">
        <f t="shared" si="5"/>
        <v>8791</v>
      </c>
      <c r="T18" s="100">
        <f t="shared" si="5"/>
        <v>-4420</v>
      </c>
      <c r="U18" s="100">
        <f t="shared" si="5"/>
        <v>-463</v>
      </c>
      <c r="V18" s="101">
        <f t="shared" si="5"/>
        <v>284604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28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8" si="7">SUM(G20:I20)</f>
        <v>0</v>
      </c>
      <c r="K20" s="65"/>
      <c r="L20" s="42">
        <f>'CapChrg-AllocExp'!D21</f>
        <v>0</v>
      </c>
      <c r="M20" s="42">
        <f>Expenses!D20</f>
        <v>9051</v>
      </c>
      <c r="N20" s="43">
        <f>'CapChrg-AllocExp'!K21</f>
        <v>3837</v>
      </c>
      <c r="O20" s="83">
        <f t="shared" ref="O20:O29" si="8">J20-K20-M20-N20-L20</f>
        <v>-12888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-4082</v>
      </c>
      <c r="U20" s="42">
        <f>'CapChrg-AllocExp'!M21</f>
        <v>0</v>
      </c>
      <c r="V20" s="66">
        <f t="shared" ref="V20:V28" si="9">ROUND(SUM(Q20:U20),0)</f>
        <v>-24575</v>
      </c>
    </row>
    <row r="21" spans="1:22" ht="12" customHeight="1" x14ac:dyDescent="0.2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2616</v>
      </c>
      <c r="H22" s="42">
        <f>GrossMargin!K24</f>
        <v>0</v>
      </c>
      <c r="I22" s="42">
        <f>GrossMargin!L24</f>
        <v>0</v>
      </c>
      <c r="J22" s="83">
        <f t="shared" si="7"/>
        <v>2616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-5473</v>
      </c>
      <c r="P22" s="44"/>
      <c r="Q22" s="41">
        <f>GrossMargin!O24</f>
        <v>-20245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-19425</v>
      </c>
    </row>
    <row r="23" spans="1:22" ht="12" customHeight="1" x14ac:dyDescent="0.2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6038</v>
      </c>
      <c r="M23" s="42">
        <f>Expenses!D23</f>
        <v>1721</v>
      </c>
      <c r="N23" s="43">
        <f>'CapChrg-AllocExp'!K24</f>
        <v>660</v>
      </c>
      <c r="O23" s="83">
        <f>J23-K23-M23-N23-L23</f>
        <v>7731</v>
      </c>
      <c r="P23" s="44"/>
      <c r="Q23" s="41">
        <f>GrossMargin!O25</f>
        <v>-2561</v>
      </c>
      <c r="R23" s="42"/>
      <c r="S23" s="42">
        <f>'CapChrg-AllocExp'!F24</f>
        <v>256</v>
      </c>
      <c r="T23" s="42">
        <f>Expenses!F23</f>
        <v>-427</v>
      </c>
      <c r="U23" s="42">
        <f>'CapChrg-AllocExp'!M24</f>
        <v>0</v>
      </c>
      <c r="V23" s="66">
        <f>ROUND(SUM(Q23:U23),0)</f>
        <v>-2732</v>
      </c>
    </row>
    <row r="24" spans="1:22" ht="12" customHeight="1" x14ac:dyDescent="0.2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297</v>
      </c>
      <c r="H24" s="42">
        <f>GrossMargin!K26</f>
        <v>0</v>
      </c>
      <c r="I24" s="42">
        <f>GrossMargin!L26</f>
        <v>0</v>
      </c>
      <c r="J24" s="83">
        <f>SUM(G24:I24)</f>
        <v>297</v>
      </c>
      <c r="K24" s="65"/>
      <c r="L24" s="42">
        <f>'CapChrg-AllocExp'!D25</f>
        <v>639</v>
      </c>
      <c r="M24" s="42">
        <f>Expenses!D24</f>
        <v>1224</v>
      </c>
      <c r="N24" s="43">
        <f>'CapChrg-AllocExp'!K25</f>
        <v>1127</v>
      </c>
      <c r="O24" s="83">
        <f>J24-K24-M24-N24-L24</f>
        <v>-2693</v>
      </c>
      <c r="P24" s="44"/>
      <c r="Q24" s="41">
        <f>GrossMargin!O26</f>
        <v>-5915</v>
      </c>
      <c r="R24" s="42"/>
      <c r="S24" s="42">
        <f>'CapChrg-AllocExp'!F25</f>
        <v>78</v>
      </c>
      <c r="T24" s="42">
        <f>Expenses!F24</f>
        <v>0</v>
      </c>
      <c r="U24" s="42">
        <f>'CapChrg-AllocExp'!M25</f>
        <v>-313</v>
      </c>
      <c r="V24" s="66">
        <f>ROUND(SUM(Q24:U24),0)</f>
        <v>-6150</v>
      </c>
    </row>
    <row r="25" spans="1:22" ht="12" customHeight="1" x14ac:dyDescent="0.2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8371</v>
      </c>
      <c r="H25" s="42">
        <f>GrossMargin!K27</f>
        <v>0</v>
      </c>
      <c r="I25" s="42">
        <f>GrossMargin!L27</f>
        <v>0</v>
      </c>
      <c r="J25" s="83">
        <f t="shared" si="7"/>
        <v>8371</v>
      </c>
      <c r="K25" s="65"/>
      <c r="L25" s="42">
        <f>'CapChrg-AllocExp'!D26</f>
        <v>165</v>
      </c>
      <c r="M25" s="42">
        <f>Expenses!D25</f>
        <v>498</v>
      </c>
      <c r="N25" s="43">
        <f>'CapChrg-AllocExp'!K26</f>
        <v>1195</v>
      </c>
      <c r="O25" s="83">
        <f>J25-K25-M25-N25-L25</f>
        <v>6513</v>
      </c>
      <c r="P25" s="44"/>
      <c r="Q25" s="41">
        <f>GrossMargin!O27</f>
        <v>-3185</v>
      </c>
      <c r="R25" s="42"/>
      <c r="S25" s="42">
        <f>'CapChrg-AllocExp'!F26</f>
        <v>211</v>
      </c>
      <c r="T25" s="42">
        <f>Expenses!F25</f>
        <v>-169</v>
      </c>
      <c r="U25" s="42">
        <f>'CapChrg-AllocExp'!M26</f>
        <v>0</v>
      </c>
      <c r="V25" s="66">
        <f t="shared" si="9"/>
        <v>-3143</v>
      </c>
    </row>
    <row r="26" spans="1:22" ht="12" customHeight="1" x14ac:dyDescent="0.2">
      <c r="A26" s="29" t="s">
        <v>248</v>
      </c>
      <c r="B26" s="38"/>
      <c r="C26" s="41">
        <f>GrossMargin!N28</f>
        <v>30859</v>
      </c>
      <c r="D26" s="42">
        <f>Expenses!E26+'CapChrg-AllocExp'!E27+'CapChrg-AllocExp'!L27+Expenses!E57</f>
        <v>60583</v>
      </c>
      <c r="E26" s="66">
        <f>C26-D26</f>
        <v>-29724</v>
      </c>
      <c r="F26" s="42"/>
      <c r="G26" s="41">
        <f>GrossMargin!J28</f>
        <v>24833</v>
      </c>
      <c r="H26" s="42">
        <f>GrossMargin!K28</f>
        <v>0</v>
      </c>
      <c r="I26" s="42">
        <f>GrossMargin!L28</f>
        <v>0</v>
      </c>
      <c r="J26" s="83">
        <f>SUM(G26:I26)</f>
        <v>24833</v>
      </c>
      <c r="K26" s="65">
        <f>Expenses!D57</f>
        <v>40367</v>
      </c>
      <c r="L26" s="42">
        <f>'CapChrg-AllocExp'!D27</f>
        <v>12003</v>
      </c>
      <c r="M26" s="42">
        <f>Expenses!D26</f>
        <v>6135</v>
      </c>
      <c r="N26" s="43">
        <f>'CapChrg-AllocExp'!K27</f>
        <v>6963</v>
      </c>
      <c r="O26" s="83">
        <f>J26-K26-M26-N26-L26</f>
        <v>-40635</v>
      </c>
      <c r="P26" s="44"/>
      <c r="Q26" s="41">
        <f>GrossMargin!O28</f>
        <v>-6026</v>
      </c>
      <c r="R26" s="42">
        <f>Expenses!F57</f>
        <v>-3369</v>
      </c>
      <c r="S26" s="42">
        <f>'CapChrg-AllocExp'!F27</f>
        <v>-938</v>
      </c>
      <c r="T26" s="42">
        <f>Expenses!F26</f>
        <v>-578</v>
      </c>
      <c r="U26" s="42">
        <f>'CapChrg-AllocExp'!M27</f>
        <v>0</v>
      </c>
      <c r="V26" s="66">
        <f>ROUND(SUM(Q26:U26),0)</f>
        <v>-10911</v>
      </c>
    </row>
    <row r="27" spans="1:22" ht="12" customHeight="1" x14ac:dyDescent="0.2">
      <c r="A27" s="29" t="s">
        <v>156</v>
      </c>
      <c r="B27" s="38"/>
      <c r="C27" s="41">
        <f>GrossMargin!N29</f>
        <v>7712</v>
      </c>
      <c r="D27" s="42">
        <f>Expenses!E27+'CapChrg-AllocExp'!E28+'CapChrg-AllocExp'!L28</f>
        <v>1334</v>
      </c>
      <c r="E27" s="66">
        <f>C27-D27</f>
        <v>6378</v>
      </c>
      <c r="F27" s="42"/>
      <c r="G27" s="41">
        <f>GrossMargin!J29</f>
        <v>653</v>
      </c>
      <c r="H27" s="42">
        <f>GrossMargin!K29</f>
        <v>0</v>
      </c>
      <c r="I27" s="42">
        <f>GrossMargin!L29</f>
        <v>0</v>
      </c>
      <c r="J27" s="83">
        <f>SUM(G27:I27)</f>
        <v>653</v>
      </c>
      <c r="K27" s="65"/>
      <c r="L27" s="42">
        <f>'CapChrg-AllocExp'!D28</f>
        <v>-510</v>
      </c>
      <c r="M27" s="42">
        <f>Expenses!D27</f>
        <v>1364</v>
      </c>
      <c r="N27" s="43">
        <f>'CapChrg-AllocExp'!K28</f>
        <v>418</v>
      </c>
      <c r="O27" s="83">
        <f>J27-K27-M27-N27-L27</f>
        <v>-619</v>
      </c>
      <c r="P27" s="44"/>
      <c r="Q27" s="41">
        <f>GrossMargin!O29</f>
        <v>-7059</v>
      </c>
      <c r="R27" s="42"/>
      <c r="S27" s="42">
        <f>'CapChrg-AllocExp'!F28</f>
        <v>510</v>
      </c>
      <c r="T27" s="42">
        <f>Expenses!F27</f>
        <v>-66</v>
      </c>
      <c r="U27" s="42">
        <f>'CapChrg-AllocExp'!M28</f>
        <v>-382</v>
      </c>
      <c r="V27" s="66">
        <f>ROUND(SUM(Q27:U27),0)</f>
        <v>-6997</v>
      </c>
    </row>
    <row r="28" spans="1:22" ht="12" customHeight="1" x14ac:dyDescent="0.2">
      <c r="A28" s="29" t="s">
        <v>0</v>
      </c>
      <c r="B28" s="38"/>
      <c r="C28" s="41">
        <f>GrossMargin!N30</f>
        <v>4656</v>
      </c>
      <c r="D28" s="42">
        <f>Expenses!E28+'CapChrg-AllocExp'!E29+'CapChrg-AllocExp'!L29</f>
        <v>2626</v>
      </c>
      <c r="E28" s="66">
        <f t="shared" si="6"/>
        <v>2030</v>
      </c>
      <c r="F28" s="42"/>
      <c r="G28" s="41">
        <f>GrossMargin!J30</f>
        <v>0</v>
      </c>
      <c r="H28" s="42">
        <f>GrossMargin!K30</f>
        <v>0</v>
      </c>
      <c r="I28" s="42">
        <f>GrossMargin!L30</f>
        <v>0</v>
      </c>
      <c r="J28" s="83">
        <f t="shared" si="7"/>
        <v>0</v>
      </c>
      <c r="K28" s="65"/>
      <c r="L28" s="42">
        <f>'CapChrg-AllocExp'!D29</f>
        <v>0</v>
      </c>
      <c r="M28" s="42">
        <f>Expenses!D28</f>
        <v>1616</v>
      </c>
      <c r="N28" s="43">
        <f>'CapChrg-AllocExp'!K29</f>
        <v>621</v>
      </c>
      <c r="O28" s="83">
        <f t="shared" si="8"/>
        <v>-2237</v>
      </c>
      <c r="P28" s="44"/>
      <c r="Q28" s="41">
        <f>GrossMargin!O30</f>
        <v>-4656</v>
      </c>
      <c r="R28" s="42"/>
      <c r="S28" s="42">
        <f>'CapChrg-AllocExp'!F29</f>
        <v>0</v>
      </c>
      <c r="T28" s="42">
        <f>Expenses!F28</f>
        <v>389</v>
      </c>
      <c r="U28" s="42">
        <f>'CapChrg-AllocExp'!M29</f>
        <v>0</v>
      </c>
      <c r="V28" s="66">
        <f t="shared" si="9"/>
        <v>-4267</v>
      </c>
    </row>
    <row r="29" spans="1:22" s="90" customFormat="1" ht="12" customHeight="1" x14ac:dyDescent="0.3">
      <c r="A29" s="94" t="s">
        <v>1</v>
      </c>
      <c r="B29" s="91"/>
      <c r="C29" s="99">
        <f t="shared" ref="C29:N29" si="10">SUM(C20:C28)</f>
        <v>136295</v>
      </c>
      <c r="D29" s="100">
        <f t="shared" si="10"/>
        <v>102427</v>
      </c>
      <c r="E29" s="101">
        <f t="shared" si="10"/>
        <v>33868</v>
      </c>
      <c r="F29" s="92">
        <f t="shared" si="10"/>
        <v>0</v>
      </c>
      <c r="G29" s="99">
        <f t="shared" si="10"/>
        <v>53426</v>
      </c>
      <c r="H29" s="100">
        <f t="shared" si="10"/>
        <v>0</v>
      </c>
      <c r="I29" s="100">
        <f t="shared" si="10"/>
        <v>0</v>
      </c>
      <c r="J29" s="102">
        <f t="shared" si="10"/>
        <v>53426</v>
      </c>
      <c r="K29" s="100">
        <f t="shared" si="10"/>
        <v>40367</v>
      </c>
      <c r="L29" s="100">
        <f t="shared" si="10"/>
        <v>19382</v>
      </c>
      <c r="M29" s="100">
        <f t="shared" si="10"/>
        <v>32184</v>
      </c>
      <c r="N29" s="101">
        <f t="shared" si="10"/>
        <v>19745</v>
      </c>
      <c r="O29" s="102">
        <f t="shared" si="8"/>
        <v>-58252</v>
      </c>
      <c r="P29" s="93"/>
      <c r="Q29" s="99">
        <f t="shared" ref="Q29:V29" si="11">SUM(Q20:Q28)</f>
        <v>-82869</v>
      </c>
      <c r="R29" s="100">
        <f t="shared" si="11"/>
        <v>-3369</v>
      </c>
      <c r="S29" s="100">
        <f t="shared" si="11"/>
        <v>444</v>
      </c>
      <c r="T29" s="100">
        <f t="shared" si="11"/>
        <v>-5474</v>
      </c>
      <c r="U29" s="100">
        <f t="shared" si="11"/>
        <v>-852</v>
      </c>
      <c r="V29" s="101">
        <f t="shared" si="11"/>
        <v>-92120</v>
      </c>
    </row>
    <row r="30" spans="1:22" ht="3" customHeight="1" x14ac:dyDescent="0.2">
      <c r="A30" s="29"/>
      <c r="B30" s="38"/>
      <c r="C30" s="41"/>
      <c r="D30" s="42"/>
      <c r="E30" s="66"/>
      <c r="F30" s="42"/>
      <c r="G30" s="41"/>
      <c r="H30" s="42"/>
      <c r="I30" s="42"/>
      <c r="J30" s="83"/>
      <c r="K30" s="65"/>
      <c r="L30" s="65"/>
      <c r="M30" s="42"/>
      <c r="N30" s="43"/>
      <c r="O30" s="83"/>
      <c r="P30" s="44"/>
      <c r="Q30" s="41"/>
      <c r="R30" s="42"/>
      <c r="S30" s="42"/>
      <c r="T30" s="42"/>
      <c r="U30" s="42"/>
      <c r="V30" s="66"/>
    </row>
    <row r="31" spans="1:22" ht="3" customHeight="1" x14ac:dyDescent="0.2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 t="s">
        <v>268</v>
      </c>
      <c r="N31" s="43">
        <v>5000</v>
      </c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">
      <c r="A32" s="29" t="s">
        <v>9</v>
      </c>
      <c r="B32" s="38"/>
      <c r="C32" s="41">
        <f>GrossMargin!N35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GrossMargin!J35</f>
        <v>-29338</v>
      </c>
      <c r="H32" s="42">
        <f>GrossMargin!K35</f>
        <v>0</v>
      </c>
      <c r="I32" s="42">
        <f>GrossMargin!L35</f>
        <v>0</v>
      </c>
      <c r="J32" s="83">
        <f>SUM(G32:I32)</f>
        <v>-29338</v>
      </c>
      <c r="K32" s="65"/>
      <c r="L32" s="42">
        <f>'CapChrg-AllocExp'!D33</f>
        <v>655</v>
      </c>
      <c r="M32" s="42">
        <f>Expenses!D32</f>
        <v>635</v>
      </c>
      <c r="N32" s="43">
        <f>'CapChrg-AllocExp'!K33</f>
        <v>914</v>
      </c>
      <c r="O32" s="83">
        <f>J32-K32-M32-N32-L32</f>
        <v>-31542</v>
      </c>
      <c r="P32" s="44"/>
      <c r="Q32" s="41">
        <f>GrossMargin!O35</f>
        <v>-44723</v>
      </c>
      <c r="R32" s="42"/>
      <c r="S32" s="42">
        <f>'CapChrg-AllocExp'!F33</f>
        <v>1387</v>
      </c>
      <c r="T32" s="42">
        <f>Expenses!F32</f>
        <v>100</v>
      </c>
      <c r="U32" s="42">
        <f>'CapChrg-AllocExp'!M33</f>
        <v>0</v>
      </c>
      <c r="V32" s="66">
        <f>ROUND(SUM(Q32:U32),0)</f>
        <v>-43236</v>
      </c>
    </row>
    <row r="33" spans="1:22" ht="12" customHeight="1" x14ac:dyDescent="0.2">
      <c r="A33" s="29" t="s">
        <v>267</v>
      </c>
      <c r="B33" s="38"/>
      <c r="C33" s="41">
        <f>GrossMargin!N36</f>
        <v>2000</v>
      </c>
      <c r="D33" s="42">
        <f>Expenses!E33+'CapChrg-AllocExp'!E34+'CapChrg-AllocExp'!L34</f>
        <v>7158</v>
      </c>
      <c r="E33" s="66">
        <f>C33-D33</f>
        <v>-5158</v>
      </c>
      <c r="F33" s="42"/>
      <c r="G33" s="41">
        <f>GrossMargin!J36</f>
        <v>2861</v>
      </c>
      <c r="H33" s="42">
        <f>GrossMargin!K36</f>
        <v>0</v>
      </c>
      <c r="I33" s="42">
        <f>GrossMargin!L36</f>
        <v>0</v>
      </c>
      <c r="J33" s="83">
        <f>SUM(G33:I33)</f>
        <v>2861</v>
      </c>
      <c r="K33" s="65"/>
      <c r="L33" s="42">
        <f>'CapChrg-AllocExp'!D34</f>
        <v>2495</v>
      </c>
      <c r="M33" s="42">
        <f>Expenses!D33</f>
        <v>1433</v>
      </c>
      <c r="N33" s="43">
        <f>'CapChrg-AllocExp'!K34</f>
        <v>1614</v>
      </c>
      <c r="O33" s="83">
        <f>J33-K33-M33-N33-L33</f>
        <v>-2681</v>
      </c>
      <c r="P33" s="44"/>
      <c r="Q33" s="41">
        <f>GrossMargin!O36</f>
        <v>861</v>
      </c>
      <c r="R33" s="42"/>
      <c r="S33" s="42">
        <f>'CapChrg-AllocExp'!F34</f>
        <v>1742</v>
      </c>
      <c r="T33" s="42">
        <f>Expenses!F33</f>
        <v>-126</v>
      </c>
      <c r="U33" s="42">
        <f>'CapChrg-AllocExp'!M34</f>
        <v>0</v>
      </c>
      <c r="V33" s="66">
        <f>ROUND(SUM(Q33:U33),0)</f>
        <v>2477</v>
      </c>
    </row>
    <row r="34" spans="1:22" ht="12" customHeight="1" x14ac:dyDescent="0.2">
      <c r="A34" s="29" t="s">
        <v>154</v>
      </c>
      <c r="B34" s="38"/>
      <c r="C34" s="41">
        <f>GrossMargin!N39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GrossMargin!J39</f>
        <v>-13892</v>
      </c>
      <c r="H34" s="42">
        <f>GrossMargin!K39</f>
        <v>0</v>
      </c>
      <c r="I34" s="42">
        <f>GrossMargin!L39</f>
        <v>0</v>
      </c>
      <c r="J34" s="83">
        <f>SUM(G34:I34)</f>
        <v>-13892</v>
      </c>
      <c r="K34" s="65"/>
      <c r="L34" s="42">
        <f>'CapChrg-AllocExp'!D37</f>
        <v>9099</v>
      </c>
      <c r="M34" s="42">
        <f>Expenses!D36</f>
        <v>402</v>
      </c>
      <c r="N34" s="43">
        <f>'CapChrg-AllocExp'!K37</f>
        <v>1516</v>
      </c>
      <c r="O34" s="83">
        <f>J34-K34-M34-N34-L34</f>
        <v>-24909</v>
      </c>
      <c r="P34" s="44"/>
      <c r="Q34" s="41">
        <f>GrossMargin!O39</f>
        <v>-28597</v>
      </c>
      <c r="R34" s="42"/>
      <c r="S34" s="42">
        <f>'CapChrg-AllocExp'!F37</f>
        <v>-1055</v>
      </c>
      <c r="T34" s="42">
        <f>Expenses!F36</f>
        <v>437</v>
      </c>
      <c r="U34" s="42">
        <f>'CapChrg-AllocExp'!M37</f>
        <v>0</v>
      </c>
      <c r="V34" s="66">
        <f>ROUND(SUM(Q34:U34),0)</f>
        <v>-29215</v>
      </c>
    </row>
    <row r="35" spans="1:22" s="90" customFormat="1" ht="12" customHeight="1" x14ac:dyDescent="0.3">
      <c r="A35" s="94" t="s">
        <v>87</v>
      </c>
      <c r="B35" s="91"/>
      <c r="C35" s="99">
        <f>SUM(C32:C34)</f>
        <v>32090</v>
      </c>
      <c r="D35" s="100">
        <f>SUM(D32:D34)</f>
        <v>21248</v>
      </c>
      <c r="E35" s="101">
        <f>SUM(E32:E34)</f>
        <v>10842</v>
      </c>
      <c r="F35" s="92"/>
      <c r="G35" s="99">
        <f t="shared" ref="G35:N35" si="12">SUM(G32:G34)</f>
        <v>-40369</v>
      </c>
      <c r="H35" s="100">
        <f t="shared" si="12"/>
        <v>0</v>
      </c>
      <c r="I35" s="100">
        <f t="shared" si="12"/>
        <v>0</v>
      </c>
      <c r="J35" s="102">
        <f t="shared" si="12"/>
        <v>-40369</v>
      </c>
      <c r="K35" s="100">
        <f t="shared" si="12"/>
        <v>0</v>
      </c>
      <c r="L35" s="100">
        <f t="shared" si="12"/>
        <v>12249</v>
      </c>
      <c r="M35" s="100">
        <f t="shared" si="12"/>
        <v>2470</v>
      </c>
      <c r="N35" s="101">
        <f t="shared" si="12"/>
        <v>4044</v>
      </c>
      <c r="O35" s="102">
        <f>J35-K35-M35-N35-L35</f>
        <v>-59132</v>
      </c>
      <c r="P35" s="93"/>
      <c r="Q35" s="99">
        <f t="shared" ref="Q35:V35" si="13">SUM(Q32:Q34)</f>
        <v>-72459</v>
      </c>
      <c r="R35" s="100">
        <f t="shared" si="13"/>
        <v>0</v>
      </c>
      <c r="S35" s="100">
        <f t="shared" si="13"/>
        <v>2074</v>
      </c>
      <c r="T35" s="100">
        <f t="shared" si="13"/>
        <v>411</v>
      </c>
      <c r="U35" s="100">
        <f t="shared" si="13"/>
        <v>0</v>
      </c>
      <c r="V35" s="101">
        <f t="shared" si="13"/>
        <v>-69974</v>
      </c>
    </row>
    <row r="36" spans="1:22" ht="3" customHeight="1" x14ac:dyDescent="0.2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">
      <c r="A37" s="29" t="s">
        <v>8</v>
      </c>
      <c r="B37" s="38"/>
      <c r="C37" s="41">
        <f>GrossMargin!N43</f>
        <v>2500</v>
      </c>
      <c r="D37" s="42">
        <f>Expenses!E39+'CapChrg-AllocExp'!E40+'CapChrg-AllocExp'!L40</f>
        <v>7686</v>
      </c>
      <c r="E37" s="66">
        <f>C37-D37</f>
        <v>-5186</v>
      </c>
      <c r="F37" s="42"/>
      <c r="G37" s="41">
        <f>GrossMargin!J43</f>
        <v>0.5</v>
      </c>
      <c r="H37" s="42">
        <f>GrossMargin!K43</f>
        <v>0</v>
      </c>
      <c r="I37" s="42">
        <f>GrossMargin!L43</f>
        <v>0</v>
      </c>
      <c r="J37" s="83">
        <f>SUM(G37:I37)</f>
        <v>0.5</v>
      </c>
      <c r="K37" s="65"/>
      <c r="L37" s="42">
        <f>'CapChrg-AllocExp'!D40</f>
        <v>0</v>
      </c>
      <c r="M37" s="42">
        <f>Expenses!D39</f>
        <v>6035</v>
      </c>
      <c r="N37" s="43">
        <f>'CapChrg-AllocExp'!K40</f>
        <v>3069</v>
      </c>
      <c r="O37" s="83">
        <f>J37-K37-M37-N37-L37</f>
        <v>-9103.5</v>
      </c>
      <c r="P37" s="44"/>
      <c r="Q37" s="41">
        <f>GrossMargin!O43</f>
        <v>-2499.5</v>
      </c>
      <c r="R37" s="42"/>
      <c r="S37" s="42">
        <f>'CapChrg-AllocExp'!F40</f>
        <v>0</v>
      </c>
      <c r="T37" s="42">
        <f>Expenses!F39</f>
        <v>-1418</v>
      </c>
      <c r="U37" s="42">
        <f>'CapChrg-AllocExp'!M40</f>
        <v>0</v>
      </c>
      <c r="V37" s="66">
        <f>ROUND(SUM(Q37:U37),0)</f>
        <v>-3918</v>
      </c>
    </row>
    <row r="38" spans="1:22" ht="3" customHeight="1" x14ac:dyDescent="0.2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">
      <c r="A39" s="29" t="s">
        <v>19</v>
      </c>
      <c r="B39" s="38"/>
      <c r="C39" s="41">
        <f>GrossMargin!N49</f>
        <v>52216</v>
      </c>
      <c r="D39" s="42"/>
      <c r="E39" s="66">
        <f>C39-D39</f>
        <v>52216</v>
      </c>
      <c r="F39" s="42"/>
      <c r="G39" s="41">
        <f>GrossMargin!J49</f>
        <v>0</v>
      </c>
      <c r="H39" s="42"/>
      <c r="I39" s="42">
        <f>GrossMargin!L49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GrossMargin!O49</f>
        <v>-52216</v>
      </c>
      <c r="R39" s="42"/>
      <c r="S39" s="42"/>
      <c r="T39" s="42">
        <v>0</v>
      </c>
      <c r="U39" s="42"/>
      <c r="V39" s="66">
        <f>ROUND(SUM(Q39:U39),0)</f>
        <v>-52216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7</v>
      </c>
      <c r="B41" s="38"/>
      <c r="C41" s="41">
        <f>GrossMargin!N45</f>
        <v>0</v>
      </c>
      <c r="D41" s="42">
        <f>Expenses!E41+'CapChrg-AllocExp'!E42+'CapChrg-AllocExp'!L42</f>
        <v>7099</v>
      </c>
      <c r="E41" s="66">
        <f>C41-D41</f>
        <v>-7099</v>
      </c>
      <c r="F41" s="42"/>
      <c r="G41" s="41">
        <f>GrossMargin!J45</f>
        <v>0</v>
      </c>
      <c r="H41" s="42">
        <f>GrossMargin!K45</f>
        <v>0</v>
      </c>
      <c r="I41" s="42">
        <f>GrossMargin!L45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3230</v>
      </c>
      <c r="N41" s="43">
        <f>'CapChrg-AllocExp'!K42</f>
        <v>4286</v>
      </c>
      <c r="O41" s="83">
        <f>J41-K41-M41-N41-L41</f>
        <v>-7516</v>
      </c>
      <c r="P41" s="44"/>
      <c r="Q41" s="41">
        <f>GrossMargin!O45</f>
        <v>0</v>
      </c>
      <c r="R41" s="42"/>
      <c r="S41" s="42">
        <f>'CapChrg-AllocExp'!F42</f>
        <v>0</v>
      </c>
      <c r="T41" s="42">
        <f>Expenses!F41</f>
        <v>-800</v>
      </c>
      <c r="U41" s="42">
        <f>'CapChrg-AllocExp'!M42</f>
        <v>383</v>
      </c>
      <c r="V41" s="66">
        <f>ROUND(SUM(Q41:U41),0)</f>
        <v>-417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3">
      <c r="A43" s="94" t="s">
        <v>10</v>
      </c>
      <c r="B43" s="91"/>
      <c r="C43" s="99">
        <f>SUM(C35:C41)+C18+C29</f>
        <v>395309</v>
      </c>
      <c r="D43" s="100">
        <f>SUM(D35:D41)+D18+D29</f>
        <v>195896</v>
      </c>
      <c r="E43" s="101">
        <f>SUM(E35:E41)+E18+E29</f>
        <v>199413</v>
      </c>
      <c r="F43" s="92"/>
      <c r="G43" s="99">
        <f t="shared" ref="G43:N43" si="14">SUM(G35:G41)+G18+G29</f>
        <v>457172.5</v>
      </c>
      <c r="H43" s="100">
        <f t="shared" si="14"/>
        <v>0</v>
      </c>
      <c r="I43" s="100">
        <f t="shared" si="14"/>
        <v>0</v>
      </c>
      <c r="J43" s="102">
        <f t="shared" si="14"/>
        <v>457172.5</v>
      </c>
      <c r="K43" s="100">
        <f t="shared" si="14"/>
        <v>40367</v>
      </c>
      <c r="L43" s="100">
        <f t="shared" si="14"/>
        <v>31631</v>
      </c>
      <c r="M43" s="100">
        <f t="shared" si="14"/>
        <v>63149</v>
      </c>
      <c r="N43" s="101">
        <f t="shared" si="14"/>
        <v>56653</v>
      </c>
      <c r="O43" s="102">
        <f>J43-K43-M43-N43-L43</f>
        <v>265372.5</v>
      </c>
      <c r="P43" s="93"/>
      <c r="Q43" s="99">
        <f t="shared" ref="Q43:V43" si="15">SUM(Q35:Q41)+Q18+Q29</f>
        <v>61863.5</v>
      </c>
      <c r="R43" s="100">
        <f t="shared" si="15"/>
        <v>5420</v>
      </c>
      <c r="S43" s="100">
        <f t="shared" si="15"/>
        <v>11309</v>
      </c>
      <c r="T43" s="100">
        <f t="shared" si="15"/>
        <v>-11701</v>
      </c>
      <c r="U43" s="100">
        <f t="shared" si="15"/>
        <v>-932</v>
      </c>
      <c r="V43" s="101">
        <f t="shared" si="15"/>
        <v>65959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48</v>
      </c>
      <c r="B45" s="38"/>
      <c r="C45" s="41"/>
      <c r="D45" s="42">
        <f>Expenses!E45</f>
        <v>59297</v>
      </c>
      <c r="E45" s="66">
        <f>C45-D45</f>
        <v>-59297</v>
      </c>
      <c r="F45" s="42"/>
      <c r="G45" s="41"/>
      <c r="H45" s="42"/>
      <c r="I45" s="42"/>
      <c r="J45" s="83"/>
      <c r="K45" s="65"/>
      <c r="L45" s="42"/>
      <c r="M45" s="42">
        <f>Expenses!D45</f>
        <v>90230</v>
      </c>
      <c r="O45" s="83">
        <f>J45-K45-M45-N45-L45</f>
        <v>-90230</v>
      </c>
      <c r="P45" s="44"/>
      <c r="Q45" s="41">
        <v>0</v>
      </c>
      <c r="R45" s="42"/>
      <c r="S45" s="42"/>
      <c r="T45" s="42">
        <f>Expenses!F45</f>
        <v>-30933</v>
      </c>
      <c r="U45" s="42"/>
      <c r="V45" s="66">
        <f>ROUND(SUM(Q45:U45),0)</f>
        <v>-30933</v>
      </c>
    </row>
    <row r="46" spans="1:22" ht="2.25" customHeight="1" x14ac:dyDescent="0.2">
      <c r="A46" s="29"/>
      <c r="B46" s="38"/>
      <c r="C46" s="41"/>
      <c r="D46" s="42"/>
      <c r="E46" s="66">
        <f>C46-D46</f>
        <v>0</v>
      </c>
      <c r="F46" s="42"/>
      <c r="G46" s="41"/>
      <c r="H46" s="42"/>
      <c r="I46" s="42"/>
      <c r="J46" s="83"/>
      <c r="K46" s="65"/>
      <c r="L46" s="42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237</v>
      </c>
      <c r="B47" s="38"/>
      <c r="C47" s="41"/>
      <c r="D47" s="42">
        <f>'CapChrg-AllocExp'!L48</f>
        <v>-42378</v>
      </c>
      <c r="E47" s="66">
        <f>C47-D47</f>
        <v>42378</v>
      </c>
      <c r="F47" s="42"/>
      <c r="G47" s="41"/>
      <c r="H47" s="42"/>
      <c r="I47" s="42"/>
      <c r="J47" s="83"/>
      <c r="K47" s="65"/>
      <c r="L47" s="42"/>
      <c r="M47" s="42"/>
      <c r="N47" s="43">
        <f>'CapChrg-AllocExp'!K48</f>
        <v>-43310</v>
      </c>
      <c r="O47" s="83">
        <f>J47-K47-M47-N47-L47</f>
        <v>43310</v>
      </c>
      <c r="P47" s="44"/>
      <c r="Q47" s="41"/>
      <c r="R47" s="42"/>
      <c r="S47" s="42"/>
      <c r="T47" s="42"/>
      <c r="U47" s="42">
        <f>'CapChrg-AllocExp'!M48</f>
        <v>932</v>
      </c>
      <c r="V47" s="66">
        <f>ROUND(SUM(Q47:U47),0)</f>
        <v>932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274</v>
      </c>
      <c r="B49" s="38"/>
      <c r="C49" s="41"/>
      <c r="D49" s="42">
        <f>Expenses!E47</f>
        <v>13698</v>
      </c>
      <c r="E49" s="66">
        <f>C49-D49</f>
        <v>-13698</v>
      </c>
      <c r="F49" s="42"/>
      <c r="G49" s="41"/>
      <c r="H49" s="42"/>
      <c r="I49" s="42"/>
      <c r="J49" s="83"/>
      <c r="K49" s="65"/>
      <c r="L49" s="65"/>
      <c r="M49" s="42">
        <f>Expenses!D47</f>
        <v>13698</v>
      </c>
      <c r="N49" s="43"/>
      <c r="O49" s="83">
        <f>J49-K49-M49-N49-L49</f>
        <v>-13698</v>
      </c>
      <c r="P49" s="44"/>
      <c r="Q49" s="41"/>
      <c r="R49" s="42"/>
      <c r="S49" s="42"/>
      <c r="T49" s="42">
        <f>Expenses!F47</f>
        <v>0</v>
      </c>
      <c r="U49" s="42"/>
      <c r="V49" s="66">
        <f>ROUND(SUM(Q49:U49),0)</f>
        <v>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277</v>
      </c>
      <c r="B51" s="38"/>
      <c r="C51" s="41"/>
      <c r="D51" s="42">
        <f>'CapChrg-AllocExp'!L50</f>
        <v>-13343</v>
      </c>
      <c r="E51" s="66">
        <f>C51-D51</f>
        <v>13343</v>
      </c>
      <c r="F51" s="42"/>
      <c r="G51" s="41"/>
      <c r="H51" s="42"/>
      <c r="I51" s="42"/>
      <c r="J51" s="83"/>
      <c r="K51" s="65"/>
      <c r="L51" s="65"/>
      <c r="M51" s="42"/>
      <c r="N51" s="43">
        <f>'CapChrg-AllocExp'!K50</f>
        <v>-13343</v>
      </c>
      <c r="O51" s="83">
        <f>J51-K51-M51-N51-L51</f>
        <v>13343</v>
      </c>
      <c r="P51" s="44"/>
      <c r="Q51" s="41"/>
      <c r="R51" s="42"/>
      <c r="S51" s="42"/>
      <c r="T51" s="42"/>
      <c r="U51" s="42">
        <f>'CapChrg-AllocExp'!M50</f>
        <v>0</v>
      </c>
      <c r="V51" s="66">
        <f>ROUND(SUM(Q51:U51),0)</f>
        <v>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18</v>
      </c>
      <c r="B53" s="38"/>
      <c r="C53" s="41">
        <f>GrossMargin!N47</f>
        <v>-10795</v>
      </c>
      <c r="D53" s="42">
        <f>Expenses!E49</f>
        <v>26684</v>
      </c>
      <c r="E53" s="66">
        <f>C53-D53</f>
        <v>-37479</v>
      </c>
      <c r="F53" s="65"/>
      <c r="G53" s="41">
        <f>GrossMargin!J47</f>
        <v>-19177</v>
      </c>
      <c r="H53" s="42">
        <f>GrossMargin!K47</f>
        <v>0</v>
      </c>
      <c r="I53" s="42">
        <f>GrossMargin!L47</f>
        <v>0</v>
      </c>
      <c r="J53" s="83">
        <f>SUM(G53:I53)</f>
        <v>-19177</v>
      </c>
      <c r="K53" s="65"/>
      <c r="L53" s="42"/>
      <c r="M53" s="42">
        <f>Expenses!D49</f>
        <v>22625</v>
      </c>
      <c r="N53" s="43"/>
      <c r="O53" s="83">
        <f>J53-K53-M53-N53-L53</f>
        <v>-41802</v>
      </c>
      <c r="P53" s="44"/>
      <c r="Q53" s="41">
        <f>GrossMargin!O47</f>
        <v>-8382</v>
      </c>
      <c r="R53" s="42"/>
      <c r="S53" s="42"/>
      <c r="T53" s="42">
        <f>Expenses!F49</f>
        <v>4059</v>
      </c>
      <c r="U53" s="42"/>
      <c r="V53" s="66">
        <f>ROUND(SUM(Q53:U53),0)</f>
        <v>-4323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">
      <c r="A55" s="29" t="s">
        <v>60</v>
      </c>
      <c r="B55" s="38"/>
      <c r="C55" s="41"/>
      <c r="D55" s="42">
        <f>'CapChrg-AllocExp'!E44</f>
        <v>-42940</v>
      </c>
      <c r="E55" s="66">
        <f ca="1">C55-D55</f>
        <v>42940</v>
      </c>
      <c r="F55" s="42"/>
      <c r="G55" s="41"/>
      <c r="H55" s="42"/>
      <c r="I55" s="42"/>
      <c r="J55" s="83">
        <f ca="1">SUM(G55:I55)</f>
        <v>0</v>
      </c>
      <c r="K55" s="65"/>
      <c r="L55" s="42">
        <f>'CapChrg-AllocExp'!D44</f>
        <v>-31631</v>
      </c>
      <c r="M55" s="42"/>
      <c r="N55" s="43"/>
      <c r="O55" s="83">
        <f ca="1">J55-K55-M55-N55-L55</f>
        <v>31631</v>
      </c>
      <c r="P55" s="44"/>
      <c r="Q55" s="41"/>
      <c r="R55" s="42"/>
      <c r="S55" s="42">
        <f>'CapChrg-AllocExp'!F44</f>
        <v>-11309</v>
      </c>
      <c r="T55" s="42"/>
      <c r="U55" s="42"/>
      <c r="V55" s="66">
        <f>ROUND(SUM(Q55:U55),0)</f>
        <v>-11309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>
        <f>ROUND(SUM(Q56:U56),0)</f>
        <v>0</v>
      </c>
    </row>
    <row r="57" spans="1:22" s="90" customFormat="1" ht="12" customHeight="1" x14ac:dyDescent="0.3">
      <c r="A57" s="94" t="s">
        <v>65</v>
      </c>
      <c r="B57" s="91"/>
      <c r="C57" s="99">
        <f ca="1">SUM(C43:C56)</f>
        <v>384514</v>
      </c>
      <c r="D57" s="100">
        <f>SUM(D43:D56)</f>
        <v>196914</v>
      </c>
      <c r="E57" s="101">
        <f ca="1">SUM(E43:E56)</f>
        <v>187600</v>
      </c>
      <c r="F57" s="92"/>
      <c r="G57" s="99">
        <f t="shared" ref="G57:N57" ca="1" si="16">SUM(G43:G56)</f>
        <v>437995.5</v>
      </c>
      <c r="H57" s="100">
        <f t="shared" si="16"/>
        <v>0</v>
      </c>
      <c r="I57" s="100">
        <f t="shared" si="16"/>
        <v>0</v>
      </c>
      <c r="J57" s="102">
        <f t="shared" ca="1" si="16"/>
        <v>437995.5</v>
      </c>
      <c r="K57" s="100">
        <f t="shared" si="16"/>
        <v>40367</v>
      </c>
      <c r="L57" s="100">
        <f t="shared" si="16"/>
        <v>0</v>
      </c>
      <c r="M57" s="100">
        <f t="shared" si="16"/>
        <v>189702</v>
      </c>
      <c r="N57" s="101">
        <f t="shared" si="16"/>
        <v>0</v>
      </c>
      <c r="O57" s="102">
        <f ca="1">J57-K57-M57-N57-L57</f>
        <v>207926.5</v>
      </c>
      <c r="P57" s="93"/>
      <c r="Q57" s="99">
        <f t="shared" ref="Q57:V57" si="17">SUM(Q43:Q56)</f>
        <v>53481.5</v>
      </c>
      <c r="R57" s="100">
        <f t="shared" si="17"/>
        <v>5420</v>
      </c>
      <c r="S57" s="100">
        <f t="shared" si="17"/>
        <v>0</v>
      </c>
      <c r="T57" s="100">
        <f t="shared" si="17"/>
        <v>-38575</v>
      </c>
      <c r="U57" s="100">
        <f t="shared" si="17"/>
        <v>0</v>
      </c>
      <c r="V57" s="101">
        <f t="shared" si="17"/>
        <v>20326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 t="s">
        <v>269</v>
      </c>
      <c r="H58" s="42"/>
      <c r="I58" s="42"/>
      <c r="J58" s="83"/>
      <c r="K58" s="65"/>
      <c r="L58" s="65"/>
      <c r="M58" s="42" t="s">
        <v>299</v>
      </c>
      <c r="N58" s="43"/>
      <c r="O58" s="83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150</v>
      </c>
      <c r="B59" s="38"/>
      <c r="C59" s="41"/>
      <c r="D59" s="42">
        <v>8600</v>
      </c>
      <c r="E59" s="66">
        <f>C59-D59</f>
        <v>-8600</v>
      </c>
      <c r="F59" s="42"/>
      <c r="G59" s="41"/>
      <c r="H59" s="42"/>
      <c r="I59" s="42"/>
      <c r="J59" s="83"/>
      <c r="K59" s="65"/>
      <c r="L59" s="65"/>
      <c r="M59" s="42">
        <v>14700</v>
      </c>
      <c r="N59" s="43"/>
      <c r="O59" s="83">
        <f>J59-K59-M59-N59-L59</f>
        <v>-14700</v>
      </c>
      <c r="P59" s="44"/>
      <c r="Q59" s="41"/>
      <c r="R59" s="42"/>
      <c r="S59" s="42"/>
      <c r="T59" s="42">
        <f>D59-M59</f>
        <v>-6100</v>
      </c>
      <c r="U59" s="42"/>
      <c r="V59" s="66">
        <f>ROUND(SUM(Q59:U59),0)</f>
        <v>-6100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3"/>
      <c r="K60" s="65"/>
      <c r="L60" s="65"/>
      <c r="M60" s="42"/>
      <c r="N60" s="43"/>
      <c r="O60" s="83"/>
      <c r="P60" s="44"/>
      <c r="Q60" s="41"/>
      <c r="R60" s="42"/>
      <c r="S60" s="42"/>
      <c r="T60" s="42"/>
      <c r="U60" s="42"/>
      <c r="V60" s="66"/>
    </row>
    <row r="61" spans="1:22" s="90" customFormat="1" ht="12" customHeight="1" x14ac:dyDescent="0.3">
      <c r="A61" s="94" t="s">
        <v>66</v>
      </c>
      <c r="B61" s="91"/>
      <c r="C61" s="95">
        <f ca="1">SUM(C57:C59)</f>
        <v>384514</v>
      </c>
      <c r="D61" s="96">
        <f>SUM(D57:D59)</f>
        <v>205514</v>
      </c>
      <c r="E61" s="97">
        <f ca="1">SUM(E57:E59)</f>
        <v>179000</v>
      </c>
      <c r="F61" s="92"/>
      <c r="G61" s="95">
        <f t="shared" ref="G61:V61" ca="1" si="18">SUM(G57:G59)</f>
        <v>437995.5</v>
      </c>
      <c r="H61" s="96">
        <f t="shared" si="18"/>
        <v>0</v>
      </c>
      <c r="I61" s="96">
        <f t="shared" si="18"/>
        <v>0</v>
      </c>
      <c r="J61" s="98">
        <f t="shared" ca="1" si="18"/>
        <v>437995.5</v>
      </c>
      <c r="K61" s="96">
        <f t="shared" si="18"/>
        <v>40367</v>
      </c>
      <c r="L61" s="96">
        <f t="shared" si="18"/>
        <v>0</v>
      </c>
      <c r="M61" s="96">
        <f t="shared" ca="1" si="18"/>
        <v>204402</v>
      </c>
      <c r="N61" s="97">
        <f t="shared" si="18"/>
        <v>0</v>
      </c>
      <c r="O61" s="98">
        <f ca="1">J61-K61-M61-N61-L61</f>
        <v>193226.5</v>
      </c>
      <c r="P61" s="93"/>
      <c r="Q61" s="95">
        <f t="shared" si="18"/>
        <v>53481.5</v>
      </c>
      <c r="R61" s="96">
        <f t="shared" si="18"/>
        <v>5420</v>
      </c>
      <c r="S61" s="96">
        <f t="shared" si="18"/>
        <v>0</v>
      </c>
      <c r="T61" s="96">
        <f t="shared" si="18"/>
        <v>-44675</v>
      </c>
      <c r="U61" s="96">
        <f t="shared" si="18"/>
        <v>0</v>
      </c>
      <c r="V61" s="97">
        <f t="shared" si="18"/>
        <v>14226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184"/>
      <c r="C63" s="185"/>
      <c r="D63" s="44"/>
      <c r="E63" s="184" t="s">
        <v>136</v>
      </c>
      <c r="F63" s="44"/>
      <c r="G63" s="190">
        <f>'GM-WklyChnge'!D50</f>
        <v>-1095</v>
      </c>
    </row>
    <row r="64" spans="1:22" ht="6" customHeight="1" x14ac:dyDescent="0.2">
      <c r="C64" s="44"/>
      <c r="D64" s="44"/>
      <c r="E64" s="44"/>
      <c r="F64" s="44"/>
    </row>
    <row r="65" spans="1:6" x14ac:dyDescent="0.2">
      <c r="A65" s="176" t="s">
        <v>149</v>
      </c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</row>
    <row r="74" spans="1:6" x14ac:dyDescent="0.2">
      <c r="C74" s="44"/>
      <c r="D74" s="44"/>
      <c r="E74" s="44"/>
    </row>
    <row r="75" spans="1:6" x14ac:dyDescent="0.2">
      <c r="C75" s="44"/>
      <c r="D75" s="44"/>
      <c r="E75" s="44"/>
    </row>
    <row r="76" spans="1:6" x14ac:dyDescent="0.2">
      <c r="C76" s="44"/>
      <c r="D76" s="44"/>
      <c r="E76" s="44"/>
    </row>
    <row r="77" spans="1:6" x14ac:dyDescent="0.2">
      <c r="C77" s="44"/>
      <c r="D77" s="44"/>
      <c r="E77" s="44"/>
    </row>
    <row r="78" spans="1:6" x14ac:dyDescent="0.2">
      <c r="C78" s="44"/>
      <c r="D78" s="44"/>
      <c r="E78" s="44"/>
    </row>
    <row r="79" spans="1:6" hidden="1" x14ac:dyDescent="0.2">
      <c r="C79" s="44"/>
      <c r="D79" s="44"/>
      <c r="E79" s="44"/>
      <c r="F79" s="44"/>
    </row>
    <row r="80" spans="1:6" hidden="1" x14ac:dyDescent="0.2">
      <c r="A80" s="44"/>
    </row>
    <row r="81" spans="1:6" hidden="1" x14ac:dyDescent="0.2">
      <c r="A81" s="44"/>
    </row>
    <row r="82" spans="1:6" hidden="1" x14ac:dyDescent="0.2">
      <c r="A82" s="44"/>
    </row>
    <row r="83" spans="1:6" hidden="1" x14ac:dyDescent="0.2">
      <c r="A83" s="44"/>
    </row>
    <row r="84" spans="1:6" hidden="1" x14ac:dyDescent="0.2">
      <c r="A84" s="44"/>
    </row>
    <row r="85" spans="1:6" hidden="1" x14ac:dyDescent="0.2">
      <c r="A85" s="44"/>
    </row>
    <row r="86" spans="1:6" hidden="1" x14ac:dyDescent="0.2">
      <c r="C86" s="44"/>
      <c r="D86" s="44"/>
      <c r="E86" s="44"/>
      <c r="F86" s="44"/>
    </row>
    <row r="87" spans="1:6" hidden="1" x14ac:dyDescent="0.2">
      <c r="C87" s="44"/>
      <c r="D87" s="44"/>
      <c r="E87" s="44"/>
      <c r="F87" s="44"/>
    </row>
    <row r="88" spans="1:6" hidden="1" x14ac:dyDescent="0.2"/>
    <row r="89" spans="1:6" hidden="1" x14ac:dyDescent="0.2"/>
    <row r="90" spans="1:6" hidden="1" x14ac:dyDescent="0.2"/>
    <row r="91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4261.8130000000001</v>
      </c>
      <c r="AI21" s="44">
        <f>_xll.HPVAL($X21,$AE$2,AI$1,$AF$2,$X$3,$X$5)/1000</f>
        <v>3301.0277986743076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1866.8009999999999</v>
      </c>
      <c r="AI25" s="44">
        <f>_xll.HPVAL($X25,$AE$2,AI$1,$AF$2,$X$3,$X$5)/1000</f>
        <v>528.66443079317685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847.59400000000005</v>
      </c>
      <c r="AI30" s="44">
        <f>_xll.HPVAL($X30,$AE$2,AI$1,$AF$2,$X$3,$X$5)/1000</f>
        <v>544.83207227617459</v>
      </c>
    </row>
    <row r="31" spans="1:35" ht="12" customHeight="1" x14ac:dyDescent="0.2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24275.63559102721</v>
      </c>
      <c r="E47" s="66">
        <f>C47-D47</f>
        <v>-24275.63559102721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137542.68590738179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39">
        <f>SUM(C45:C53)</f>
        <v>708017.94050000003</v>
      </c>
      <c r="D55" s="140">
        <f>SUM(D45:D53)</f>
        <v>381864.57623787579</v>
      </c>
      <c r="E55" s="142">
        <f>SUM(E45:E53)</f>
        <v>326153.36426212412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708017.94050000003</v>
      </c>
      <c r="D59" s="96">
        <f>SUM(D55:D57)</f>
        <v>402464.57623787579</v>
      </c>
      <c r="E59" s="97">
        <f>SUM(E55:E57)</f>
        <v>305553.36426212412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6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6" x14ac:dyDescent="0.3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3.8" x14ac:dyDescent="0.25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8" x14ac:dyDescent="0.3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"/>
    <row r="6" spans="1:22" ht="12" customHeight="1" x14ac:dyDescent="0.2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-4723</v>
      </c>
      <c r="E22" s="42">
        <f>ROUND(_xll.HPVAL($A22,E$1,$A$2,F$1,$A$3,$A$4)/1000,0)</f>
        <v>5263</v>
      </c>
      <c r="F22" s="66">
        <f t="shared" ref="F22:F27" si="7">ROUND(D22-E22,0)</f>
        <v>-9986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31628</v>
      </c>
      <c r="U22" s="42">
        <f t="shared" ref="U22:U27" si="12">E22+I22+M22+Q22</f>
        <v>41614</v>
      </c>
      <c r="V22" s="66">
        <f t="shared" ref="V22:V27" si="13">ROUND(T22-U22,0)</f>
        <v>-9986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">
      <c r="A28" s="27"/>
      <c r="B28" s="75" t="s">
        <v>1</v>
      </c>
      <c r="C28" s="38"/>
      <c r="D28" s="139">
        <f>SUM(D22:D27)</f>
        <v>-6682</v>
      </c>
      <c r="E28" s="140">
        <f>SUM(E22:E27)</f>
        <v>17979</v>
      </c>
      <c r="F28" s="142">
        <f>SUM(F22:F27)</f>
        <v>-24661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131665</v>
      </c>
      <c r="U28" s="140">
        <f>SUM(U22:U27)</f>
        <v>156326</v>
      </c>
      <c r="V28" s="142">
        <f>SUM(V22:V27)</f>
        <v>-24661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71</v>
      </c>
      <c r="E31" s="42">
        <f>ROUND(_xll.HPVAL($A31,E$1,$A$2,F$1,$A$3,$A$4)/1000,0)</f>
        <v>10524</v>
      </c>
      <c r="F31" s="66">
        <f>ROUND(D31-E31,0)</f>
        <v>-10453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30701</v>
      </c>
      <c r="U31" s="42">
        <f t="shared" si="14"/>
        <v>41154</v>
      </c>
      <c r="V31" s="66">
        <f>ROUND(T31-U31,0)</f>
        <v>-10453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">
      <c r="B34" s="75" t="s">
        <v>86</v>
      </c>
      <c r="C34" s="38"/>
      <c r="D34" s="139">
        <f>SUM(D30:D33)</f>
        <v>-10469</v>
      </c>
      <c r="E34" s="140">
        <f>SUM(E30:E33)</f>
        <v>-31661</v>
      </c>
      <c r="F34" s="142">
        <f>SUM(F30:F33)</f>
        <v>21192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-45428</v>
      </c>
      <c r="U34" s="140">
        <f>SUM(U30:U33)</f>
        <v>-66620</v>
      </c>
      <c r="V34" s="142">
        <f>SUM(V30:V33)</f>
        <v>21192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topLeftCell="A46" workbookViewId="0">
      <selection activeCell="A51" sqref="A51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3.8" x14ac:dyDescent="0.25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8" x14ac:dyDescent="0.3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GrossMargin!D10-[2]GrossMargin!D10</f>
        <v>17134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17134</v>
      </c>
      <c r="I9" s="59"/>
      <c r="J9" s="60">
        <f>GrossMargin!K10-[2]GrossMargin!K10</f>
        <v>0</v>
      </c>
      <c r="K9" s="84">
        <f>SUM(H9:J9)</f>
        <v>17134</v>
      </c>
    </row>
    <row r="10" spans="1:17" ht="12" customHeight="1" x14ac:dyDescent="0.2">
      <c r="A10" s="29" t="s">
        <v>272</v>
      </c>
      <c r="C10" s="41">
        <f>GrossMargin!D11-[2]GrossMargin!D11</f>
        <v>844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844</v>
      </c>
      <c r="I10" s="41"/>
      <c r="J10" s="42">
        <f>GrossMargin!K11-[2]GrossMargin!K11</f>
        <v>0</v>
      </c>
      <c r="K10" s="66">
        <f>SUM(H10:J10)</f>
        <v>844</v>
      </c>
    </row>
    <row r="11" spans="1:17" ht="12" customHeight="1" x14ac:dyDescent="0.2">
      <c r="A11" s="29" t="s">
        <v>106</v>
      </c>
      <c r="C11" s="41">
        <f>GrossMargin!D12-[2]GrossMargin!D12</f>
        <v>50233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ref="H11:H17" si="0">SUM(C11:G11)</f>
        <v>50233</v>
      </c>
      <c r="I11" s="41"/>
      <c r="J11" s="42">
        <f>GrossMargin!K12-[2]GrossMargin!K12</f>
        <v>0</v>
      </c>
      <c r="K11" s="66">
        <f t="shared" ref="K11:K17" si="1">SUM(H11:J11)</f>
        <v>50233</v>
      </c>
    </row>
    <row r="12" spans="1:17" ht="12" customHeight="1" x14ac:dyDescent="0.2">
      <c r="A12" s="29" t="s">
        <v>132</v>
      </c>
      <c r="C12" s="41">
        <f>GrossMargin!D13-[2]GrossMargin!D13</f>
        <v>3457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3457</v>
      </c>
      <c r="I12" s="41"/>
      <c r="J12" s="42">
        <f>GrossMargin!K13-[2]GrossMargin!K13</f>
        <v>0</v>
      </c>
      <c r="K12" s="66">
        <f t="shared" si="1"/>
        <v>3457</v>
      </c>
    </row>
    <row r="13" spans="1:17" ht="12" customHeight="1" x14ac:dyDescent="0.2">
      <c r="A13" s="29" t="s">
        <v>133</v>
      </c>
      <c r="C13" s="41">
        <f>GrossMargin!D14-[2]GrossMargin!D14</f>
        <v>-609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-609</v>
      </c>
      <c r="I13" s="41"/>
      <c r="J13" s="42">
        <f>GrossMargin!K14-[2]GrossMargin!K14</f>
        <v>0</v>
      </c>
      <c r="K13" s="66">
        <f t="shared" si="1"/>
        <v>-609</v>
      </c>
    </row>
    <row r="14" spans="1:17" ht="12" customHeight="1" x14ac:dyDescent="0.2">
      <c r="A14" s="29" t="s">
        <v>251</v>
      </c>
      <c r="C14" s="41">
        <f>GrossMargin!D15-[2]GrossMargin!D15</f>
        <v>-1719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-1719</v>
      </c>
      <c r="I14" s="41"/>
      <c r="J14" s="42">
        <f>GrossMargin!K15-[2]GrossMargin!K15</f>
        <v>0</v>
      </c>
      <c r="K14" s="66">
        <f t="shared" si="1"/>
        <v>-1719</v>
      </c>
    </row>
    <row r="15" spans="1:17" ht="12" customHeight="1" x14ac:dyDescent="0.2">
      <c r="A15" s="29" t="s">
        <v>275</v>
      </c>
      <c r="C15" s="41">
        <f>GrossMargin!D16-[2]GrossMargin!D16</f>
        <v>-16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-16</v>
      </c>
      <c r="I15" s="41"/>
      <c r="J15" s="42">
        <f>GrossMargin!K16-[2]GrossMargin!K16</f>
        <v>0</v>
      </c>
      <c r="K15" s="66">
        <f t="shared" si="1"/>
        <v>-16</v>
      </c>
    </row>
    <row r="16" spans="1:17" ht="12" customHeight="1" x14ac:dyDescent="0.2">
      <c r="A16" s="29" t="s">
        <v>155</v>
      </c>
      <c r="C16" s="41">
        <f>GrossMargin!D17-[2]GrossMargin!D17</f>
        <v>-120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-120</v>
      </c>
      <c r="I16" s="41"/>
      <c r="J16" s="42">
        <f>GrossMargin!K17-[2]GrossMargin!K17</f>
        <v>0</v>
      </c>
      <c r="K16" s="66">
        <f t="shared" si="1"/>
        <v>-120</v>
      </c>
    </row>
    <row r="17" spans="1:11" ht="12" customHeight="1" x14ac:dyDescent="0.2">
      <c r="A17" s="29" t="s">
        <v>107</v>
      </c>
      <c r="C17" s="41">
        <f>GrossMargin!D18-[2]GrossMargin!D18</f>
        <v>411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411</v>
      </c>
      <c r="I17" s="41"/>
      <c r="J17" s="42">
        <f>GrossMargin!K18-[2]GrossMargin!K18</f>
        <v>0</v>
      </c>
      <c r="K17" s="66">
        <f t="shared" si="1"/>
        <v>411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H19" si="2">SUM(C9:C17)</f>
        <v>69615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69615</v>
      </c>
      <c r="I19" s="99"/>
      <c r="J19" s="100">
        <f>SUM(J9:J17)</f>
        <v>0</v>
      </c>
      <c r="K19" s="101">
        <f>SUM(K9:K17)</f>
        <v>69615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29" si="3">SUM(C21:G21)</f>
        <v>0</v>
      </c>
      <c r="I21" s="41"/>
      <c r="J21" s="42">
        <f>GrossMargin!K22-[2]GrossMargin!K22</f>
        <v>0</v>
      </c>
      <c r="K21" s="66">
        <f t="shared" ref="K21:K29" si="4">SUM(H21:J21)</f>
        <v>0</v>
      </c>
    </row>
    <row r="22" spans="1:11" ht="12" customHeight="1" x14ac:dyDescent="0.2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">
      <c r="A23" s="29" t="s">
        <v>229</v>
      </c>
      <c r="C23" s="41">
        <f>GrossMargin!D24-[2]GrossMargin!D24</f>
        <v>-117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-155</v>
      </c>
      <c r="I23" s="41"/>
      <c r="J23" s="42">
        <f>GrossMargin!K24-[2]GrossMargin!K24</f>
        <v>0</v>
      </c>
      <c r="K23" s="66">
        <f t="shared" si="4"/>
        <v>-155</v>
      </c>
    </row>
    <row r="24" spans="1:11" ht="12" customHeight="1" x14ac:dyDescent="0.2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">
      <c r="A25" s="29" t="s">
        <v>263</v>
      </c>
      <c r="C25" s="41">
        <f>GrossMargin!D26-[2]GrossMargin!D26</f>
        <v>0</v>
      </c>
      <c r="D25" s="42">
        <f>GrossMargin!E26-[2]GrossMargin!E26</f>
        <v>13</v>
      </c>
      <c r="E25" s="42">
        <f>GrossMargin!F26-[2]GrossMargin!F26</f>
        <v>78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91</v>
      </c>
      <c r="I25" s="41"/>
      <c r="J25" s="42">
        <f>GrossMargin!K26-[2]GrossMargin!K26</f>
        <v>0</v>
      </c>
      <c r="K25" s="66">
        <f t="shared" si="4"/>
        <v>91</v>
      </c>
    </row>
    <row r="26" spans="1:11" ht="12" customHeight="1" x14ac:dyDescent="0.2">
      <c r="A26" s="29" t="s">
        <v>252</v>
      </c>
      <c r="C26" s="41">
        <f>GrossMargin!D27-[2]GrossMargin!D27</f>
        <v>230</v>
      </c>
      <c r="D26" s="42">
        <f>GrossMargin!E27-[2]GrossMargin!E27</f>
        <v>-809</v>
      </c>
      <c r="E26" s="42">
        <f>GrossMargin!F27-[2]GrossMargin!F27</f>
        <v>0</v>
      </c>
      <c r="F26" s="42">
        <f>GrossMargin!H27-[2]GrossMargin!H27</f>
        <v>920</v>
      </c>
      <c r="G26" s="42">
        <v>0</v>
      </c>
      <c r="H26" s="64">
        <f t="shared" si="3"/>
        <v>341</v>
      </c>
      <c r="I26" s="41"/>
      <c r="J26" s="42">
        <f>GrossMargin!K27-[2]GrossMargin!K27</f>
        <v>0</v>
      </c>
      <c r="K26" s="66">
        <f t="shared" si="4"/>
        <v>341</v>
      </c>
    </row>
    <row r="27" spans="1:11" ht="12" customHeight="1" x14ac:dyDescent="0.2">
      <c r="A27" s="29" t="s">
        <v>248</v>
      </c>
      <c r="C27" s="41">
        <f>GrossMargin!D28-[2]GrossMargin!D28</f>
        <v>410</v>
      </c>
      <c r="D27" s="42">
        <f>GrossMargin!E28-[2]GrossMargin!E28</f>
        <v>0</v>
      </c>
      <c r="E27" s="42">
        <f>GrossMargin!F28-[2]GrossMargin!F28</f>
        <v>224</v>
      </c>
      <c r="F27" s="42">
        <f>GrossMargin!H28-[2]GrossMargin!H28</f>
        <v>959</v>
      </c>
      <c r="G27" s="42">
        <v>0</v>
      </c>
      <c r="H27" s="64">
        <f t="shared" si="3"/>
        <v>1593</v>
      </c>
      <c r="I27" s="41"/>
      <c r="J27" s="42">
        <f>GrossMargin!K28-[2]GrossMargin!K28</f>
        <v>0</v>
      </c>
      <c r="K27" s="66">
        <f t="shared" si="4"/>
        <v>1593</v>
      </c>
    </row>
    <row r="28" spans="1:11" ht="12" customHeight="1" x14ac:dyDescent="0.2">
      <c r="A28" s="29" t="s">
        <v>156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/>
      <c r="J28" s="42">
        <f>GrossMargin!K29-[2]GrossMargin!K29</f>
        <v>0</v>
      </c>
      <c r="K28" s="66">
        <f t="shared" si="4"/>
        <v>0</v>
      </c>
    </row>
    <row r="29" spans="1:11" ht="12" customHeight="1" x14ac:dyDescent="0.2">
      <c r="A29" s="29" t="s">
        <v>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64">
        <f t="shared" si="3"/>
        <v>0</v>
      </c>
      <c r="I29" s="41"/>
      <c r="J29" s="42">
        <f>GrossMargin!K30-[2]GrossMargin!K30</f>
        <v>0</v>
      </c>
      <c r="K29" s="66">
        <f t="shared" si="4"/>
        <v>0</v>
      </c>
    </row>
    <row r="30" spans="1:11" ht="3" customHeight="1" x14ac:dyDescent="0.2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3">
      <c r="A31" s="106" t="s">
        <v>1</v>
      </c>
      <c r="B31" s="91"/>
      <c r="C31" s="99">
        <f t="shared" ref="C31:K31" si="5">SUM(C21:C29)</f>
        <v>523</v>
      </c>
      <c r="D31" s="100">
        <f t="shared" si="5"/>
        <v>-834</v>
      </c>
      <c r="E31" s="100">
        <f t="shared" si="5"/>
        <v>302</v>
      </c>
      <c r="F31" s="100">
        <f t="shared" si="5"/>
        <v>1879</v>
      </c>
      <c r="G31" s="100">
        <f t="shared" si="5"/>
        <v>0</v>
      </c>
      <c r="H31" s="99">
        <f t="shared" si="5"/>
        <v>1870</v>
      </c>
      <c r="I31" s="99"/>
      <c r="J31" s="100">
        <f t="shared" si="5"/>
        <v>0</v>
      </c>
      <c r="K31" s="101">
        <f t="shared" si="5"/>
        <v>1870</v>
      </c>
    </row>
    <row r="32" spans="1:11" ht="3" customHeight="1" x14ac:dyDescent="0.2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3" customHeight="1" x14ac:dyDescent="0.2">
      <c r="A33" s="29"/>
      <c r="C33" s="104"/>
      <c r="D33" s="81"/>
      <c r="E33" s="81"/>
      <c r="F33" s="81"/>
      <c r="G33" s="81"/>
      <c r="H33" s="105"/>
      <c r="I33" s="104"/>
      <c r="J33" s="81"/>
      <c r="K33" s="133"/>
    </row>
    <row r="34" spans="1:11" ht="12" customHeight="1" x14ac:dyDescent="0.2">
      <c r="A34" s="29" t="s">
        <v>9</v>
      </c>
      <c r="C34" s="41">
        <f>GrossMargin!D35-[2]GrossMargin!D35</f>
        <v>0</v>
      </c>
      <c r="D34" s="42">
        <f>GrossMargin!E35-[2]GrossMargin!E35</f>
        <v>1246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64">
        <f>SUM(C34:G34)</f>
        <v>1246</v>
      </c>
      <c r="I34" s="41"/>
      <c r="J34" s="42">
        <f>GrossMargin!K35-[2]GrossMargin!K35</f>
        <v>0</v>
      </c>
      <c r="K34" s="66">
        <f>SUM(H34:J34)</f>
        <v>1246</v>
      </c>
    </row>
    <row r="35" spans="1:11" ht="12" customHeight="1" x14ac:dyDescent="0.2">
      <c r="A35" s="29" t="s">
        <v>267</v>
      </c>
      <c r="C35" s="41">
        <f>GrossMargin!D36-[2]GrossMargin!D36</f>
        <v>0</v>
      </c>
      <c r="D35" s="42">
        <f>GrossMargin!E36-[2]GrossMargin!E36</f>
        <v>-347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-347</v>
      </c>
      <c r="I35" s="41"/>
      <c r="J35" s="42">
        <f>GrossMargin!K36-[2]GrossMargin!K36</f>
        <v>0</v>
      </c>
      <c r="K35" s="66">
        <f>SUM(H35:J35)</f>
        <v>-347</v>
      </c>
    </row>
    <row r="36" spans="1:11" ht="12" hidden="1" customHeight="1" x14ac:dyDescent="0.2">
      <c r="A36" s="45" t="s">
        <v>180</v>
      </c>
      <c r="C36" s="41">
        <f>GrossMargin!D37-[2]GrossMargin!D37</f>
        <v>0</v>
      </c>
      <c r="D36" s="42">
        <f>GrossMargin!E37-[2]GrossMargin!E37</f>
        <v>186</v>
      </c>
      <c r="E36" s="42">
        <f>GrossMargin!F37-[2]GrossMargin!F37</f>
        <v>-209</v>
      </c>
      <c r="F36" s="42">
        <f>GrossMargin!G37-[2]GrossMargin!G37</f>
        <v>0</v>
      </c>
      <c r="G36" s="42">
        <f>GrossMargin!H37-[2]GrossMargin!H37</f>
        <v>0</v>
      </c>
      <c r="H36" s="64">
        <f>SUM(C36:G36)</f>
        <v>-23</v>
      </c>
      <c r="I36" s="41"/>
      <c r="J36" s="42">
        <f>GrossMargin!K37-[2]GrossMargin!K37</f>
        <v>0</v>
      </c>
      <c r="K36" s="66">
        <f>SUM(H36:J36)</f>
        <v>-23</v>
      </c>
    </row>
    <row r="37" spans="1:11" ht="12" hidden="1" customHeight="1" x14ac:dyDescent="0.2">
      <c r="A37" s="45" t="s">
        <v>154</v>
      </c>
      <c r="C37" s="41">
        <f>GrossMargin!D38-[2]GrossMargin!D38</f>
        <v>0</v>
      </c>
      <c r="D37" s="42">
        <f>GrossMargin!E38-[2]GrossMargin!E38</f>
        <v>-1346</v>
      </c>
      <c r="E37" s="42">
        <f>GrossMargin!F38-[2]GrossMargin!F38</f>
        <v>873</v>
      </c>
      <c r="F37" s="42">
        <f>GrossMargin!G38-[2]GrossMargin!G38</f>
        <v>0</v>
      </c>
      <c r="G37" s="42">
        <f>GrossMargin!H38-[2]GrossMargin!H38</f>
        <v>0</v>
      </c>
      <c r="H37" s="64">
        <f>SUM(C37:G37)</f>
        <v>-473</v>
      </c>
      <c r="I37" s="41"/>
      <c r="J37" s="42">
        <f>GrossMargin!K38-[2]GrossMargin!K38</f>
        <v>0</v>
      </c>
      <c r="K37" s="66">
        <f>SUM(H37:J37)</f>
        <v>-473</v>
      </c>
    </row>
    <row r="38" spans="1:11" x14ac:dyDescent="0.2">
      <c r="A38" s="29" t="s">
        <v>154</v>
      </c>
      <c r="B38" s="29"/>
      <c r="C38" s="41">
        <f>GrossMargin!D39-[2]GrossMargin!D39</f>
        <v>0</v>
      </c>
      <c r="D38" s="42">
        <f>GrossMargin!E39-[2]GrossMargin!E39</f>
        <v>-1160</v>
      </c>
      <c r="E38" s="42">
        <f>GrossMargin!F39-[2]GrossMargin!F39</f>
        <v>664</v>
      </c>
      <c r="F38" s="42">
        <f>GrossMargin!G39-[2]GrossMargin!G39</f>
        <v>0</v>
      </c>
      <c r="G38" s="42">
        <f>GrossMargin!H39-[2]GrossMargin!H39</f>
        <v>0</v>
      </c>
      <c r="H38" s="64">
        <f>SUM(C38:G38)</f>
        <v>-496</v>
      </c>
      <c r="I38" s="41"/>
      <c r="J38" s="42">
        <f>GrossMargin!K39-[2]GrossMargin!K39</f>
        <v>0</v>
      </c>
      <c r="K38" s="66">
        <f>SUM(H38:J38)</f>
        <v>-496</v>
      </c>
    </row>
    <row r="39" spans="1:11" ht="3" customHeight="1" x14ac:dyDescent="0.2">
      <c r="A39" s="45"/>
      <c r="C39" s="46"/>
      <c r="D39" s="47"/>
      <c r="E39" s="47"/>
      <c r="F39" s="47"/>
      <c r="G39" s="47"/>
      <c r="H39" s="46"/>
      <c r="I39" s="46"/>
      <c r="J39" s="47"/>
      <c r="K39" s="132"/>
    </row>
    <row r="40" spans="1:11" s="90" customFormat="1" ht="12" customHeight="1" x14ac:dyDescent="0.3">
      <c r="A40" s="106" t="s">
        <v>87</v>
      </c>
      <c r="B40" s="91"/>
      <c r="C40" s="99">
        <f t="shared" ref="C40:K40" si="6">SUM(C34:C37)</f>
        <v>0</v>
      </c>
      <c r="D40" s="100">
        <f t="shared" si="6"/>
        <v>-261</v>
      </c>
      <c r="E40" s="100">
        <f t="shared" si="6"/>
        <v>664</v>
      </c>
      <c r="F40" s="100">
        <f t="shared" si="6"/>
        <v>0</v>
      </c>
      <c r="G40" s="100">
        <f t="shared" si="6"/>
        <v>0</v>
      </c>
      <c r="H40" s="99">
        <f t="shared" si="6"/>
        <v>403</v>
      </c>
      <c r="I40" s="99"/>
      <c r="J40" s="100">
        <f t="shared" si="6"/>
        <v>0</v>
      </c>
      <c r="K40" s="101">
        <f t="shared" si="6"/>
        <v>403</v>
      </c>
    </row>
    <row r="41" spans="1:11" ht="3" customHeight="1" x14ac:dyDescent="0.2">
      <c r="A41" s="29"/>
      <c r="C41" s="104"/>
      <c r="D41" s="81"/>
      <c r="E41" s="81"/>
      <c r="F41" s="81"/>
      <c r="G41" s="81"/>
      <c r="H41" s="105"/>
      <c r="I41" s="104"/>
      <c r="J41" s="81"/>
      <c r="K41" s="133"/>
    </row>
    <row r="42" spans="1:11" ht="12" customHeight="1" x14ac:dyDescent="0.2">
      <c r="A42" s="29" t="s">
        <v>8</v>
      </c>
      <c r="C42" s="41">
        <f>GrossMargin!D43-[2]GrossMargin!D43</f>
        <v>0</v>
      </c>
      <c r="D42" s="42">
        <f>GrossMargin!E43-[2]GrossMargin!E43</f>
        <v>0</v>
      </c>
      <c r="E42" s="42">
        <f>GrossMargin!F43-[2]GrossMargin!F43</f>
        <v>0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0</v>
      </c>
      <c r="I42" s="41"/>
      <c r="J42" s="42">
        <f>GrossMargin!K43-[2]GrossMargin!K43</f>
        <v>0</v>
      </c>
      <c r="K42" s="66">
        <f>SUM(H42:J42)</f>
        <v>0</v>
      </c>
    </row>
    <row r="43" spans="1:11" ht="3" customHeight="1" x14ac:dyDescent="0.2">
      <c r="A43" s="29"/>
      <c r="C43" s="46"/>
      <c r="D43" s="47"/>
      <c r="E43" s="47"/>
      <c r="F43" s="47"/>
      <c r="G43" s="47"/>
      <c r="H43" s="46"/>
      <c r="I43" s="46"/>
      <c r="J43" s="47"/>
      <c r="K43" s="132"/>
    </row>
    <row r="44" spans="1:11" ht="12" customHeight="1" x14ac:dyDescent="0.2">
      <c r="A44" s="29" t="s">
        <v>7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GrossMargin!G45-[2]GrossMargin!G45</f>
        <v>0</v>
      </c>
      <c r="G44" s="42">
        <f>GrossMargin!H45-[2]GrossMargin!H45</f>
        <v>0</v>
      </c>
      <c r="H44" s="64">
        <f>SUM(C44:G44)</f>
        <v>0</v>
      </c>
      <c r="I44" s="41"/>
      <c r="J44" s="42">
        <f>GrossMargin!K45-[2]GrossMargin!K45</f>
        <v>0</v>
      </c>
      <c r="K44" s="66">
        <f>SUM(H44:J44)</f>
        <v>0</v>
      </c>
    </row>
    <row r="45" spans="1:11" ht="3" customHeight="1" x14ac:dyDescent="0.2">
      <c r="A45" s="76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">
      <c r="A46" s="29" t="s">
        <v>18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-140</v>
      </c>
      <c r="F46" s="42">
        <f>GrossMargin!G47-[2]GrossMargin!G47</f>
        <v>0</v>
      </c>
      <c r="G46" s="42">
        <f>GrossMargin!H47-[2]GrossMargin!H47</f>
        <v>0</v>
      </c>
      <c r="H46" s="64">
        <f>SUM(C46:G46)</f>
        <v>-140</v>
      </c>
      <c r="I46" s="41"/>
      <c r="J46" s="42">
        <f>GrossMargin!K47-[2]GrossMargin!K47</f>
        <v>0</v>
      </c>
      <c r="K46" s="66">
        <f>SUM(H46:J46)</f>
        <v>-140</v>
      </c>
    </row>
    <row r="47" spans="1:11" ht="3" customHeight="1" x14ac:dyDescent="0.2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">
      <c r="A48" s="29" t="s">
        <v>19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GrossMargin!G49-[2]GrossMargin!G49</f>
        <v>0</v>
      </c>
      <c r="G48" s="42">
        <f>GrossMargin!H49-[2]GrossMargin!H49</f>
        <v>0</v>
      </c>
      <c r="H48" s="64">
        <f>SUM(C48:G48)</f>
        <v>0</v>
      </c>
      <c r="I48" s="41"/>
      <c r="J48" s="42">
        <f>GrossMargin!K49-[2]GrossMargin!K49</f>
        <v>0</v>
      </c>
      <c r="K48" s="66">
        <f>SUM(H48:J48)</f>
        <v>0</v>
      </c>
    </row>
    <row r="49" spans="1:14" ht="3" customHeight="1" x14ac:dyDescent="0.2">
      <c r="A49" s="29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3">
      <c r="A50" s="75" t="s">
        <v>14</v>
      </c>
      <c r="C50" s="95">
        <f t="shared" ref="C50:H50" si="7">SUM(C40:C48)+C19+C31</f>
        <v>70138</v>
      </c>
      <c r="D50" s="96">
        <f t="shared" si="7"/>
        <v>-1095</v>
      </c>
      <c r="E50" s="96">
        <f t="shared" si="7"/>
        <v>826</v>
      </c>
      <c r="F50" s="96">
        <f t="shared" si="7"/>
        <v>1879</v>
      </c>
      <c r="G50" s="96">
        <f t="shared" si="7"/>
        <v>0</v>
      </c>
      <c r="H50" s="95">
        <f t="shared" si="7"/>
        <v>71748</v>
      </c>
      <c r="I50" s="95"/>
      <c r="J50" s="96">
        <f>SUM(J40:J48)+J19+J31</f>
        <v>0</v>
      </c>
      <c r="K50" s="97">
        <f>SUM(K40:K48)+K19+K31</f>
        <v>71748</v>
      </c>
    </row>
    <row r="51" spans="1:14" ht="3" customHeight="1" x14ac:dyDescent="0.2">
      <c r="A51" s="48"/>
      <c r="C51" s="49"/>
      <c r="D51" s="50"/>
      <c r="E51" s="50"/>
      <c r="F51" s="50"/>
      <c r="G51" s="50"/>
      <c r="H51" s="49"/>
      <c r="I51" s="49"/>
      <c r="J51" s="50"/>
      <c r="K51" s="51"/>
    </row>
    <row r="52" spans="1:14" x14ac:dyDescent="0.2">
      <c r="A52" s="27" t="s">
        <v>141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4" hidden="1" x14ac:dyDescent="0.2">
      <c r="C53" s="44"/>
      <c r="D53" s="74"/>
      <c r="E53" s="138" t="s">
        <v>76</v>
      </c>
      <c r="F53" s="40"/>
      <c r="G53" s="164" t="s">
        <v>269</v>
      </c>
      <c r="H53" s="164"/>
      <c r="I53" s="136"/>
      <c r="J53" s="42"/>
      <c r="K53" s="44"/>
      <c r="L53" s="38"/>
      <c r="M53" s="186"/>
      <c r="N53" s="38"/>
    </row>
    <row r="54" spans="1:14" hidden="1" x14ac:dyDescent="0.2">
      <c r="C54" s="44" t="s">
        <v>300</v>
      </c>
      <c r="D54" s="74"/>
      <c r="E54" s="138" t="s">
        <v>111</v>
      </c>
      <c r="F54" s="40"/>
      <c r="G54" s="164"/>
      <c r="H54" s="187"/>
      <c r="I54" s="136"/>
      <c r="J54" s="42"/>
      <c r="K54" s="44"/>
      <c r="L54" s="38"/>
      <c r="M54" s="186"/>
      <c r="N54" s="38"/>
    </row>
    <row r="55" spans="1:14" hidden="1" x14ac:dyDescent="0.2">
      <c r="C55" s="44" t="s">
        <v>301</v>
      </c>
      <c r="D55" s="74"/>
      <c r="E55" s="138" t="s">
        <v>75</v>
      </c>
      <c r="F55" s="191"/>
      <c r="G55" s="164" t="s">
        <v>53</v>
      </c>
      <c r="H55" s="187"/>
      <c r="I55" s="136"/>
      <c r="J55" s="42"/>
      <c r="K55" s="44"/>
      <c r="L55" s="38"/>
      <c r="M55" s="186"/>
      <c r="N55" s="38"/>
    </row>
    <row r="56" spans="1:14" hidden="1" x14ac:dyDescent="0.2">
      <c r="D56" s="39"/>
      <c r="E56" s="138" t="s">
        <v>77</v>
      </c>
      <c r="F56" s="40"/>
      <c r="G56" s="187"/>
      <c r="H56" s="187"/>
      <c r="I56" s="136"/>
      <c r="J56" s="38"/>
      <c r="L56" s="38"/>
      <c r="M56" s="186"/>
      <c r="N56" s="38"/>
    </row>
    <row r="57" spans="1:14" ht="4.5" hidden="1" customHeight="1" x14ac:dyDescent="0.2">
      <c r="D57" s="52"/>
      <c r="E57" s="54"/>
      <c r="F57" s="53"/>
      <c r="G57" s="53"/>
      <c r="H57" s="53"/>
      <c r="I57" s="51"/>
      <c r="J57" s="38"/>
      <c r="L57" s="38"/>
      <c r="M57" s="186"/>
      <c r="N57" s="38"/>
    </row>
    <row r="58" spans="1:14" ht="10.8" hidden="1" thickBot="1" x14ac:dyDescent="0.25">
      <c r="I58" s="137">
        <f>SUM(I53:I57)</f>
        <v>0</v>
      </c>
      <c r="J58" s="135" t="str">
        <f>IF(I58=I50,"","error")</f>
        <v/>
      </c>
      <c r="L58" s="38"/>
      <c r="M58" s="38" t="s">
        <v>299</v>
      </c>
      <c r="N58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opLeftCell="A38" workbookViewId="0">
      <selection activeCell="A51" sqref="A51"/>
    </sheetView>
  </sheetViews>
  <sheetFormatPr defaultColWidth="9.109375" defaultRowHeight="10.199999999999999" x14ac:dyDescent="0.2"/>
  <cols>
    <col min="1" max="1" width="16.88671875" style="25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17" width="9.6640625" style="27" customWidth="1"/>
    <col min="18" max="21" width="9.6640625" style="27" hidden="1" customWidth="1"/>
    <col min="22" max="32" width="0" style="27" hidden="1" customWidth="1"/>
    <col min="33" max="16384" width="9.109375" style="27"/>
  </cols>
  <sheetData>
    <row r="1" spans="1:20" ht="12.75" hidden="1" customHeight="1" x14ac:dyDescent="0.2">
      <c r="A1" s="25" t="s">
        <v>102</v>
      </c>
    </row>
    <row r="2" spans="1:20" ht="15.6" x14ac:dyDescent="0.3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3.8" x14ac:dyDescent="0.25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8" x14ac:dyDescent="0.3">
      <c r="A4" s="25" t="s">
        <v>47</v>
      </c>
      <c r="B4" s="319" t="str">
        <f>'Old Mgmt Summary'!A3</f>
        <v>Results based on Activity through June 8,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">
      <c r="B5" s="38"/>
    </row>
    <row r="6" spans="1:20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">
      <c r="A10" s="25" t="s">
        <v>231</v>
      </c>
      <c r="B10" s="29" t="s">
        <v>3</v>
      </c>
      <c r="D10" s="59">
        <v>206743</v>
      </c>
      <c r="E10" s="60"/>
      <c r="F10" s="60"/>
      <c r="G10" s="60"/>
      <c r="H10" s="60"/>
      <c r="I10" s="60"/>
      <c r="J10" s="103">
        <f>SUM(D10:I10)</f>
        <v>206743</v>
      </c>
      <c r="K10" s="59"/>
      <c r="L10" s="60"/>
      <c r="M10" s="60">
        <f t="shared" ref="M10:M18" si="0">SUM(J10:L10)</f>
        <v>206743</v>
      </c>
      <c r="N10" s="60">
        <f>ROUND(_xll.HPVAL($A10,$A$1,$A$2,$A$3,$A$4,$A$6)/1000,0)</f>
        <v>41497</v>
      </c>
      <c r="O10" s="82">
        <f>M10-N10</f>
        <v>165246</v>
      </c>
      <c r="R10" s="73">
        <f>N10-Expenses!E9-'CapChrg-AllocExp'!E10</f>
        <v>38285</v>
      </c>
      <c r="S10" s="73">
        <f>J10+K10-Expenses!D9-'CapChrg-AllocExp'!D10</f>
        <v>201556</v>
      </c>
      <c r="T10" s="73">
        <f>R10-S10</f>
        <v>-163271</v>
      </c>
    </row>
    <row r="11" spans="1:20" ht="12" customHeight="1" x14ac:dyDescent="0.2">
      <c r="A11" s="25" t="s">
        <v>42</v>
      </c>
      <c r="B11" s="29" t="s">
        <v>272</v>
      </c>
      <c r="D11" s="41">
        <v>46648</v>
      </c>
      <c r="E11" s="42"/>
      <c r="F11" s="42"/>
      <c r="G11" s="42"/>
      <c r="H11" s="42"/>
      <c r="I11" s="42"/>
      <c r="J11" s="64">
        <f>SUM(D11:I11)</f>
        <v>46648</v>
      </c>
      <c r="K11" s="41"/>
      <c r="L11" s="42"/>
      <c r="M11" s="42">
        <f>SUM(J11:L11)</f>
        <v>46648</v>
      </c>
      <c r="N11" s="42">
        <f>ROUND(_xll.HPVAL($A11,$A$1,$A$2,$A$3,$A$4,$A$6)/1000,0)</f>
        <v>7570</v>
      </c>
      <c r="O11" s="83">
        <f>M11-N11</f>
        <v>39078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">
      <c r="A12" s="25" t="s">
        <v>105</v>
      </c>
      <c r="B12" s="29" t="s">
        <v>106</v>
      </c>
      <c r="D12" s="41">
        <v>138753</v>
      </c>
      <c r="E12" s="42"/>
      <c r="F12" s="42"/>
      <c r="G12" s="42"/>
      <c r="H12" s="42"/>
      <c r="I12" s="42"/>
      <c r="J12" s="64">
        <f t="shared" ref="J12:J18" si="1">SUM(D12:I12)</f>
        <v>138753</v>
      </c>
      <c r="K12" s="41"/>
      <c r="L12" s="42"/>
      <c r="M12" s="42">
        <f t="shared" si="0"/>
        <v>138753</v>
      </c>
      <c r="N12" s="42">
        <f>ROUND(_xll.HPVAL($A12,$A$1,$A$2,$A$3,$A$4,$A$6)/1000,0)+Expenses!E56</f>
        <v>67236</v>
      </c>
      <c r="O12" s="83">
        <f t="shared" ref="O12:O18" si="2">M12-N12</f>
        <v>71517</v>
      </c>
      <c r="R12" s="44">
        <f>N12-Expenses!E11-'CapChrg-AllocExp'!E12</f>
        <v>53733</v>
      </c>
      <c r="S12" s="44">
        <f>J12+K12-Expenses!D11-'CapChrg-AllocExp'!D12</f>
        <v>131230</v>
      </c>
      <c r="T12" s="44">
        <f t="shared" ref="T12:T18" si="3">R12-S12</f>
        <v>-77497</v>
      </c>
    </row>
    <row r="13" spans="1:20" ht="12" customHeight="1" x14ac:dyDescent="0.2">
      <c r="A13" s="25" t="s">
        <v>27</v>
      </c>
      <c r="B13" s="29" t="s">
        <v>132</v>
      </c>
      <c r="D13" s="41">
        <v>27181</v>
      </c>
      <c r="E13" s="42"/>
      <c r="F13" s="42"/>
      <c r="G13" s="42"/>
      <c r="H13" s="42"/>
      <c r="I13" s="42"/>
      <c r="J13" s="64">
        <f>SUM(D13:I13)</f>
        <v>27181</v>
      </c>
      <c r="K13" s="41"/>
      <c r="L13" s="42"/>
      <c r="M13" s="42">
        <f t="shared" si="0"/>
        <v>27181</v>
      </c>
      <c r="N13" s="42">
        <f>ROUND((_xll.HPVAL($A13,$A$1,"other",$A$3,$A$4,$A$6)+_xll.HPVAL($A13,$A$1,"overview",$A$3,$A$4,$A$6))/1000,0)</f>
        <v>22402</v>
      </c>
      <c r="O13" s="83">
        <f t="shared" si="2"/>
        <v>4779</v>
      </c>
      <c r="R13" s="44">
        <f>N13-Expenses!E12-'CapChrg-AllocExp'!E13</f>
        <v>21747</v>
      </c>
      <c r="S13" s="44">
        <f>J13+K13-Expenses!D12-'CapChrg-AllocExp'!D13</f>
        <v>26118</v>
      </c>
      <c r="T13" s="44">
        <f t="shared" si="3"/>
        <v>-4371</v>
      </c>
    </row>
    <row r="14" spans="1:20" ht="12" customHeight="1" x14ac:dyDescent="0.2">
      <c r="A14" s="25" t="s">
        <v>134</v>
      </c>
      <c r="B14" s="29" t="s">
        <v>133</v>
      </c>
      <c r="D14" s="41">
        <f>1111+10329-1849</f>
        <v>9591</v>
      </c>
      <c r="E14" s="42"/>
      <c r="F14" s="42"/>
      <c r="G14" s="42"/>
      <c r="H14" s="42"/>
      <c r="I14" s="42"/>
      <c r="J14" s="64">
        <f>SUM(D14:I14)</f>
        <v>9591</v>
      </c>
      <c r="K14" s="41"/>
      <c r="L14" s="42"/>
      <c r="M14" s="42">
        <f>SUM(J14:L14)</f>
        <v>9591</v>
      </c>
      <c r="N14" s="42">
        <f>ROUND(_xll.HPVAL($A14,$A$1,$A$2,$A$3,$A$4,$A$6)/1000,0)-N13</f>
        <v>11447</v>
      </c>
      <c r="O14" s="83">
        <f>M14-N14</f>
        <v>-1856</v>
      </c>
      <c r="R14" s="44">
        <f>N14-Expenses!E13-'CapChrg-AllocExp'!E14</f>
        <v>10005</v>
      </c>
      <c r="S14" s="44">
        <f>J14+K14-Expenses!D13-'CapChrg-AllocExp'!D14</f>
        <v>8157</v>
      </c>
      <c r="T14" s="44">
        <f>R14-S14</f>
        <v>1848</v>
      </c>
    </row>
    <row r="15" spans="1:20" ht="12" customHeight="1" x14ac:dyDescent="0.2">
      <c r="A15" s="25" t="s">
        <v>74</v>
      </c>
      <c r="B15" s="29" t="s">
        <v>251</v>
      </c>
      <c r="D15" s="41">
        <f>15424-230</f>
        <v>15194</v>
      </c>
      <c r="E15" s="81"/>
      <c r="F15" s="81"/>
      <c r="G15" s="81"/>
      <c r="H15" s="42"/>
      <c r="I15" s="42"/>
      <c r="J15" s="64">
        <f>SUM(D15:I15)</f>
        <v>15194</v>
      </c>
      <c r="K15" s="41"/>
      <c r="L15" s="42"/>
      <c r="M15" s="42">
        <f t="shared" si="0"/>
        <v>15194</v>
      </c>
      <c r="N15" s="42">
        <v>11556</v>
      </c>
      <c r="O15" s="83">
        <f t="shared" si="2"/>
        <v>3638</v>
      </c>
      <c r="R15" s="44">
        <f>N15-Expenses!E14-'CapChrg-AllocExp'!E15</f>
        <v>9704</v>
      </c>
      <c r="S15" s="44">
        <f>J15+K15-Expenses!D14-'CapChrg-AllocExp'!D15</f>
        <v>14047</v>
      </c>
      <c r="T15" s="44">
        <f t="shared" si="3"/>
        <v>-4343</v>
      </c>
    </row>
    <row r="16" spans="1:20" ht="12" customHeight="1" x14ac:dyDescent="0.2">
      <c r="A16" s="25" t="s">
        <v>28</v>
      </c>
      <c r="B16" s="29" t="s">
        <v>275</v>
      </c>
      <c r="D16" s="41">
        <v>1086</v>
      </c>
      <c r="E16" s="42"/>
      <c r="F16" s="42"/>
      <c r="G16" s="42"/>
      <c r="H16" s="42"/>
      <c r="I16" s="42"/>
      <c r="J16" s="64">
        <f t="shared" si="1"/>
        <v>1086</v>
      </c>
      <c r="K16" s="41"/>
      <c r="L16" s="42"/>
      <c r="M16" s="42">
        <f t="shared" si="0"/>
        <v>1086</v>
      </c>
      <c r="N16" s="42">
        <f>ROUND(_xll.HPVAL($A16,$A$1,$A$2,$A$3,$A$4,$A$6)/1000,0)-1212-5000</f>
        <v>6535</v>
      </c>
      <c r="O16" s="83">
        <f t="shared" si="2"/>
        <v>-5449</v>
      </c>
      <c r="R16" s="44">
        <f>N16-Expenses!E15-'CapChrg-AllocExp'!E16</f>
        <v>5311</v>
      </c>
      <c r="S16" s="44">
        <f>J16+K16-Expenses!D15-'CapChrg-AllocExp'!D16</f>
        <v>-138</v>
      </c>
      <c r="T16" s="44">
        <f t="shared" si="3"/>
        <v>5449</v>
      </c>
    </row>
    <row r="17" spans="1:20" ht="12" customHeight="1" x14ac:dyDescent="0.2">
      <c r="A17" s="25" t="s">
        <v>30</v>
      </c>
      <c r="B17" s="29" t="s">
        <v>155</v>
      </c>
      <c r="D17" s="41">
        <v>2608</v>
      </c>
      <c r="E17" s="42"/>
      <c r="F17" s="42"/>
      <c r="G17" s="42"/>
      <c r="H17" s="42"/>
      <c r="I17" s="42"/>
      <c r="J17" s="64">
        <f t="shared" si="1"/>
        <v>2608</v>
      </c>
      <c r="K17" s="41"/>
      <c r="L17" s="42"/>
      <c r="M17" s="42">
        <f t="shared" si="0"/>
        <v>2608</v>
      </c>
      <c r="N17" s="42">
        <f>ROUND(_xll.HPVAL($A17,$A$1,$A$2,$A$3,$A$4,$A$6)/1000,0)</f>
        <v>3215</v>
      </c>
      <c r="O17" s="83">
        <f t="shared" si="2"/>
        <v>-607</v>
      </c>
      <c r="R17" s="44">
        <f>N17-Expenses!E16-'CapChrg-AllocExp'!E17</f>
        <v>2323</v>
      </c>
      <c r="S17" s="44">
        <f>J17+K17-Expenses!D16-'CapChrg-AllocExp'!D17</f>
        <v>1716</v>
      </c>
      <c r="T17" s="44">
        <f t="shared" si="3"/>
        <v>607</v>
      </c>
    </row>
    <row r="18" spans="1:20" ht="12" customHeight="1" x14ac:dyDescent="0.2">
      <c r="A18" s="25" t="s">
        <v>4</v>
      </c>
      <c r="B18" s="29" t="s">
        <v>107</v>
      </c>
      <c r="D18" s="41">
        <v>-3689</v>
      </c>
      <c r="E18" s="42"/>
      <c r="F18" s="42"/>
      <c r="G18" s="42"/>
      <c r="H18" s="42"/>
      <c r="I18" s="42"/>
      <c r="J18" s="64">
        <f t="shared" si="1"/>
        <v>-3689</v>
      </c>
      <c r="K18" s="41"/>
      <c r="L18" s="42"/>
      <c r="M18" s="42">
        <f t="shared" si="0"/>
        <v>-3689</v>
      </c>
      <c r="N18" s="42">
        <f>ROUND(_xll.HPVAL($A18,$A$1,$A$2,$A$3,$A$4,$A$6)/1000,0)</f>
        <v>750</v>
      </c>
      <c r="O18" s="83">
        <f t="shared" si="2"/>
        <v>-4439</v>
      </c>
      <c r="R18" s="44">
        <f>N18-Expenses!E17-'CapChrg-AllocExp'!E18</f>
        <v>646</v>
      </c>
      <c r="S18" s="44">
        <f>J18+K18-Expenses!D17-'CapChrg-AllocExp'!D18</f>
        <v>-3793</v>
      </c>
      <c r="T18" s="44">
        <f t="shared" si="3"/>
        <v>4439</v>
      </c>
    </row>
    <row r="19" spans="1:20" ht="3" customHeight="1" x14ac:dyDescent="0.2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3">
      <c r="B20" s="106" t="s">
        <v>6</v>
      </c>
      <c r="C20" s="91"/>
      <c r="D20" s="99">
        <f>SUM(D10:D18)</f>
        <v>444115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444115</v>
      </c>
      <c r="K20" s="99">
        <f t="shared" si="4"/>
        <v>0</v>
      </c>
      <c r="L20" s="100">
        <f t="shared" si="4"/>
        <v>0</v>
      </c>
      <c r="M20" s="100">
        <f t="shared" si="4"/>
        <v>444115</v>
      </c>
      <c r="N20" s="100">
        <f t="shared" si="4"/>
        <v>172208</v>
      </c>
      <c r="O20" s="102">
        <f t="shared" si="4"/>
        <v>271907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0" si="5">SUM(D22:I22)</f>
        <v>0</v>
      </c>
      <c r="K22" s="41"/>
      <c r="L22" s="42"/>
      <c r="M22" s="42">
        <f t="shared" ref="M22:M30" si="6">SUM(J22:L22)</f>
        <v>0</v>
      </c>
      <c r="N22" s="42">
        <f>ROUND(_xll.HPVAL($A22,$A$1,$A$2,$A$3,$A$4,$A$6)/1000,0)</f>
        <v>20493</v>
      </c>
      <c r="O22" s="83">
        <f t="shared" ref="O22:O30" si="7">M22-N22</f>
        <v>-20493</v>
      </c>
      <c r="R22" s="134">
        <f>N22-Expenses!E20-'CapChrg-AllocExp'!E21</f>
        <v>15524</v>
      </c>
      <c r="S22" s="134">
        <f>J22+K22-Expenses!D20-'CapChrg-AllocExp'!D21</f>
        <v>-9051</v>
      </c>
      <c r="T22" s="44">
        <f>R22-S22</f>
        <v>24575</v>
      </c>
    </row>
    <row r="23" spans="1:20" ht="12" customHeight="1" x14ac:dyDescent="0.2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">
      <c r="A24" s="25" t="s">
        <v>230</v>
      </c>
      <c r="B24" s="29" t="s">
        <v>229</v>
      </c>
      <c r="D24" s="41">
        <f>2656+74</f>
        <v>2730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2616</v>
      </c>
      <c r="K24" s="41"/>
      <c r="L24" s="42"/>
      <c r="M24" s="42">
        <f t="shared" si="6"/>
        <v>2616</v>
      </c>
      <c r="N24" s="42">
        <f>ROUND(_xll.HPVAL($A24,$A$1,$A$2,$A$3,$A$4,$A$6)/1000,0)</f>
        <v>22861</v>
      </c>
      <c r="O24" s="83">
        <f t="shared" si="7"/>
        <v>-20245</v>
      </c>
      <c r="R24" s="44">
        <f>N24-Expenses!E22-'CapChrg-AllocExp'!E23</f>
        <v>16415</v>
      </c>
      <c r="S24" s="44">
        <f>J24+K24-Expenses!D22-'CapChrg-AllocExp'!D23</f>
        <v>-2853</v>
      </c>
      <c r="T24" s="44">
        <f>R24-S24</f>
        <v>19268</v>
      </c>
    </row>
    <row r="25" spans="1:20" ht="12" customHeight="1" x14ac:dyDescent="0.2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">
      <c r="B26" s="29" t="s">
        <v>263</v>
      </c>
      <c r="D26" s="41"/>
      <c r="E26" s="81">
        <v>182</v>
      </c>
      <c r="F26" s="81">
        <v>115</v>
      </c>
      <c r="G26" s="81"/>
      <c r="H26" s="42"/>
      <c r="I26" s="42"/>
      <c r="J26" s="64">
        <f t="shared" si="5"/>
        <v>297</v>
      </c>
      <c r="K26" s="41"/>
      <c r="L26" s="42"/>
      <c r="M26" s="42">
        <f t="shared" si="6"/>
        <v>297</v>
      </c>
      <c r="N26" s="42">
        <f>12747-6468-67</f>
        <v>6212</v>
      </c>
      <c r="O26" s="83">
        <f t="shared" si="7"/>
        <v>-5915</v>
      </c>
      <c r="R26" s="44"/>
      <c r="S26" s="44"/>
      <c r="T26" s="44"/>
    </row>
    <row r="27" spans="1:20" ht="12" customHeight="1" x14ac:dyDescent="0.2">
      <c r="A27" s="25" t="s">
        <v>253</v>
      </c>
      <c r="B27" s="29" t="s">
        <v>252</v>
      </c>
      <c r="D27" s="41">
        <v>230</v>
      </c>
      <c r="E27" s="81">
        <v>1901</v>
      </c>
      <c r="F27" s="81"/>
      <c r="G27" s="81"/>
      <c r="H27" s="42">
        <f>6470-230</f>
        <v>6240</v>
      </c>
      <c r="I27" s="42"/>
      <c r="J27" s="64">
        <f t="shared" si="5"/>
        <v>8371</v>
      </c>
      <c r="K27" s="41"/>
      <c r="L27" s="42"/>
      <c r="M27" s="42">
        <f t="shared" si="6"/>
        <v>8371</v>
      </c>
      <c r="N27" s="42">
        <v>11556</v>
      </c>
      <c r="O27" s="83">
        <f t="shared" si="7"/>
        <v>-3185</v>
      </c>
      <c r="R27" s="44"/>
      <c r="S27" s="44"/>
      <c r="T27" s="44"/>
    </row>
    <row r="28" spans="1:20" ht="12" customHeight="1" x14ac:dyDescent="0.2">
      <c r="A28" s="25" t="s">
        <v>41</v>
      </c>
      <c r="B28" s="29" t="s">
        <v>248</v>
      </c>
      <c r="D28" s="41">
        <v>2102</v>
      </c>
      <c r="E28" s="42">
        <v>115</v>
      </c>
      <c r="F28" s="42">
        <v>16766</v>
      </c>
      <c r="G28" s="42"/>
      <c r="H28" s="42">
        <v>5850</v>
      </c>
      <c r="I28" s="42"/>
      <c r="J28" s="64">
        <f>SUM(D28:I28)</f>
        <v>24833</v>
      </c>
      <c r="K28" s="41"/>
      <c r="L28" s="42"/>
      <c r="M28" s="42">
        <f>SUM(J28:L28)</f>
        <v>24833</v>
      </c>
      <c r="N28" s="42">
        <f>ROUND(_xll.HPVAL($A28,$A$1,$A$2,$A$3,$A$4,$A$6)/1000,0)+Expenses!E57</f>
        <v>30859</v>
      </c>
      <c r="O28" s="83">
        <f>M28-N28</f>
        <v>-6026</v>
      </c>
      <c r="R28" s="44" t="e">
        <f>N28-Expenses!#REF!-Expenses!E51-'CapChrg-AllocExp'!#REF!</f>
        <v>#REF!</v>
      </c>
      <c r="S28" s="44" t="e">
        <f>J28+K28-Expenses!#REF!-Expenses!D51-'CapChrg-AllocExp'!#REF!</f>
        <v>#REF!</v>
      </c>
      <c r="T28" s="44" t="e">
        <f>R28-S28</f>
        <v>#REF!</v>
      </c>
    </row>
    <row r="29" spans="1:20" ht="12" customHeight="1" x14ac:dyDescent="0.2">
      <c r="A29" s="25" t="s">
        <v>73</v>
      </c>
      <c r="B29" s="29" t="s">
        <v>156</v>
      </c>
      <c r="D29" s="41"/>
      <c r="E29" s="42"/>
      <c r="F29" s="42"/>
      <c r="G29" s="42"/>
      <c r="H29" s="42">
        <v>653</v>
      </c>
      <c r="I29" s="42"/>
      <c r="J29" s="64">
        <f t="shared" si="5"/>
        <v>653</v>
      </c>
      <c r="K29" s="41"/>
      <c r="L29" s="42"/>
      <c r="M29" s="42">
        <f t="shared" si="6"/>
        <v>653</v>
      </c>
      <c r="N29" s="42">
        <f>ROUND(_xll.HPVAL($A29,$A$1,$A$2,$A$3,$A$4,$A$6)/1000,0)</f>
        <v>7712</v>
      </c>
      <c r="O29" s="83">
        <f t="shared" si="7"/>
        <v>-7059</v>
      </c>
      <c r="R29" s="44" t="e">
        <f>N29-Expenses!#REF!-'CapChrg-AllocExp'!#REF!</f>
        <v>#REF!</v>
      </c>
      <c r="S29" s="44" t="e">
        <f>J29+K29-Expenses!#REF!-'CapChrg-AllocExp'!#REF!</f>
        <v>#REF!</v>
      </c>
      <c r="T29" s="44" t="e">
        <f>R29-S29</f>
        <v>#REF!</v>
      </c>
    </row>
    <row r="30" spans="1:20" ht="12" customHeight="1" x14ac:dyDescent="0.2">
      <c r="A30" s="25" t="s">
        <v>36</v>
      </c>
      <c r="B30" s="29" t="s">
        <v>0</v>
      </c>
      <c r="D30" s="41"/>
      <c r="E30" s="42"/>
      <c r="F30" s="42"/>
      <c r="G30" s="42"/>
      <c r="H30" s="42"/>
      <c r="I30" s="42"/>
      <c r="J30" s="64">
        <f t="shared" si="5"/>
        <v>0</v>
      </c>
      <c r="K30" s="41"/>
      <c r="L30" s="42"/>
      <c r="M30" s="42">
        <f t="shared" si="6"/>
        <v>0</v>
      </c>
      <c r="N30" s="42">
        <f>ROUND(_xll.HPVAL($A30,$A$1,$A$2,$A$3,$A$4,$A$6)/1000,0)</f>
        <v>4656</v>
      </c>
      <c r="O30" s="83">
        <f t="shared" si="7"/>
        <v>-4656</v>
      </c>
      <c r="R30" s="44">
        <f>N30-Expenses!E28-'CapChrg-AllocExp'!E29</f>
        <v>2651</v>
      </c>
      <c r="S30" s="44">
        <f>J30+K30-Expenses!D28-'CapChrg-AllocExp'!D29</f>
        <v>-1616</v>
      </c>
      <c r="T30" s="44">
        <f>R30-S30</f>
        <v>4267</v>
      </c>
    </row>
    <row r="31" spans="1:20" ht="3" customHeight="1" x14ac:dyDescent="0.2">
      <c r="B31" s="29"/>
      <c r="D31" s="41"/>
      <c r="E31" s="42"/>
      <c r="F31" s="42"/>
      <c r="G31" s="42"/>
      <c r="H31" s="42"/>
      <c r="I31" s="42"/>
      <c r="J31" s="64"/>
      <c r="K31" s="41"/>
      <c r="L31" s="42"/>
      <c r="M31" s="42"/>
      <c r="N31" s="42"/>
      <c r="O31" s="83"/>
    </row>
    <row r="32" spans="1:20" ht="12" customHeight="1" x14ac:dyDescent="0.3">
      <c r="B32" s="106" t="s">
        <v>1</v>
      </c>
      <c r="C32" s="91"/>
      <c r="D32" s="99">
        <f>D22+D23+D24+D25+D26+D27+D30+D29+D28</f>
        <v>5062</v>
      </c>
      <c r="E32" s="100">
        <f>E22+E23+E24+E25+E26+E27+E30+E29+E28</f>
        <v>18740</v>
      </c>
      <c r="F32" s="100">
        <f>F22+F23+F24+F25+F26+F27+F30+F29+F28</f>
        <v>16881</v>
      </c>
      <c r="G32" s="100" t="e">
        <f>G22+G23+G24+#REF!+G26+G27+G30</f>
        <v>#REF!</v>
      </c>
      <c r="H32" s="100">
        <f t="shared" ref="H32:O32" si="8">H22+H23+H24+H25+H26+H27+H30+H29+H28</f>
        <v>12743</v>
      </c>
      <c r="I32" s="100">
        <f t="shared" si="8"/>
        <v>0</v>
      </c>
      <c r="J32" s="99">
        <f t="shared" si="8"/>
        <v>53426</v>
      </c>
      <c r="K32" s="99">
        <f t="shared" si="8"/>
        <v>0</v>
      </c>
      <c r="L32" s="100">
        <f t="shared" si="8"/>
        <v>0</v>
      </c>
      <c r="M32" s="100">
        <f t="shared" si="8"/>
        <v>53426</v>
      </c>
      <c r="N32" s="100">
        <f t="shared" si="8"/>
        <v>136295</v>
      </c>
      <c r="O32" s="102">
        <f t="shared" si="8"/>
        <v>-82869</v>
      </c>
      <c r="R32" s="100" t="e">
        <f>SUM(R22:R30)</f>
        <v>#REF!</v>
      </c>
      <c r="S32" s="100" t="e">
        <f>SUM(S22:S30)</f>
        <v>#REF!</v>
      </c>
      <c r="T32" s="100" t="e">
        <f>SUM(T22:T30)</f>
        <v>#REF!</v>
      </c>
    </row>
    <row r="33" spans="1:20" ht="3" customHeight="1" x14ac:dyDescent="0.2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3" customHeight="1" x14ac:dyDescent="0.2">
      <c r="B34" s="29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">
      <c r="A35" s="25" t="s">
        <v>40</v>
      </c>
      <c r="B35" s="29" t="s">
        <v>9</v>
      </c>
      <c r="D35" s="41"/>
      <c r="E35" s="81">
        <v>-29338</v>
      </c>
      <c r="F35" s="81">
        <v>0</v>
      </c>
      <c r="G35" s="81"/>
      <c r="H35" s="42"/>
      <c r="I35" s="42"/>
      <c r="J35" s="64">
        <f>SUM(D35:I35)</f>
        <v>-29338</v>
      </c>
      <c r="K35" s="41"/>
      <c r="L35" s="42"/>
      <c r="M35" s="42">
        <f>SUM(J35:L35)</f>
        <v>-29338</v>
      </c>
      <c r="N35" s="42">
        <f>ROUND(_xll.HPVAL($A35,$A$1,$A$2,$A$3,$A$4,$A$6)/1000,0)</f>
        <v>15385</v>
      </c>
      <c r="O35" s="83">
        <f>M35-N35</f>
        <v>-44723</v>
      </c>
      <c r="R35" s="134">
        <f>N35-Expenses!E32-'CapChrg-AllocExp'!E33</f>
        <v>12608</v>
      </c>
      <c r="S35" s="134">
        <f>J35+K35-Expenses!D32-'CapChrg-AllocExp'!D33</f>
        <v>-30628</v>
      </c>
      <c r="T35" s="44">
        <f>R35-S35</f>
        <v>43236</v>
      </c>
    </row>
    <row r="36" spans="1:20" ht="12" customHeight="1" x14ac:dyDescent="0.2">
      <c r="A36" s="25" t="s">
        <v>39</v>
      </c>
      <c r="B36" s="29" t="s">
        <v>267</v>
      </c>
      <c r="D36" s="41"/>
      <c r="E36" s="81">
        <v>2861</v>
      </c>
      <c r="F36" s="81">
        <v>0</v>
      </c>
      <c r="G36" s="81"/>
      <c r="H36" s="42"/>
      <c r="I36" s="42"/>
      <c r="J36" s="64">
        <f>SUM(D36:I36)</f>
        <v>2861</v>
      </c>
      <c r="K36" s="41"/>
      <c r="L36" s="42"/>
      <c r="M36" s="42">
        <f>SUM(J36:L36)</f>
        <v>2861</v>
      </c>
      <c r="N36" s="42">
        <f>ROUND(_xll.HPVAL($A36,$A$1,$A$2,$A$3,$A$4,$A$6)/1000,0)</f>
        <v>2000</v>
      </c>
      <c r="O36" s="83">
        <f>M36-N36</f>
        <v>861</v>
      </c>
      <c r="R36" s="44">
        <f>N36-Expenses!E33-'CapChrg-AllocExp'!E34</f>
        <v>-3544</v>
      </c>
      <c r="S36" s="44">
        <f>J36+K36-Expenses!D33-'CapChrg-AllocExp'!D34</f>
        <v>-1067</v>
      </c>
      <c r="T36" s="44">
        <f>R36-S36</f>
        <v>-2477</v>
      </c>
    </row>
    <row r="37" spans="1:20" ht="12.75" customHeight="1" x14ac:dyDescent="0.2">
      <c r="A37" s="25" t="s">
        <v>153</v>
      </c>
      <c r="B37" s="45" t="s">
        <v>180</v>
      </c>
      <c r="D37" s="41"/>
      <c r="E37" s="81">
        <f>-24443+3110</f>
        <v>-21333</v>
      </c>
      <c r="F37" s="81">
        <f>-503+18</f>
        <v>-485</v>
      </c>
      <c r="G37" s="81"/>
      <c r="H37" s="42"/>
      <c r="I37" s="42"/>
      <c r="J37" s="64">
        <f>SUM(D37:I37)</f>
        <v>-21818</v>
      </c>
      <c r="K37" s="41">
        <f>Greensheet!M88</f>
        <v>0</v>
      </c>
      <c r="L37" s="42"/>
      <c r="M37" s="42">
        <f>SUM(J37:L37)</f>
        <v>-21818</v>
      </c>
      <c r="N37" s="42">
        <f>ROUND(_xll.HPVAL($A37,$A$1,$A$2,$A$3,$A$4,$A$6)/1000,0)</f>
        <v>8222</v>
      </c>
      <c r="O37" s="83">
        <f>M37-N37</f>
        <v>-30040</v>
      </c>
      <c r="R37" s="44">
        <f>N37-Expenses!E34-'CapChrg-AllocExp'!E35</f>
        <v>1900</v>
      </c>
      <c r="S37" s="44">
        <f>J37+K37-Expenses!D34-'CapChrg-AllocExp'!D35</f>
        <v>-26277</v>
      </c>
      <c r="T37" s="44">
        <f>R37-S37</f>
        <v>28177</v>
      </c>
    </row>
    <row r="38" spans="1:20" ht="12.75" customHeight="1" x14ac:dyDescent="0.2">
      <c r="A38" s="25" t="s">
        <v>157</v>
      </c>
      <c r="B38" s="45" t="s">
        <v>154</v>
      </c>
      <c r="D38" s="41"/>
      <c r="E38" s="81">
        <v>7096</v>
      </c>
      <c r="F38" s="81">
        <v>830</v>
      </c>
      <c r="G38" s="81"/>
      <c r="H38" s="42">
        <v>0</v>
      </c>
      <c r="I38" s="42"/>
      <c r="J38" s="64">
        <f>SUM(D38:I38)</f>
        <v>7926</v>
      </c>
      <c r="K38" s="41"/>
      <c r="L38" s="42"/>
      <c r="M38" s="42">
        <f>SUM(J38:L38)</f>
        <v>7926</v>
      </c>
      <c r="N38" s="42">
        <f>ROUND(_xll.HPVAL($A38,$A$1,$A$2,$A$3,$A$4,$A$6)/1000,0)</f>
        <v>6483</v>
      </c>
      <c r="O38" s="83">
        <f>M38-N38</f>
        <v>1443</v>
      </c>
      <c r="R38" s="134">
        <f>N38-Expenses!E35-'CapChrg-AllocExp'!E37</f>
        <v>-1561</v>
      </c>
      <c r="S38" s="134">
        <f>J38+K38-Expenses!D35-'CapChrg-AllocExp'!D37</f>
        <v>-1173</v>
      </c>
      <c r="T38" s="44">
        <f>R38-S38</f>
        <v>-388</v>
      </c>
    </row>
    <row r="39" spans="1:20" ht="12" customHeight="1" x14ac:dyDescent="0.2">
      <c r="B39" s="29" t="s">
        <v>154</v>
      </c>
      <c r="D39" s="41">
        <f>SUM(D37:D38)</f>
        <v>0</v>
      </c>
      <c r="E39" s="81">
        <f>SUM(E37:E38)</f>
        <v>-14237</v>
      </c>
      <c r="F39" s="81">
        <f>SUM(F37:F38)</f>
        <v>345</v>
      </c>
      <c r="G39" s="81"/>
      <c r="H39" s="81">
        <f>SUM(H37:H38)</f>
        <v>0</v>
      </c>
      <c r="I39" s="42">
        <f>SUM(I37:I38)</f>
        <v>0</v>
      </c>
      <c r="J39" s="64">
        <f>SUM(D39:I39)</f>
        <v>-13892</v>
      </c>
      <c r="K39" s="41"/>
      <c r="L39" s="42">
        <f>SUM(L37:L38)</f>
        <v>0</v>
      </c>
      <c r="M39" s="42">
        <f>SUM(J39:L39)</f>
        <v>-13892</v>
      </c>
      <c r="N39" s="42">
        <f>SUM(N37:N38)</f>
        <v>14705</v>
      </c>
      <c r="O39" s="83">
        <f>SUM(O37:O38)</f>
        <v>-28597</v>
      </c>
      <c r="R39" s="44"/>
      <c r="S39" s="44"/>
      <c r="T39" s="44"/>
    </row>
    <row r="40" spans="1:20" ht="3" customHeight="1" x14ac:dyDescent="0.2">
      <c r="B40" s="45"/>
      <c r="D40" s="46"/>
      <c r="E40" s="47"/>
      <c r="F40" s="47"/>
      <c r="G40" s="47"/>
      <c r="H40" s="47"/>
      <c r="I40" s="47"/>
      <c r="J40" s="46"/>
      <c r="K40" s="46"/>
      <c r="L40" s="47"/>
      <c r="M40" s="47"/>
      <c r="N40" s="47"/>
      <c r="O40" s="126"/>
    </row>
    <row r="41" spans="1:20" s="90" customFormat="1" ht="12" customHeight="1" x14ac:dyDescent="0.3">
      <c r="B41" s="106" t="s">
        <v>87</v>
      </c>
      <c r="C41" s="91"/>
      <c r="D41" s="99">
        <f t="shared" ref="D41:O41" si="9">SUM(D35:D38)</f>
        <v>0</v>
      </c>
      <c r="E41" s="100">
        <f>E35+E36+E39</f>
        <v>-40714</v>
      </c>
      <c r="F41" s="100">
        <f>F35+F36+F39</f>
        <v>345</v>
      </c>
      <c r="G41" s="100"/>
      <c r="H41" s="100">
        <f t="shared" si="9"/>
        <v>0</v>
      </c>
      <c r="I41" s="100">
        <f t="shared" si="9"/>
        <v>0</v>
      </c>
      <c r="J41" s="99">
        <f t="shared" si="9"/>
        <v>-40369</v>
      </c>
      <c r="K41" s="99">
        <f t="shared" si="9"/>
        <v>0</v>
      </c>
      <c r="L41" s="100">
        <f t="shared" si="9"/>
        <v>0</v>
      </c>
      <c r="M41" s="100">
        <f>M35+M36+M39</f>
        <v>-40369</v>
      </c>
      <c r="N41" s="100">
        <f>N35+N36+N39</f>
        <v>32090</v>
      </c>
      <c r="O41" s="102">
        <f t="shared" si="9"/>
        <v>-72459</v>
      </c>
      <c r="R41" s="100">
        <f>SUM(R35:R39)</f>
        <v>9403</v>
      </c>
      <c r="S41" s="100">
        <f>SUM(S35:S39)</f>
        <v>-59145</v>
      </c>
      <c r="T41" s="100">
        <f>SUM(T35:T39)</f>
        <v>68548</v>
      </c>
    </row>
    <row r="42" spans="1:20" ht="3" customHeight="1" x14ac:dyDescent="0.2">
      <c r="B42" s="29"/>
      <c r="D42" s="104"/>
      <c r="E42" s="81"/>
      <c r="F42" s="81"/>
      <c r="G42" s="81"/>
      <c r="H42" s="81"/>
      <c r="I42" s="81"/>
      <c r="J42" s="105"/>
      <c r="K42" s="104"/>
      <c r="L42" s="81"/>
      <c r="M42" s="81"/>
      <c r="N42" s="81"/>
      <c r="O42" s="127"/>
    </row>
    <row r="43" spans="1:20" ht="12" customHeight="1" x14ac:dyDescent="0.2">
      <c r="A43" s="25" t="s">
        <v>82</v>
      </c>
      <c r="B43" s="29" t="s">
        <v>8</v>
      </c>
      <c r="D43" s="41"/>
      <c r="E43" s="42">
        <v>0.5</v>
      </c>
      <c r="F43" s="42"/>
      <c r="G43" s="42"/>
      <c r="H43" s="42"/>
      <c r="I43" s="42"/>
      <c r="J43" s="64">
        <f>SUM(D43:I43)</f>
        <v>0.5</v>
      </c>
      <c r="K43" s="41"/>
      <c r="L43" s="42"/>
      <c r="M43" s="42">
        <f>SUM(J43:L43)</f>
        <v>0.5</v>
      </c>
      <c r="N43" s="42">
        <f>ROUND(_xll.HPVAL($A43,$A$1,$A$2,$A$3,$A$4,$A$6)/1000,0)</f>
        <v>2500</v>
      </c>
      <c r="O43" s="83">
        <f>M43-N43</f>
        <v>-2499.5</v>
      </c>
      <c r="R43" s="134">
        <f>N43-Expenses!E39-'CapChrg-AllocExp'!E40</f>
        <v>-2117</v>
      </c>
      <c r="S43" s="134">
        <f>J43+K43-Expenses!D39-'CapChrg-AllocExp'!D40</f>
        <v>-6034.5</v>
      </c>
      <c r="T43" s="44">
        <f>R43-S43</f>
        <v>3917.5</v>
      </c>
    </row>
    <row r="44" spans="1:20" ht="3" customHeight="1" x14ac:dyDescent="0.2">
      <c r="B44" s="29"/>
      <c r="D44" s="41"/>
      <c r="E44" s="42"/>
      <c r="F44" s="42"/>
      <c r="G44" s="42"/>
      <c r="H44" s="42"/>
      <c r="I44" s="42"/>
      <c r="J44" s="64"/>
      <c r="K44" s="41"/>
      <c r="L44" s="42"/>
      <c r="M44" s="42"/>
      <c r="N44" s="42"/>
      <c r="O44" s="83"/>
    </row>
    <row r="45" spans="1:20" ht="12" customHeight="1" x14ac:dyDescent="0.2">
      <c r="A45" s="25" t="s">
        <v>44</v>
      </c>
      <c r="B45" s="29" t="s">
        <v>7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/>
      <c r="O45" s="83">
        <f>M45-N45</f>
        <v>0</v>
      </c>
      <c r="R45" s="44"/>
      <c r="S45" s="44"/>
      <c r="T45" s="44"/>
    </row>
    <row r="46" spans="1:20" ht="3" customHeight="1" x14ac:dyDescent="0.2">
      <c r="B46" s="76"/>
      <c r="D46" s="77"/>
      <c r="E46" s="67"/>
      <c r="F46" s="67"/>
      <c r="G46" s="67"/>
      <c r="H46" s="67"/>
      <c r="I46" s="67"/>
      <c r="J46" s="46"/>
      <c r="K46" s="77"/>
      <c r="L46" s="67"/>
      <c r="M46" s="67"/>
      <c r="N46" s="67"/>
      <c r="O46" s="126"/>
    </row>
    <row r="47" spans="1:20" ht="12" customHeight="1" x14ac:dyDescent="0.2">
      <c r="A47" s="25" t="s">
        <v>46</v>
      </c>
      <c r="B47" s="29" t="s">
        <v>18</v>
      </c>
      <c r="D47" s="41"/>
      <c r="E47" s="42">
        <v>-3776</v>
      </c>
      <c r="F47" s="42">
        <v>-15401</v>
      </c>
      <c r="G47" s="42"/>
      <c r="H47" s="42"/>
      <c r="I47" s="42"/>
      <c r="J47" s="64">
        <f>SUM(D47:I47)</f>
        <v>-19177</v>
      </c>
      <c r="K47" s="41"/>
      <c r="L47" s="42"/>
      <c r="M47" s="42">
        <f>SUM(J47:L47)</f>
        <v>-19177</v>
      </c>
      <c r="N47" s="42">
        <f>ROUND(_xll.HPVAL($A47,$A$1,$A$2,$A$3,$A$4,$A$6)/1000,0)</f>
        <v>-10795</v>
      </c>
      <c r="O47" s="83">
        <f>M47-N47</f>
        <v>-8382</v>
      </c>
      <c r="T47" s="44"/>
    </row>
    <row r="48" spans="1:20" ht="3" customHeight="1" x14ac:dyDescent="0.2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2:20" ht="12" customHeight="1" x14ac:dyDescent="0.2">
      <c r="B49" s="29" t="s">
        <v>19</v>
      </c>
      <c r="D49" s="41"/>
      <c r="E49" s="42"/>
      <c r="F49" s="42"/>
      <c r="G49" s="42"/>
      <c r="H49" s="42"/>
      <c r="I49" s="42"/>
      <c r="J49" s="64">
        <f>SUM(D49:I49)</f>
        <v>0</v>
      </c>
      <c r="K49" s="41"/>
      <c r="L49" s="42"/>
      <c r="M49" s="42">
        <f>SUM(J49:L49)</f>
        <v>0</v>
      </c>
      <c r="N49" s="42">
        <f>44888+7328</f>
        <v>52216</v>
      </c>
      <c r="O49" s="83">
        <f>M49-N49</f>
        <v>-52216</v>
      </c>
      <c r="T49" s="44"/>
    </row>
    <row r="50" spans="2:20" ht="3" customHeight="1" x14ac:dyDescent="0.2">
      <c r="B50" s="29"/>
      <c r="D50" s="41"/>
      <c r="E50" s="42"/>
      <c r="F50" s="42"/>
      <c r="G50" s="42"/>
      <c r="H50" s="42"/>
      <c r="I50" s="42"/>
      <c r="J50" s="64"/>
      <c r="K50" s="41"/>
      <c r="L50" s="42"/>
      <c r="M50" s="42"/>
      <c r="N50" s="42"/>
      <c r="O50" s="83"/>
    </row>
    <row r="51" spans="2:20" ht="12" customHeight="1" x14ac:dyDescent="0.3">
      <c r="B51" s="75" t="s">
        <v>14</v>
      </c>
      <c r="D51" s="95">
        <f>SUM(D41:D49)+D32+D20</f>
        <v>449177</v>
      </c>
      <c r="E51" s="96">
        <f>SUM(E41:E49)+E32+E20</f>
        <v>-25749.5</v>
      </c>
      <c r="F51" s="96">
        <f>SUM(F41:F49)+F32+F20</f>
        <v>1825</v>
      </c>
      <c r="G51" s="96" t="s">
        <v>269</v>
      </c>
      <c r="H51" s="96">
        <f t="shared" ref="H51:O51" si="10">SUM(H41:H49)+H32+H20</f>
        <v>12743</v>
      </c>
      <c r="I51" s="96">
        <f t="shared" si="10"/>
        <v>0</v>
      </c>
      <c r="J51" s="95">
        <f t="shared" si="10"/>
        <v>437995.5</v>
      </c>
      <c r="K51" s="95">
        <f t="shared" si="10"/>
        <v>0</v>
      </c>
      <c r="L51" s="96">
        <f t="shared" si="10"/>
        <v>0</v>
      </c>
      <c r="M51" s="96">
        <f t="shared" si="10"/>
        <v>437995.5</v>
      </c>
      <c r="N51" s="96">
        <f t="shared" si="10"/>
        <v>384514</v>
      </c>
      <c r="O51" s="98">
        <f t="shared" si="10"/>
        <v>53481.5</v>
      </c>
    </row>
    <row r="52" spans="2:20" ht="3" customHeight="1" x14ac:dyDescent="0.2">
      <c r="B52" s="48"/>
      <c r="D52" s="49"/>
      <c r="E52" s="50"/>
      <c r="F52" s="50"/>
      <c r="G52" s="50"/>
      <c r="H52" s="50"/>
      <c r="I52" s="50"/>
      <c r="J52" s="49"/>
      <c r="K52" s="49"/>
      <c r="L52" s="50"/>
      <c r="M52" s="50"/>
      <c r="N52" s="50"/>
      <c r="O52" s="128"/>
    </row>
    <row r="53" spans="2:20" x14ac:dyDescent="0.2">
      <c r="B53" s="287" t="s">
        <v>260</v>
      </c>
      <c r="C53" s="135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20" x14ac:dyDescent="0.2">
      <c r="B54" s="287"/>
      <c r="C54" s="27" t="s">
        <v>300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20" x14ac:dyDescent="0.2">
      <c r="B55" s="287"/>
      <c r="C55" s="27" t="s">
        <v>301</v>
      </c>
      <c r="D55" s="44"/>
      <c r="E55" s="44"/>
      <c r="F55" s="44"/>
      <c r="G55" s="44" t="s">
        <v>53</v>
      </c>
      <c r="H55" s="44"/>
      <c r="I55" s="44"/>
      <c r="J55" s="44"/>
      <c r="K55" s="44"/>
      <c r="L55" s="44"/>
      <c r="M55" s="44"/>
      <c r="N55" s="44"/>
      <c r="O55" s="44"/>
    </row>
    <row r="56" spans="2:20" x14ac:dyDescent="0.2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20" x14ac:dyDescent="0.2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20" x14ac:dyDescent="0.2">
      <c r="B58" s="176" t="s">
        <v>127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299</v>
      </c>
      <c r="N58" s="44"/>
      <c r="O58" s="44"/>
    </row>
    <row r="59" spans="2:20" x14ac:dyDescent="0.2">
      <c r="B59" s="27" t="s">
        <v>3</v>
      </c>
      <c r="D59" s="44">
        <f>D10+D15+D11+D28+D27</f>
        <v>270917</v>
      </c>
    </row>
    <row r="60" spans="2:20" x14ac:dyDescent="0.2">
      <c r="B60" s="27" t="s">
        <v>128</v>
      </c>
      <c r="D60" s="44">
        <f>D16+D17+D18+D24</f>
        <v>2735</v>
      </c>
    </row>
    <row r="73" spans="1:1" x14ac:dyDescent="0.2">
      <c r="A73" s="27"/>
    </row>
    <row r="74" spans="1:1" x14ac:dyDescent="0.2">
      <c r="A74" s="27"/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2000-06-09T19:25:22Z</cp:lastPrinted>
  <dcterms:created xsi:type="dcterms:W3CDTF">1999-10-18T12:36:30Z</dcterms:created>
  <dcterms:modified xsi:type="dcterms:W3CDTF">2023-09-10T15:53:29Z</dcterms:modified>
</cp:coreProperties>
</file>