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312" windowWidth="14940" windowHeight="8640"/>
  </bookViews>
  <sheets>
    <sheet name="Sheet1" sheetId="1" r:id="rId1"/>
    <sheet name="Sheet2" sheetId="2" r:id="rId2"/>
    <sheet name="Sheet3" sheetId="3" r:id="rId3"/>
  </sheets>
  <definedNames>
    <definedName name="_xlnm.Print_Titles" localSheetId="0">Sheet1!$1:$1</definedName>
  </definedNames>
  <calcPr calcId="92512" fullCalcOnLoad="1"/>
</workbook>
</file>

<file path=xl/calcChain.xml><?xml version="1.0" encoding="utf-8"?>
<calcChain xmlns="http://schemas.openxmlformats.org/spreadsheetml/2006/main">
  <c r="G3" i="1" l="1"/>
  <c r="H3" i="1"/>
  <c r="F4" i="1"/>
  <c r="G4" i="1"/>
  <c r="H4" i="1"/>
  <c r="D5" i="1"/>
  <c r="F5" i="1"/>
  <c r="G5" i="1"/>
  <c r="H5" i="1"/>
  <c r="D6" i="1"/>
  <c r="F6" i="1"/>
  <c r="G6" i="1"/>
  <c r="H6" i="1"/>
  <c r="D7" i="1"/>
  <c r="F7" i="1"/>
  <c r="G7" i="1"/>
  <c r="H7" i="1"/>
  <c r="G9" i="1"/>
  <c r="H9" i="1"/>
  <c r="G10" i="1"/>
  <c r="H10" i="1"/>
  <c r="D11" i="1"/>
  <c r="F11" i="1"/>
  <c r="G11" i="1"/>
  <c r="H11" i="1"/>
  <c r="G12" i="1"/>
  <c r="H12" i="1"/>
  <c r="G13" i="1"/>
  <c r="H13" i="1"/>
  <c r="G14" i="1"/>
  <c r="H14" i="1"/>
  <c r="D15" i="1"/>
  <c r="F15" i="1"/>
  <c r="G15" i="1"/>
  <c r="H15" i="1"/>
  <c r="G17" i="1"/>
  <c r="H17" i="1"/>
  <c r="G19" i="1"/>
  <c r="H19" i="1"/>
  <c r="G20" i="1"/>
  <c r="H20" i="1"/>
  <c r="D21" i="1"/>
  <c r="F21" i="1"/>
  <c r="G21" i="1"/>
  <c r="H21" i="1"/>
  <c r="G23" i="1"/>
  <c r="H23" i="1"/>
  <c r="D24" i="1"/>
  <c r="F24" i="1"/>
  <c r="G24" i="1"/>
  <c r="H24" i="1"/>
  <c r="G26" i="1"/>
  <c r="H26" i="1"/>
  <c r="D27" i="1"/>
  <c r="F27" i="1"/>
  <c r="G27" i="1"/>
  <c r="H27" i="1"/>
  <c r="G29" i="1"/>
  <c r="H29" i="1"/>
  <c r="G30" i="1"/>
  <c r="H30" i="1"/>
  <c r="G31" i="1"/>
  <c r="H31" i="1"/>
  <c r="D32" i="1"/>
  <c r="F32" i="1"/>
  <c r="G32" i="1"/>
  <c r="H32" i="1"/>
  <c r="G33" i="1"/>
  <c r="H33" i="1"/>
  <c r="G34" i="1"/>
  <c r="H34" i="1"/>
  <c r="G35" i="1"/>
  <c r="H35" i="1"/>
  <c r="G36" i="1"/>
  <c r="H36" i="1"/>
  <c r="G37" i="1"/>
  <c r="H37" i="1"/>
  <c r="G39" i="1"/>
  <c r="H39" i="1"/>
  <c r="G40" i="1"/>
  <c r="H40" i="1"/>
  <c r="D41" i="1"/>
  <c r="F41" i="1"/>
  <c r="G41" i="1"/>
  <c r="H41" i="1"/>
  <c r="G43" i="1"/>
  <c r="H43" i="1"/>
  <c r="G44" i="1"/>
  <c r="H44" i="1"/>
  <c r="D45" i="1"/>
  <c r="F45" i="1"/>
  <c r="G45" i="1"/>
  <c r="H45" i="1"/>
  <c r="G46" i="1"/>
  <c r="H46" i="1"/>
  <c r="G48" i="1"/>
  <c r="H48" i="1"/>
  <c r="G49" i="1"/>
  <c r="H49" i="1"/>
  <c r="G50" i="1"/>
  <c r="H50" i="1"/>
  <c r="G51" i="1"/>
  <c r="H51" i="1"/>
  <c r="G52" i="1"/>
  <c r="H52" i="1"/>
  <c r="G53" i="1"/>
  <c r="H53" i="1"/>
  <c r="G54" i="1"/>
  <c r="H54" i="1"/>
  <c r="G55" i="1"/>
  <c r="H55" i="1"/>
  <c r="D56" i="1"/>
  <c r="F56" i="1"/>
  <c r="G56" i="1"/>
  <c r="H56" i="1"/>
  <c r="G58" i="1"/>
  <c r="H58" i="1"/>
  <c r="G59" i="1"/>
  <c r="H59" i="1"/>
  <c r="G60" i="1"/>
  <c r="H60" i="1"/>
  <c r="D61" i="1"/>
  <c r="F61" i="1"/>
  <c r="G61" i="1"/>
  <c r="H61" i="1"/>
  <c r="G62" i="1"/>
  <c r="H62" i="1"/>
  <c r="D64" i="1"/>
  <c r="F64" i="1"/>
  <c r="G64" i="1"/>
  <c r="H64" i="1"/>
  <c r="G65" i="1"/>
  <c r="H65" i="1"/>
  <c r="D66" i="1"/>
  <c r="F66" i="1"/>
  <c r="G66" i="1"/>
  <c r="H66" i="1"/>
  <c r="G67" i="1"/>
  <c r="H67" i="1"/>
  <c r="G68" i="1"/>
  <c r="H68" i="1"/>
  <c r="G69" i="1"/>
  <c r="H69" i="1"/>
  <c r="G71" i="1"/>
  <c r="H71" i="1"/>
  <c r="G72" i="1"/>
  <c r="H72" i="1"/>
  <c r="D73" i="1"/>
  <c r="F73" i="1"/>
  <c r="G73" i="1"/>
  <c r="H73" i="1"/>
  <c r="G74" i="1"/>
  <c r="H74" i="1"/>
  <c r="D75" i="1"/>
  <c r="F75" i="1"/>
  <c r="G75" i="1"/>
  <c r="H75" i="1"/>
</calcChain>
</file>

<file path=xl/sharedStrings.xml><?xml version="1.0" encoding="utf-8"?>
<sst xmlns="http://schemas.openxmlformats.org/spreadsheetml/2006/main" count="189" uniqueCount="173">
  <si>
    <t>IT Compliance Notes &amp; Exceptions</t>
  </si>
  <si>
    <t>IT Compliance Recalculated LTD Value</t>
  </si>
  <si>
    <t>3. Continental Gas</t>
  </si>
  <si>
    <t>4. U.K. Gas</t>
  </si>
  <si>
    <t>US Gas Financial Swaps</t>
  </si>
  <si>
    <t>EOL "Fixed" Price converted from AUD to USD * EOL Volume * Hours in contract period</t>
  </si>
  <si>
    <t>US Crude Financial Swaps</t>
  </si>
  <si>
    <t>US Crude Physical Index</t>
  </si>
  <si>
    <t>UK DTD Brent Financial Swaps (Basis)</t>
  </si>
  <si>
    <t>TOTAL Crude &amp; Products</t>
  </si>
  <si>
    <t>PCG
Calculated LTD Value</t>
  </si>
  <si>
    <t>Difference
(over stated)</t>
  </si>
  <si>
    <t>CAN Gas Physical Basis Firm</t>
  </si>
  <si>
    <t>CAN Gas Financial Swap</t>
  </si>
  <si>
    <t>CAN Gas Financial Basis Swap</t>
  </si>
  <si>
    <t>BEL Gas Physical Forward</t>
  </si>
  <si>
    <t>UK Gas Financial Swap</t>
  </si>
  <si>
    <t>UK Gas Physical Forward</t>
  </si>
  <si>
    <r>
      <t>EOL Price</t>
    </r>
    <r>
      <rPr>
        <sz val="8"/>
        <rFont val="Arial"/>
        <family val="2"/>
      </rPr>
      <t xml:space="preserve"> = Negotiated Online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</si>
  <si>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t>TOTAL UK Gas</t>
  </si>
  <si>
    <r>
      <t>EOL Price</t>
    </r>
    <r>
      <rPr>
        <sz val="8"/>
        <rFont val="Arial"/>
        <family val="2"/>
      </rPr>
      <t xml:space="preserve"> =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</si>
  <si>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Fixed Price</t>
    </r>
    <r>
      <rPr>
        <sz val="8"/>
        <rFont val="Arial"/>
        <family val="2"/>
      </rPr>
      <t xml:space="preserve"> = $ 0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</si>
  <si>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Index Price</t>
    </r>
    <r>
      <rPr>
        <sz val="8"/>
        <rFont val="Arial"/>
        <family val="2"/>
      </rPr>
      <t xml:space="preserve"> = Price of Index at Deal Date
</t>
    </r>
    <r>
      <rPr>
        <b/>
        <sz val="8"/>
        <rFont val="Arial"/>
        <family val="2"/>
      </rPr>
      <t>EOL Price</t>
    </r>
    <r>
      <rPr>
        <sz val="8"/>
        <rFont val="Arial"/>
        <family val="2"/>
      </rPr>
      <t xml:space="preserve"> = Negotiated Price
</t>
    </r>
    <r>
      <rPr>
        <b/>
        <sz val="8"/>
        <rFont val="Arial"/>
        <family val="2"/>
      </rPr>
      <t>Fixed Price</t>
    </r>
    <r>
      <rPr>
        <sz val="8"/>
        <rFont val="Arial"/>
        <family val="2"/>
      </rPr>
      <t xml:space="preserve"> = EOL Price + Index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(Index Price * Notional Volume) + (Fixed Price * Notional Volume)</t>
    </r>
  </si>
  <si>
    <r>
      <t>EOL Price</t>
    </r>
    <r>
      <rPr>
        <sz val="8"/>
        <rFont val="Arial"/>
        <family val="2"/>
      </rPr>
      <t xml:space="preserve"> = Negotiated Price
</t>
    </r>
    <r>
      <rPr>
        <b/>
        <sz val="8"/>
        <rFont val="Arial"/>
        <family val="2"/>
      </rPr>
      <t>Fixed Price</t>
    </r>
    <r>
      <rPr>
        <sz val="8"/>
        <rFont val="Arial"/>
        <family val="2"/>
      </rPr>
      <t xml:space="preserve"> = EOL Price (Converted from CHF to USD)
</t>
    </r>
    <r>
      <rPr>
        <b/>
        <sz val="8"/>
        <rFont val="Arial"/>
        <family val="2"/>
      </rPr>
      <t xml:space="preserve">Notional Volume </t>
    </r>
    <r>
      <rPr>
        <sz val="8"/>
        <rFont val="Arial"/>
        <family val="2"/>
      </rPr>
      <t xml:space="preserve">= EOL Volume * Determination Period
</t>
    </r>
    <r>
      <rPr>
        <b/>
        <sz val="8"/>
        <rFont val="Arial"/>
        <family val="2"/>
      </rPr>
      <t>Abs Value</t>
    </r>
    <r>
      <rPr>
        <sz val="8"/>
        <rFont val="Arial"/>
        <family val="2"/>
      </rPr>
      <t xml:space="preserve"> = Fixed Price * Notional Volume</t>
    </r>
  </si>
  <si>
    <r>
      <t>EOL Price</t>
    </r>
    <r>
      <rPr>
        <sz val="8"/>
        <rFont val="Arial"/>
        <family val="2"/>
      </rPr>
      <t xml:space="preserve"> = Negotiated Price
</t>
    </r>
    <r>
      <rPr>
        <b/>
        <sz val="8"/>
        <rFont val="Arial"/>
        <family val="2"/>
      </rPr>
      <t>Fixed Price</t>
    </r>
    <r>
      <rPr>
        <sz val="8"/>
        <rFont val="Arial"/>
        <family val="2"/>
      </rPr>
      <t xml:space="preserve"> = EOL Price (Converted from DEM to USD)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</si>
  <si>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EOL Price</t>
    </r>
    <r>
      <rPr>
        <sz val="8"/>
        <rFont val="Arial"/>
        <family val="2"/>
      </rPr>
      <t xml:space="preserve"> = Negotiated Price
</t>
    </r>
    <r>
      <rPr>
        <b/>
        <sz val="8"/>
        <rFont val="Arial"/>
        <family val="2"/>
      </rPr>
      <t>Fixed Price</t>
    </r>
    <r>
      <rPr>
        <sz val="8"/>
        <rFont val="Arial"/>
        <family val="2"/>
      </rPr>
      <t xml:space="preserve"> = EOL Price (Converted from EUR to USD)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</si>
  <si>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EOL Price</t>
    </r>
    <r>
      <rPr>
        <sz val="8"/>
        <rFont val="Arial"/>
        <family val="2"/>
      </rPr>
      <t xml:space="preserve"> = Negotiated Price
</t>
    </r>
    <r>
      <rPr>
        <b/>
        <sz val="8"/>
        <rFont val="Arial"/>
        <family val="2"/>
      </rPr>
      <t>Fixed Price</t>
    </r>
    <r>
      <rPr>
        <sz val="8"/>
        <rFont val="Arial"/>
        <family val="2"/>
      </rPr>
      <t xml:space="preserve"> = EOL Price (Converted from NOK to USD)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</si>
  <si>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EOL Price</t>
    </r>
    <r>
      <rPr>
        <sz val="8"/>
        <rFont val="Arial"/>
        <family val="2"/>
      </rPr>
      <t xml:space="preserve"> = Negotiated Price
</t>
    </r>
    <r>
      <rPr>
        <b/>
        <sz val="8"/>
        <rFont val="Arial"/>
        <family val="2"/>
      </rPr>
      <t>Fixed Price</t>
    </r>
    <r>
      <rPr>
        <sz val="8"/>
        <rFont val="Arial"/>
        <family val="2"/>
      </rPr>
      <t xml:space="preserve"> = EOL Price (Converted from GBP to USD)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</si>
  <si>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t>Grand Totals</t>
  </si>
  <si>
    <r>
      <t>EOL Price</t>
    </r>
    <r>
      <rPr>
        <sz val="8"/>
        <rFont val="Arial"/>
        <family val="2"/>
      </rPr>
      <t xml:space="preserve"> = Online Negotiated Basis Differential Price (CAD$)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(MMBtu) * Determination Period (#days)
</t>
    </r>
    <r>
      <rPr>
        <b/>
        <sz val="8"/>
        <rFont val="Arial"/>
        <family val="2"/>
      </rPr>
      <t>Abs Value</t>
    </r>
    <r>
      <rPr>
        <sz val="8"/>
        <rFont val="Arial"/>
        <family val="2"/>
      </rPr>
      <t xml:space="preserve"> = HH (deal date) * Converted Notional Volume  
</t>
    </r>
  </si>
  <si>
    <r>
      <t>EOL Price</t>
    </r>
    <r>
      <rPr>
        <sz val="8"/>
        <rFont val="Arial"/>
        <family val="2"/>
      </rPr>
      <t xml:space="preserve"> = Online Negotiated Price (US$/CAD$)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(MMBtu/GJ) * Determination Period (#days)
</t>
    </r>
    <r>
      <rPr>
        <b/>
        <sz val="8"/>
        <rFont val="Arial"/>
        <family val="2"/>
      </rPr>
      <t>Abs Value</t>
    </r>
    <r>
      <rPr>
        <sz val="8"/>
        <rFont val="Arial"/>
        <family val="2"/>
      </rPr>
      <t xml:space="preserve"> = HH (deal date) * Converted Notional Volume
</t>
    </r>
  </si>
  <si>
    <t>US Gas Physical Index Firm
(Sitara &amp; Tagg)</t>
  </si>
  <si>
    <t>US Gas Physical Forward Firm
(Sitara &amp; Tagg)</t>
  </si>
  <si>
    <t>CAN Gas Physical Index Firm
(Sitara &amp; Tagg)</t>
  </si>
  <si>
    <r>
      <t>EOL Price</t>
    </r>
    <r>
      <rPr>
        <sz val="8"/>
        <rFont val="Arial"/>
        <family val="2"/>
      </rPr>
      <t xml:space="preserve"> = Negotiated Online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(#Days)
</t>
    </r>
    <r>
      <rPr>
        <b/>
        <sz val="8"/>
        <rFont val="Arial"/>
        <family val="2"/>
      </rPr>
      <t>Abs Value</t>
    </r>
    <r>
      <rPr>
        <sz val="8"/>
        <rFont val="Arial"/>
        <family val="2"/>
      </rPr>
      <t xml:space="preserve"> = Fixed Price * Notional Volume</t>
    </r>
  </si>
  <si>
    <r>
      <t>EOL Price</t>
    </r>
    <r>
      <rPr>
        <sz val="8"/>
        <rFont val="Arial"/>
        <family val="2"/>
      </rPr>
      <t xml:space="preserve"> = Online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EOL Price * Notional Volume</t>
    </r>
  </si>
  <si>
    <r>
      <t>EOL Price</t>
    </r>
    <r>
      <rPr>
        <sz val="8"/>
        <rFont val="Arial"/>
        <family val="2"/>
      </rPr>
      <t xml:space="preserve"> = Online Negotiated Basis Differential Price
</t>
    </r>
    <r>
      <rPr>
        <b/>
        <sz val="8"/>
        <rFont val="Arial"/>
        <family val="2"/>
      </rPr>
      <t>Fixed Price</t>
    </r>
    <r>
      <rPr>
        <sz val="8"/>
        <rFont val="Arial"/>
        <family val="2"/>
      </rPr>
      <t xml:space="preserve"> = EOL Price + WTI Index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EOL Price * Notional Volume</t>
    </r>
  </si>
  <si>
    <r>
      <t>EOL Price</t>
    </r>
    <r>
      <rPr>
        <sz val="8"/>
        <rFont val="Arial"/>
        <family val="2"/>
      </rPr>
      <t xml:space="preserve"> = Online Negotiated Basis Differential Price
</t>
    </r>
    <r>
      <rPr>
        <b/>
        <sz val="8"/>
        <rFont val="Arial"/>
        <family val="2"/>
      </rPr>
      <t>Fixed Price</t>
    </r>
    <r>
      <rPr>
        <sz val="8"/>
        <rFont val="Arial"/>
        <family val="2"/>
      </rPr>
      <t xml:space="preserve"> = EOL Price + IPE Futures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Fixed Price * Notional Volume
Basis+Index Price * Notional Volume</t>
    </r>
  </si>
  <si>
    <t>Oil Products
(Financial Swaps &amp; Spreads)</t>
  </si>
  <si>
    <r>
      <t>EOL Price</t>
    </r>
    <r>
      <rPr>
        <sz val="8"/>
        <rFont val="Arial"/>
        <family val="2"/>
      </rPr>
      <t xml:space="preserve"> = Online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(barrels, tonnes, gallons) * Determination Period (#Months)
</t>
    </r>
    <r>
      <rPr>
        <b/>
        <sz val="8"/>
        <rFont val="Arial"/>
        <family val="2"/>
      </rPr>
      <t>Abs Value</t>
    </r>
    <r>
      <rPr>
        <sz val="8"/>
        <rFont val="Arial"/>
        <family val="2"/>
      </rPr>
      <t xml:space="preserve"> = EOL Price * Notional Volume</t>
    </r>
  </si>
  <si>
    <t>1. US Gas</t>
  </si>
  <si>
    <t>2. Canadian Gas</t>
  </si>
  <si>
    <t>TOTAL US Gas</t>
  </si>
  <si>
    <t>TOTAL Canadian Gas</t>
  </si>
  <si>
    <t>5. Broadband</t>
  </si>
  <si>
    <t>6. U.S. East Power</t>
  </si>
  <si>
    <t>US East Power Physical Forward</t>
  </si>
  <si>
    <t>TOTAL Broadband</t>
  </si>
  <si>
    <t>TOTAL US East Power</t>
  </si>
  <si>
    <t>U.S. Gas Basis Swaps</t>
  </si>
  <si>
    <t>US West Power Physical Forward (Firm &amp; CAISO)</t>
  </si>
  <si>
    <t>US Power Physical Index (Firm &amp; CAISO)</t>
  </si>
  <si>
    <t>US West Power Physical Spread</t>
  </si>
  <si>
    <t>TOTAL US West Power</t>
  </si>
  <si>
    <t>7. U.S. West Power</t>
  </si>
  <si>
    <t>8. Australian Power</t>
  </si>
  <si>
    <t>9. Austrian Power</t>
  </si>
  <si>
    <t>11. German Power</t>
  </si>
  <si>
    <t>13. Swiss Power</t>
  </si>
  <si>
    <t>15. Nordic Power</t>
  </si>
  <si>
    <t>Nordic Power Financial Swap</t>
  </si>
  <si>
    <t>Nordic Power Financial Swap Option</t>
  </si>
  <si>
    <t>16. U.K. Power</t>
  </si>
  <si>
    <t>17. Crude &amp; Products</t>
  </si>
  <si>
    <t>18. LPG</t>
  </si>
  <si>
    <t>19. Plastics</t>
  </si>
  <si>
    <t>20. Petrochemicals</t>
  </si>
  <si>
    <t>21. Coal</t>
  </si>
  <si>
    <t>22. Emissions</t>
  </si>
  <si>
    <t>23. Pulp &amp; Paper</t>
  </si>
  <si>
    <t>24. Weather</t>
  </si>
  <si>
    <t>25. Metals</t>
  </si>
  <si>
    <t>124 deals were identified where their were volumetric discrepancies between TAGG and EOL data.  The result is $24M overstatement in absolute value.</t>
  </si>
  <si>
    <t>Comments</t>
  </si>
  <si>
    <r>
      <t>EOL Price</t>
    </r>
    <r>
      <rPr>
        <sz val="8"/>
        <rFont val="Arial"/>
        <family val="2"/>
      </rPr>
      <t xml:space="preserve"> = Online Negotiated Basis Differential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EOL Price * Notional Volume
</t>
    </r>
  </si>
  <si>
    <r>
      <t>EOL Price</t>
    </r>
    <r>
      <rPr>
        <sz val="8"/>
        <rFont val="Arial"/>
        <family val="2"/>
      </rPr>
      <t xml:space="preserve"> = Online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EOL Fixed Price * Notional Volume
(after 4/18/00)</t>
    </r>
  </si>
  <si>
    <t>Minor differences between Management Reporting Database values and EOL recalculated were due to:
- Henry Hub prices used to value all deal prior to 4/19/00.  This still contributes approximately $49.7M to the difference.
- Some deals from TAGG &amp; SITARA after 4/18/00 are still being valued with the Henry Hub prices.  This may have been a result of missing information during the reporting day and HH prices had to be used.
- There are still some 81 deals where the volumes do not tie out.</t>
  </si>
  <si>
    <t>Valuation Calculation Used
as of 7/14/2000</t>
  </si>
  <si>
    <r>
      <t>EOL Price</t>
    </r>
    <r>
      <rPr>
        <sz val="8"/>
        <rFont val="Arial"/>
        <family val="2"/>
      </rPr>
      <t xml:space="preserve"> = Online Negotiated Basis Differential Price
</t>
    </r>
    <r>
      <rPr>
        <b/>
        <sz val="8"/>
        <rFont val="Arial"/>
        <family val="2"/>
      </rPr>
      <t>Fixed Price</t>
    </r>
    <r>
      <rPr>
        <sz val="8"/>
        <rFont val="Arial"/>
        <family val="2"/>
      </rPr>
      <t xml:space="preserve"> = EOL Price + Index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Henry Hub Price * Notional Value
(prior to 4/18/00)
</t>
    </r>
    <r>
      <rPr>
        <b/>
        <sz val="8"/>
        <rFont val="Arial"/>
        <family val="2"/>
      </rPr>
      <t>Abs Value</t>
    </r>
    <r>
      <rPr>
        <sz val="8"/>
        <rFont val="Arial"/>
        <family val="2"/>
      </rPr>
      <t xml:space="preserve"> = Fixed Price * Notional Value
(after 4/18/00)
 </t>
    </r>
  </si>
  <si>
    <t>CAN Gas Physical Forward Firm East &amp; West
(Sitara)</t>
  </si>
  <si>
    <t>CAN Gas Physical Forward Firm East &amp; West (TAGG)</t>
  </si>
  <si>
    <r>
      <t>EOL Price</t>
    </r>
    <r>
      <rPr>
        <sz val="8"/>
        <rFont val="Arial"/>
        <family val="2"/>
      </rPr>
      <t xml:space="preserve"> = Negotiated Price (US$/CAD$)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(MMBtu/GJ) * Determination Period (# days)
</t>
    </r>
    <r>
      <rPr>
        <b/>
        <sz val="8"/>
        <rFont val="Arial"/>
        <family val="2"/>
      </rPr>
      <t>Abs Value = Henry Hub Price * Notional Value
(prior to 4/18/00)
Abs Value = Fixed Price * Notional Value
(after 4/18/00)</t>
    </r>
  </si>
  <si>
    <t>The majority of the $207M difference in absolute value is due to the Henry Hub prices that were used to calculate absolute value instead of the EOL Fixed Price for all deals prior to 4/18/00.  
Some of the difference is also a result of some residual conversion factor problems left over from previous cleanup exercises.  There are approximately 334 deals that have the incorrect GJ to MMBtu conversion factors applied.  In our previous test, this number was 3,149.</t>
  </si>
  <si>
    <t>The majority of the $399M difference in absolute value is due to the Henry Hub prices that were used to calculate absolute value instead of the EOL Fixed Price.  Henry Hub prices appear to be used for deals after 4/19/00 when the price extracts from Tagg were changed.  Also, 76 deals were identified with minor differences in conversion factors.</t>
  </si>
  <si>
    <r>
      <t>EOL Price</t>
    </r>
    <r>
      <rPr>
        <sz val="8"/>
        <rFont val="Arial"/>
        <family val="2"/>
      </rPr>
      <t xml:space="preserve"> = Online Negotiated Basis Differential Price (CAD$)
</t>
    </r>
    <r>
      <rPr>
        <b/>
        <sz val="8"/>
        <rFont val="Arial"/>
        <family val="2"/>
      </rPr>
      <t>Fixed Price</t>
    </r>
    <r>
      <rPr>
        <sz val="8"/>
        <rFont val="Arial"/>
        <family val="2"/>
      </rPr>
      <t xml:space="preserve"> = EOL Price + Index Price
</t>
    </r>
    <r>
      <rPr>
        <b/>
        <sz val="8"/>
        <rFont val="Arial"/>
        <family val="2"/>
      </rPr>
      <t>Notional Volume</t>
    </r>
    <r>
      <rPr>
        <sz val="8"/>
        <rFont val="Arial"/>
        <family val="2"/>
      </rPr>
      <t xml:space="preserve"> = EOL Volume (GJ) * Determination Period (#days)
</t>
    </r>
    <r>
      <rPr>
        <b/>
        <sz val="8"/>
        <rFont val="Arial"/>
        <family val="2"/>
      </rPr>
      <t>Abs Value</t>
    </r>
    <r>
      <rPr>
        <sz val="8"/>
        <rFont val="Arial"/>
        <family val="2"/>
      </rPr>
      <t xml:space="preserve"> = Fixed Price * Converted Notional Volume</t>
    </r>
  </si>
  <si>
    <t>The Absolute Value difference of $24,269,092 results primarily from 1) the conversion factors used for most trades is 0.9482 instead of the factor 0.94782.  and  2) slight price variations between the EOL Price and the price received from the TAGG data extract.  Approximately 252 deals from 2,235 have variations greater than 1% of the EOL recalculated Absolute Value.  This problem was not corrected from previous testing.</t>
  </si>
  <si>
    <r>
      <t>EOL Price</t>
    </r>
    <r>
      <rPr>
        <sz val="8"/>
        <rFont val="Arial"/>
        <family val="2"/>
      </rPr>
      <t xml:space="preserve"> = Online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(#Days)
</t>
    </r>
    <r>
      <rPr>
        <b/>
        <sz val="8"/>
        <rFont val="Arial"/>
        <family val="2"/>
      </rPr>
      <t>Abs Value</t>
    </r>
    <r>
      <rPr>
        <sz val="8"/>
        <rFont val="Arial"/>
        <family val="2"/>
      </rPr>
      <t xml:space="preserve"> = EOL Fixed Price * Notional Volume</t>
    </r>
  </si>
  <si>
    <r>
      <t>EOL Price</t>
    </r>
    <r>
      <rPr>
        <sz val="8"/>
        <rFont val="Arial"/>
        <family val="2"/>
      </rPr>
      <t xml:space="preserve"> = Online Negotiated Price (US$/CAD$)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(MMBtu/GJ) * Determination Period (#days)
</t>
    </r>
    <r>
      <rPr>
        <b/>
        <sz val="8"/>
        <rFont val="Arial"/>
        <family val="2"/>
      </rPr>
      <t>Abs Value</t>
    </r>
    <r>
      <rPr>
        <sz val="8"/>
        <rFont val="Arial"/>
        <family val="2"/>
      </rPr>
      <t xml:space="preserve"> = EOL Fixed Price* Converted Notional Volume
</t>
    </r>
  </si>
  <si>
    <r>
      <t>EOL Price</t>
    </r>
    <r>
      <rPr>
        <sz val="8"/>
        <rFont val="Arial"/>
        <family val="2"/>
      </rPr>
      <t xml:space="preserve"> = Online Negotiated Basis Differential Price (US$)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(MMBtu) * Determination Period (#days)
</t>
    </r>
    <r>
      <rPr>
        <b/>
        <sz val="8"/>
        <rFont val="Arial"/>
        <family val="2"/>
      </rPr>
      <t>Abs Value</t>
    </r>
    <r>
      <rPr>
        <sz val="8"/>
        <rFont val="Arial"/>
        <family val="2"/>
      </rPr>
      <t xml:space="preserve"> = EOL Price * Converted Notional Volume</t>
    </r>
  </si>
  <si>
    <t>The difference is primarily a result of 58 deals in the Management Report database that were valued using fixed price for gas instead of the EOL Price (basis differential).  These deal appear to be confined to a few days where the error occurred.  There were also 11 deals that did not tie out volumetrically, however the effect on the Absolute value was low.</t>
  </si>
  <si>
    <t>One deal was identified that had a volumetric difference of 500 MMBtu.  Other differences result from slight differences in foreign currency conversion rates.</t>
  </si>
  <si>
    <t>Percentage of PCG $</t>
  </si>
  <si>
    <t>18 deals were identified that have different prices between the TAGG and the EOL data.  Also, only one deal was found with a volumetric difference that accounts for $2.5M of the difference in absolute value.</t>
  </si>
  <si>
    <t>US Crude Spread Financial Swap</t>
  </si>
  <si>
    <r>
      <t>EOL Price</t>
    </r>
    <r>
      <rPr>
        <sz val="8"/>
        <rFont val="Arial"/>
        <family val="2"/>
      </rPr>
      <t xml:space="preserve"> = Online Negotiated Differential Price
</t>
    </r>
    <r>
      <rPr>
        <b/>
        <sz val="8"/>
        <rFont val="Arial"/>
        <family val="2"/>
      </rPr>
      <t>Fixed Price</t>
    </r>
    <r>
      <rPr>
        <sz val="8"/>
        <rFont val="Arial"/>
        <family val="2"/>
      </rPr>
      <t xml:space="preserve"> = EOL Price + WTI Index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Fixed Price * Notional Volume</t>
    </r>
  </si>
  <si>
    <t>10 deals identified where the prices quoted between EOL &amp; Gasdesk data were different by more than 1%.  All deals had deal date of 6/1/00 - possibly manual entry error?</t>
  </si>
  <si>
    <t>One deal was identified that had a volumetric difference of 2000 barrels.</t>
  </si>
  <si>
    <t>UK IPE Futures Lookalike Financial Swaps</t>
  </si>
  <si>
    <r>
      <t>EOL Price</t>
    </r>
    <r>
      <rPr>
        <sz val="8"/>
        <rFont val="Arial"/>
        <family val="2"/>
      </rPr>
      <t xml:space="preserve"> = Online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Fixed Price * Notional Volume</t>
    </r>
  </si>
  <si>
    <t>No exceptions noted.</t>
  </si>
  <si>
    <t>SG Dubai Financial Swap</t>
  </si>
  <si>
    <t>SG Tap-Dub Differential Swap</t>
  </si>
  <si>
    <r>
      <t>EOL Price</t>
    </r>
    <r>
      <rPr>
        <sz val="8"/>
        <rFont val="Arial"/>
        <family val="2"/>
      </rPr>
      <t xml:space="preserve"> = Online Negotiated Basis Differential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(barrels) * Determination Period (#Months)
</t>
    </r>
    <r>
      <rPr>
        <b/>
        <sz val="8"/>
        <rFont val="Arial"/>
        <family val="2"/>
      </rPr>
      <t>Abs Value</t>
    </r>
    <r>
      <rPr>
        <sz val="8"/>
        <rFont val="Arial"/>
        <family val="2"/>
      </rPr>
      <t xml:space="preserve"> = Fixed Price * Notional Volume</t>
    </r>
  </si>
  <si>
    <t>Reporting Categories
       EOL Product Type</t>
  </si>
  <si>
    <r>
      <t>EOL Price</t>
    </r>
    <r>
      <rPr>
        <sz val="8"/>
        <rFont val="Arial"/>
        <family val="2"/>
      </rPr>
      <t xml:space="preserve"> = Online Negotiated Price (US$/Tonne)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(LME Copper Lots) * Determination Period
</t>
    </r>
    <r>
      <rPr>
        <b/>
        <sz val="8"/>
        <rFont val="Arial"/>
        <family val="2"/>
      </rPr>
      <t>Abs Value</t>
    </r>
    <r>
      <rPr>
        <sz val="8"/>
        <rFont val="Arial"/>
        <family val="2"/>
      </rPr>
      <t xml:space="preserve"> = Fixed Price * Notional Volume</t>
    </r>
  </si>
  <si>
    <t>Over 270 million of the net 268 million discrepancy is due to two post Ids which Risk Management mistakenly officialized as Gas Daily Books on the 8th and 19th of May. This caused the basis deals contained in these books to be pulled in as Gas Daily Index trades and they were valued accordingly. The Post Ids were subsequently corrected (the next day) by Risk Management, but PCG was not notified of the change to these officialized books.</t>
  </si>
  <si>
    <t>Two days worth of data on two book codes were doubled in Access. Individual deals being corrected.</t>
  </si>
  <si>
    <t>About 25% of the original Henry Hub mass-Price correction from June not currently reflected in Database. We are reviewing the individual spreadsheets which did not update and will run another mass-conversion on physical trade data to reflect the remaining 25% of the June correction.</t>
  </si>
  <si>
    <t>See above.</t>
  </si>
  <si>
    <t>Henry Hub Price conversion issue. Of the original 1.2 billion dollar conversion in June, about 400 million is not currently reflected as being updated in the database. Mass correction and verification will be made after audit is completed</t>
  </si>
  <si>
    <t>Existing issue from June regarding Henry Hub price substitution on Term Firm Physical Forwards housed in TAGG. Trades in TAGG which have both price and basis/index components appear in more than one portfolio within ERMS. To avoid double counting, the database discards all but one of these deal legs. Since the price component can appear in both financial and physical portfolios, the index component is retained on physical term trades and is added to the NYMEX settle.</t>
  </si>
  <si>
    <t>Checking individual trades.</t>
  </si>
  <si>
    <t xml:space="preserve">Two trades days worth of Canadian basis swaps were calculated and officialized as price deals under the Canadian C4 price book post ID. These two days are the 29th of June and the 7th of July (post ID # 825401). Post IDs were corrected in both cases several days after being officialized </t>
  </si>
  <si>
    <t>Manual currency conversion errors on PCG London spreadsheet.</t>
  </si>
  <si>
    <t>Reviewing individual trades.</t>
  </si>
  <si>
    <r>
      <t>EOL Price</t>
    </r>
    <r>
      <rPr>
        <sz val="8"/>
        <rFont val="Arial"/>
        <family val="2"/>
      </rPr>
      <t xml:space="preserve"> =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(Converted) * Determination Period
</t>
    </r>
    <r>
      <rPr>
        <b/>
        <sz val="8"/>
        <rFont val="Arial"/>
        <family val="2"/>
      </rPr>
      <t>Abs Value</t>
    </r>
    <r>
      <rPr>
        <sz val="8"/>
        <rFont val="Arial"/>
        <family val="2"/>
      </rPr>
      <t xml:space="preserve"> = Fixed Price * Notional Volume</t>
    </r>
  </si>
  <si>
    <t>One deal was identified that has a zero price in the Management Report Database.  6 other deals were identified that had volume discrepancies - double counting.</t>
  </si>
  <si>
    <r>
      <t>EOL Price</t>
    </r>
    <r>
      <rPr>
        <sz val="8"/>
        <rFont val="Arial"/>
        <family val="2"/>
      </rPr>
      <t xml:space="preserve"> =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(EA's)
</t>
    </r>
    <r>
      <rPr>
        <b/>
        <sz val="8"/>
        <rFont val="Arial"/>
        <family val="2"/>
      </rPr>
      <t>Abs Value</t>
    </r>
    <r>
      <rPr>
        <sz val="8"/>
        <rFont val="Arial"/>
        <family val="2"/>
      </rPr>
      <t xml:space="preserve"> = Fixed Price * Notional Volume</t>
    </r>
  </si>
  <si>
    <t>Propane CIF Financial Swap</t>
  </si>
  <si>
    <t>US Propane Financial Swap</t>
  </si>
  <si>
    <t>US Propane FOB Physical Forward</t>
  </si>
  <si>
    <r>
      <t>EOL Price</t>
    </r>
    <r>
      <rPr>
        <sz val="8"/>
        <rFont val="Arial"/>
        <family val="2"/>
      </rPr>
      <t xml:space="preserve"> =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(MT) * Determination Period
</t>
    </r>
    <r>
      <rPr>
        <b/>
        <sz val="8"/>
        <rFont val="Arial"/>
        <family val="2"/>
      </rPr>
      <t>Abs Value</t>
    </r>
    <r>
      <rPr>
        <sz val="8"/>
        <rFont val="Arial"/>
        <family val="2"/>
      </rPr>
      <t xml:space="preserve"> = Fixed Price * Notional Volume</t>
    </r>
  </si>
  <si>
    <t>TOTAL LPG</t>
  </si>
  <si>
    <r>
      <t>EOL Price</t>
    </r>
    <r>
      <rPr>
        <sz val="8"/>
        <rFont val="Arial"/>
        <family val="2"/>
      </rPr>
      <t xml:space="preserve"> = Negotiated Price (Cents/Gallon)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(Barrels) * Determination Period
</t>
    </r>
    <r>
      <rPr>
        <b/>
        <sz val="8"/>
        <rFont val="Arial"/>
        <family val="2"/>
      </rPr>
      <t>Abs Value</t>
    </r>
    <r>
      <rPr>
        <sz val="8"/>
        <rFont val="Arial"/>
        <family val="2"/>
      </rPr>
      <t xml:space="preserve"> = Fixed Price (converted) * Notional Volume</t>
    </r>
  </si>
  <si>
    <r>
      <t>EOL Price</t>
    </r>
    <r>
      <rPr>
        <sz val="8"/>
        <rFont val="Arial"/>
        <family val="2"/>
      </rPr>
      <t xml:space="preserve"> = Negotiated Price (Cents/Gallon)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(gallons) * Determination Period
</t>
    </r>
    <r>
      <rPr>
        <b/>
        <sz val="8"/>
        <rFont val="Arial"/>
        <family val="2"/>
      </rPr>
      <t>Abs Value</t>
    </r>
    <r>
      <rPr>
        <sz val="8"/>
        <rFont val="Arial"/>
        <family val="2"/>
      </rPr>
      <t xml:space="preserve"> = Fixed Price * Notional Volume</t>
    </r>
  </si>
  <si>
    <t>Is a LME Copper Lot = 25 Tonnes?  This may explain the difference.  The Tagg data does not appear to reflect the conversion factor.</t>
  </si>
  <si>
    <t>One deal has the whole price in Dollars decimal format instead of cents.  Also, the volumes are off as well.  NOTE: This deal is flagged as "Temporary Convert Plug" in the Tagg extract table in the management reporting database.</t>
  </si>
  <si>
    <t>US Weather Financial Swaps</t>
  </si>
  <si>
    <r>
      <t>EOL Price</t>
    </r>
    <r>
      <rPr>
        <sz val="8"/>
        <rFont val="Arial"/>
        <family val="2"/>
      </rPr>
      <t xml:space="preserve"> = Negotiated Heating or Cooling Degree Days
</t>
    </r>
    <r>
      <rPr>
        <b/>
        <sz val="8"/>
        <rFont val="Arial"/>
        <family val="2"/>
      </rPr>
      <t>Fixed Price</t>
    </r>
    <r>
      <rPr>
        <sz val="8"/>
        <rFont val="Arial"/>
        <family val="2"/>
      </rPr>
      <t xml:space="preserve"> = EOL Price
</t>
    </r>
    <r>
      <rPr>
        <b/>
        <sz val="8"/>
        <rFont val="Arial"/>
        <family val="2"/>
      </rPr>
      <t>Notional Volume</t>
    </r>
    <r>
      <rPr>
        <sz val="8"/>
        <rFont val="Arial"/>
        <family val="2"/>
      </rPr>
      <t xml:space="preserve"> = Total # Contracts
</t>
    </r>
    <r>
      <rPr>
        <b/>
        <sz val="8"/>
        <rFont val="Arial"/>
        <family val="2"/>
      </rPr>
      <t>Abs Value</t>
    </r>
    <r>
      <rPr>
        <sz val="8"/>
        <rFont val="Arial"/>
        <family val="2"/>
      </rPr>
      <t xml:space="preserve"> = Fixed Price * Notional Volume</t>
    </r>
  </si>
  <si>
    <t xml:space="preserve">Several deals could not be reconciled by degree days.  Also, the number of contracts bought or sold are not included in the absolute value calculation.  For instance some deals involved more than one contract however the Management Report Database only considers the volume associated with one contract. </t>
  </si>
  <si>
    <t>UK Weather Financial Swaps</t>
  </si>
  <si>
    <t>Several deals could not be reconciled by degree days.  It appears 310 degree days was used as the standard for all deals used in the management reporting database.
Also, the EOL deals are quoted in GBP/HDD or GBP/CDD.</t>
  </si>
  <si>
    <t>TOTAL Weather</t>
  </si>
  <si>
    <t>Not sure if this deal is a Basis Swap or Physical Index Swap?  EOL Deal Number 210719</t>
  </si>
  <si>
    <t>One deal was identified with a volumetric difference between TAGG &amp; EOL.  This deal is labeled as a "Temporary Convert Plug" in the Tagg extract table of the management reporting database.</t>
  </si>
  <si>
    <t>33 deals were off slightly due to volumetric differences.  Most of the 33 deals were off by one day's worth of power.  NEED TO CHECK PRODUCT DESCRIPTIONS</t>
  </si>
  <si>
    <t>3 Off Peak CAISO deals could not be reconciled volumetrically.  Each deal was off by one day's worth of power.NEED TO CHECK PRODUCT DESCRIPTIONS</t>
  </si>
  <si>
    <t>All volumes reconciled.  However, Palo Verde Prices of $40.00, $63.00, and $58.75 per MWH are used to calculate the absolute value for almost all deals regardless of the index price and determination period.</t>
  </si>
  <si>
    <t>7 deals appear to have their volume doubled in the Enpower data.</t>
  </si>
  <si>
    <t>48 deals out of 2,019 were identified that had volumetric differences.  Most likely, these are a result of converting from MW to MWh.</t>
  </si>
  <si>
    <t>Most differences related to one day differences in EOL volumes and Enpower Volumes.</t>
  </si>
  <si>
    <t>Swiss Power Financial Swap</t>
  </si>
  <si>
    <t>TOTAL Swiss Power</t>
  </si>
  <si>
    <t>Swiss Power Physical Forward Swap</t>
  </si>
  <si>
    <t xml:space="preserve">10 Deals out of 153 were identified that had volumetric differences between Enpower and EOL. </t>
  </si>
  <si>
    <t>12. Iberian Power
(Spanish)</t>
  </si>
  <si>
    <r>
      <t>EOL Price</t>
    </r>
    <r>
      <rPr>
        <sz val="8"/>
        <rFont val="Arial"/>
        <family val="2"/>
      </rPr>
      <t xml:space="preserve"> = Negotiated Price
</t>
    </r>
    <r>
      <rPr>
        <b/>
        <sz val="8"/>
        <rFont val="Arial"/>
        <family val="2"/>
      </rPr>
      <t>Fixed Price</t>
    </r>
    <r>
      <rPr>
        <sz val="8"/>
        <rFont val="Arial"/>
        <family val="2"/>
      </rPr>
      <t xml:space="preserve"> = EOL Price (Converted from ESP/Kw to USD/Mw)
</t>
    </r>
    <r>
      <rPr>
        <b/>
        <sz val="8"/>
        <rFont val="Arial"/>
        <family val="2"/>
      </rPr>
      <t>Notional Volume</t>
    </r>
    <r>
      <rPr>
        <sz val="8"/>
        <rFont val="Arial"/>
        <family val="2"/>
      </rPr>
      <t xml:space="preserve"> = EOL Volume (Mw) * Determination Period
</t>
    </r>
    <r>
      <rPr>
        <b/>
        <sz val="8"/>
        <rFont val="Arial"/>
        <family val="2"/>
      </rPr>
      <t>Abs Value</t>
    </r>
    <r>
      <rPr>
        <sz val="8"/>
        <rFont val="Arial"/>
        <family val="2"/>
      </rPr>
      <t xml:space="preserve"> = Fixed Price * Notional Volume</t>
    </r>
  </si>
  <si>
    <t>3 Deals out of 16 had volumetric differences.</t>
  </si>
  <si>
    <t>10. Dutch Power
14. Other Continental Power</t>
  </si>
  <si>
    <t>There are 8 deals total that have no absolute value within the Management Reporting Database.</t>
  </si>
  <si>
    <t>TOTAL Nordic</t>
  </si>
  <si>
    <t>12 Deals out of 79 were identified that had volumetric differences.</t>
  </si>
  <si>
    <t>Physical Forward Firm</t>
  </si>
  <si>
    <r>
      <t>EOL Price</t>
    </r>
    <r>
      <rPr>
        <sz val="8"/>
        <rFont val="Arial"/>
        <family val="2"/>
      </rPr>
      <t xml:space="preserve"> = Negotiated Price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Volume * Determination Period
</t>
    </r>
    <r>
      <rPr>
        <b/>
        <sz val="8"/>
        <rFont val="Arial"/>
        <family val="2"/>
      </rPr>
      <t>Abs Value</t>
    </r>
    <r>
      <rPr>
        <sz val="8"/>
        <rFont val="Arial"/>
        <family val="2"/>
      </rPr>
      <t xml:space="preserve"> = (Fixed Price) * Notional Volume</t>
    </r>
  </si>
  <si>
    <r>
      <t>EOL Price</t>
    </r>
    <r>
      <rPr>
        <sz val="8"/>
        <rFont val="Arial"/>
        <family val="2"/>
      </rPr>
      <t xml:space="preserve"> = Negotiated Price ($/mt or $/gallons)
</t>
    </r>
    <r>
      <rPr>
        <b/>
        <sz val="8"/>
        <rFont val="Arial"/>
        <family val="2"/>
      </rPr>
      <t>Fixed Price</t>
    </r>
    <r>
      <rPr>
        <sz val="8"/>
        <rFont val="Arial"/>
        <family val="2"/>
      </rPr>
      <t xml:space="preserve"> = EOL Price
</t>
    </r>
    <r>
      <rPr>
        <b/>
        <sz val="8"/>
        <rFont val="Arial"/>
        <family val="2"/>
      </rPr>
      <t>Notional Volume</t>
    </r>
    <r>
      <rPr>
        <sz val="8"/>
        <rFont val="Arial"/>
        <family val="2"/>
      </rPr>
      <t xml:space="preserve"> = EOL Converted Volume * Determination Period
</t>
    </r>
    <r>
      <rPr>
        <b/>
        <sz val="8"/>
        <rFont val="Arial"/>
        <family val="2"/>
      </rPr>
      <t>Abs Value</t>
    </r>
    <r>
      <rPr>
        <sz val="8"/>
        <rFont val="Arial"/>
        <family val="2"/>
      </rPr>
      <t xml:space="preserve"> = Fixed Price * Notional Volume</t>
    </r>
  </si>
  <si>
    <t>Financial Swaps</t>
  </si>
  <si>
    <t>One deal was identified with a volumetric difference between TAGG &amp; EOL.</t>
  </si>
  <si>
    <t>Deals were identified with slight volumetric differences.</t>
  </si>
  <si>
    <t>US Bandwidth Physical Forward</t>
  </si>
  <si>
    <t>TOTAL Petrochems</t>
  </si>
  <si>
    <t>Several deals 7 out of 285 had significant volume differences which contribute to the majority of the differences in Absolute Value.</t>
  </si>
  <si>
    <t>68 Deals were identified that were extracted from TAGG with 0 prices.  As a result these deals were not calculated as part of the final Absolute Value.  
6 Deals were identified where the volumes between TAGG and EOL did not reconcile.
Another 87 deals were priced out in the Management Report with Index Prices instead of Basis Differential Prices.  This is the primary error contributing to the $268M overstatement.</t>
  </si>
  <si>
    <t>Unable to completely recomputed the Absolute values from EOL data.  After 4/18/00 Sitara began providing the actual fixed prices (Index Settlement Price + EOL Price).  However, no significant variations were observed when comparing the Management Report Absolute values against the absolute values obtained using the Henry Hub Price + EOL Price.  
Only three records were identified in the TAGG data with volumetric differences.</t>
  </si>
  <si>
    <t>Minor differences due to pricing methodology changes after 4/18/00.  Prior to 4/18/00 the Henry Hub price was used to value the index deals.  This was done without netting the Henry Hub price against the EOL Price Differential entered on the website.</t>
  </si>
  <si>
    <t>Difference in absolute value is a result of only the Henry Hub price being used to calculate the Absolute Value.  These deals (450) are labeled in the EOL data as being bridged to Sitara, however, the data extract comes from TAGG.  The effort to fix the price extracts from Sitara initiated in 4/18/00 may not have included these deals.  Two deals were also identified that could not be tied volumetrically.</t>
  </si>
  <si>
    <t>13 Deals identified that had volumetric differences between Gasdesk and EOL.  Also another65 deals all on 6/1/00 had price differences that were all slightly more than 10%.  Possible manual entry error on the conversion rate used?</t>
  </si>
  <si>
    <t>Only one deal was identified that appeared to have the Enpower volume doubled.  Most likely result of manual input error.</t>
  </si>
  <si>
    <t>The majority of the difference relate to 3 deals where there were significant differences in volumes between Enpower and EOL.  Other differences related to minor differences in foreign exchange and hours.</t>
  </si>
  <si>
    <t>Unable to completely recomputed the Absolute values from EOL data. However, all volumes were reconciled and prices extracted from TAGG appeared reasonable.</t>
  </si>
  <si>
    <t>4 Deals out of 226 were identified that have volumetric discrepancies.  Two of the deals did not have a volume or absolute value in the TAGG data.</t>
  </si>
  <si>
    <t>One deal with a volumetric difference of 8000 Barrels.  Also, identified one deal where the Tagg price was not converted to $/Barrel.  This contributes to most of the $3.6M difference.</t>
  </si>
  <si>
    <t>One deal with a volumetric difference of 1000 Barrels.  Also, should consider relabeling the Units on the product in EOL from Gallons to Barrels since volume is sold in barrels but priced in gallons.  Look into the EOL system reports to see if the price on these deals is printed as cents or whole dollars.</t>
  </si>
  <si>
    <t>13 deals out of 91were identified that had either volumetric or absolute value differences.  There seems to be inconsistencies in conversion of prices and volumes.  Some deals prices are quoted in different volumes from the quantity sold.  Note: Found one deal 299646 that was deleted from the "Raw Data Individual Deals" table but was accounted for in the Management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</si>
</sst>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7" x14ac:knownFonts="1">
    <font>
      <sz val="10"/>
      <name val="Arial"/>
    </font>
    <font>
      <sz val="10"/>
      <name val="Arial"/>
    </font>
    <font>
      <sz val="6"/>
      <name val="Arial"/>
      <family val="2"/>
    </font>
    <font>
      <b/>
      <sz val="6"/>
      <name val="Arial"/>
      <family val="2"/>
    </font>
    <font>
      <b/>
      <sz val="8"/>
      <name val="Arial"/>
      <family val="2"/>
    </font>
    <font>
      <sz val="8"/>
      <name val="Arial"/>
      <family val="2"/>
    </font>
    <font>
      <b/>
      <u val="doubleAccounting"/>
      <sz val="8"/>
      <name val="Arial"/>
      <family val="2"/>
    </font>
  </fonts>
  <fills count="5">
    <fill>
      <patternFill patternType="none"/>
    </fill>
    <fill>
      <patternFill patternType="gray125"/>
    </fill>
    <fill>
      <patternFill patternType="solid">
        <fgColor indexed="31"/>
        <bgColor indexed="64"/>
      </patternFill>
    </fill>
    <fill>
      <patternFill patternType="solid">
        <fgColor indexed="11"/>
        <bgColor indexed="64"/>
      </patternFill>
    </fill>
    <fill>
      <patternFill patternType="solid">
        <fgColor indexed="1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2" fillId="0" borderId="0" xfId="0" applyFont="1" applyAlignment="1">
      <alignment vertical="top"/>
    </xf>
    <xf numFmtId="42" fontId="2" fillId="0" borderId="0" xfId="0" applyNumberFormat="1" applyFont="1" applyAlignment="1">
      <alignment vertical="top"/>
    </xf>
    <xf numFmtId="41" fontId="2" fillId="0" borderId="0" xfId="0" applyNumberFormat="1" applyFont="1" applyAlignment="1">
      <alignment vertical="top"/>
    </xf>
    <xf numFmtId="0" fontId="3" fillId="0" borderId="0" xfId="0" applyFont="1" applyAlignment="1">
      <alignment vertical="top"/>
    </xf>
    <xf numFmtId="10" fontId="0" fillId="0" borderId="0" xfId="0" applyNumberFormat="1"/>
    <xf numFmtId="0" fontId="4" fillId="0" borderId="0" xfId="0" applyFont="1" applyAlignment="1">
      <alignment vertical="top"/>
    </xf>
    <xf numFmtId="0" fontId="4" fillId="0" borderId="0" xfId="0" applyFont="1"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41" fontId="5" fillId="0" borderId="0" xfId="0" applyNumberFormat="1" applyFont="1" applyAlignment="1">
      <alignment vertical="top"/>
    </xf>
    <xf numFmtId="10" fontId="5" fillId="0" borderId="0" xfId="0" applyNumberFormat="1" applyFont="1" applyAlignment="1">
      <alignment vertical="top"/>
    </xf>
    <xf numFmtId="41" fontId="5" fillId="0" borderId="0" xfId="1" applyNumberFormat="1" applyFont="1" applyAlignment="1">
      <alignment vertical="top"/>
    </xf>
    <xf numFmtId="0" fontId="5" fillId="0" borderId="1" xfId="0" applyFont="1" applyBorder="1"/>
    <xf numFmtId="0" fontId="4" fillId="2" borderId="1" xfId="0" applyFont="1" applyFill="1" applyBorder="1" applyAlignment="1">
      <alignment horizontal="center" vertical="center" wrapText="1"/>
    </xf>
    <xf numFmtId="10" fontId="4" fillId="2" borderId="1" xfId="0" applyNumberFormat="1" applyFont="1" applyFill="1" applyBorder="1" applyAlignment="1">
      <alignment horizontal="center" vertical="center" wrapText="1"/>
    </xf>
    <xf numFmtId="41" fontId="6" fillId="0" borderId="0" xfId="0" applyNumberFormat="1" applyFont="1" applyAlignment="1">
      <alignment vertical="top"/>
    </xf>
    <xf numFmtId="10" fontId="4" fillId="0" borderId="0" xfId="0" applyNumberFormat="1" applyFont="1" applyAlignment="1">
      <alignment vertical="top"/>
    </xf>
    <xf numFmtId="41" fontId="4" fillId="0" borderId="0" xfId="0" applyNumberFormat="1" applyFont="1" applyAlignment="1">
      <alignment vertical="top"/>
    </xf>
    <xf numFmtId="41" fontId="6" fillId="0" borderId="0" xfId="1" applyNumberFormat="1" applyFont="1" applyAlignment="1">
      <alignment vertical="top"/>
    </xf>
    <xf numFmtId="0" fontId="5" fillId="2" borderId="0" xfId="0" applyFont="1" applyFill="1" applyAlignment="1">
      <alignment horizontal="left" vertical="top"/>
    </xf>
    <xf numFmtId="0" fontId="5" fillId="2" borderId="0" xfId="0" applyFont="1" applyFill="1" applyAlignment="1">
      <alignment vertical="top"/>
    </xf>
    <xf numFmtId="42" fontId="6" fillId="2" borderId="0" xfId="0" applyNumberFormat="1" applyFont="1" applyFill="1" applyAlignment="1">
      <alignment vertical="top"/>
    </xf>
    <xf numFmtId="0" fontId="4" fillId="2" borderId="0" xfId="0" applyFont="1" applyFill="1" applyAlignment="1">
      <alignment vertical="top"/>
    </xf>
    <xf numFmtId="10" fontId="4" fillId="2" borderId="0" xfId="0" applyNumberFormat="1" applyFont="1" applyFill="1" applyAlignment="1">
      <alignment vertical="top"/>
    </xf>
    <xf numFmtId="0" fontId="0" fillId="0" borderId="0" xfId="0" applyAlignment="1">
      <alignment vertical="top" wrapText="1"/>
    </xf>
    <xf numFmtId="0" fontId="5" fillId="3" borderId="0" xfId="0" applyFont="1" applyFill="1" applyAlignment="1">
      <alignment vertical="top" wrapText="1"/>
    </xf>
    <xf numFmtId="0" fontId="5" fillId="4" borderId="0" xfId="0" applyFont="1" applyFill="1" applyAlignment="1">
      <alignment vertical="top" wrapText="1"/>
    </xf>
    <xf numFmtId="42" fontId="5" fillId="0" borderId="0" xfId="0" applyNumberFormat="1" applyFont="1" applyAlignment="1">
      <alignment vertical="top"/>
    </xf>
    <xf numFmtId="43" fontId="4" fillId="0" borderId="0" xfId="0" applyNumberFormat="1" applyFont="1" applyAlignment="1">
      <alignment vertical="top"/>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6"/>
  <sheetViews>
    <sheetView tabSelected="1" zoomScaleNormal="100" workbookViewId="0">
      <pane xSplit="2" ySplit="1" topLeftCell="D69" activePane="bottomRight" state="frozenSplit"/>
      <selection pane="topRight" activeCell="E1" sqref="E1"/>
      <selection pane="bottomLeft" activeCell="A3" sqref="A3"/>
      <selection pane="bottomRight" activeCell="G74" sqref="G74"/>
    </sheetView>
  </sheetViews>
  <sheetFormatPr defaultRowHeight="13.2" x14ac:dyDescent="0.25"/>
  <cols>
    <col min="1" max="1" width="7.44140625" customWidth="1"/>
    <col min="2" max="2" width="17.109375" customWidth="1"/>
    <col min="3" max="3" width="32.33203125" customWidth="1"/>
    <col min="4" max="4" width="13.5546875" customWidth="1"/>
    <col min="5" max="5" width="31.33203125" customWidth="1"/>
    <col min="6" max="6" width="13.88671875" customWidth="1"/>
    <col min="7" max="7" width="15.33203125" customWidth="1"/>
    <col min="8" max="8" width="10" style="5" customWidth="1"/>
    <col min="9" max="9" width="37.109375" style="26" customWidth="1"/>
  </cols>
  <sheetData>
    <row r="1" spans="1:9" s="14" customFormat="1" ht="33.75" customHeight="1" x14ac:dyDescent="0.2">
      <c r="A1" s="31" t="s">
        <v>103</v>
      </c>
      <c r="B1" s="32"/>
      <c r="C1" s="15" t="s">
        <v>77</v>
      </c>
      <c r="D1" s="15" t="s">
        <v>10</v>
      </c>
      <c r="E1" s="15" t="s">
        <v>0</v>
      </c>
      <c r="F1" s="15" t="s">
        <v>1</v>
      </c>
      <c r="G1" s="15" t="s">
        <v>11</v>
      </c>
      <c r="H1" s="16" t="s">
        <v>91</v>
      </c>
      <c r="I1" s="15" t="s">
        <v>73</v>
      </c>
    </row>
    <row r="2" spans="1:9" s="8" customFormat="1" ht="10.199999999999999" x14ac:dyDescent="0.2">
      <c r="A2" s="6" t="s">
        <v>40</v>
      </c>
      <c r="B2" s="10"/>
      <c r="C2" s="10"/>
      <c r="D2" s="11"/>
      <c r="E2" s="10"/>
      <c r="F2" s="11"/>
      <c r="G2" s="9"/>
      <c r="H2" s="12"/>
      <c r="I2" s="10"/>
    </row>
    <row r="3" spans="1:9" s="8" customFormat="1" ht="112.2" x14ac:dyDescent="0.2">
      <c r="B3" s="10" t="s">
        <v>49</v>
      </c>
      <c r="C3" s="7" t="s">
        <v>74</v>
      </c>
      <c r="D3" s="29">
        <v>3082099652</v>
      </c>
      <c r="E3" s="10" t="s">
        <v>161</v>
      </c>
      <c r="F3" s="29">
        <v>2813490982</v>
      </c>
      <c r="G3" s="29">
        <f>F3-D3</f>
        <v>-268608670</v>
      </c>
      <c r="H3" s="12">
        <f t="shared" ref="H3:H17" si="0">ABS(G3/D3)</f>
        <v>8.7151195720001337E-2</v>
      </c>
      <c r="I3" s="27" t="s">
        <v>105</v>
      </c>
    </row>
    <row r="4" spans="1:9" s="8" customFormat="1" ht="71.400000000000006" x14ac:dyDescent="0.2">
      <c r="A4" s="9"/>
      <c r="B4" s="10" t="s">
        <v>4</v>
      </c>
      <c r="C4" s="7" t="s">
        <v>86</v>
      </c>
      <c r="D4" s="11">
        <v>58573012170</v>
      </c>
      <c r="E4" s="10" t="s">
        <v>72</v>
      </c>
      <c r="F4" s="11">
        <f>58316600067+231595583</f>
        <v>58548195650</v>
      </c>
      <c r="G4" s="11">
        <f>F4-D4</f>
        <v>-24816520</v>
      </c>
      <c r="H4" s="12">
        <f t="shared" si="0"/>
        <v>4.2368522772865959E-4</v>
      </c>
      <c r="I4" s="28" t="s">
        <v>106</v>
      </c>
    </row>
    <row r="5" spans="1:9" s="8" customFormat="1" ht="147.75" customHeight="1" x14ac:dyDescent="0.2">
      <c r="A5" s="9"/>
      <c r="B5" s="10" t="s">
        <v>32</v>
      </c>
      <c r="C5" s="7" t="s">
        <v>75</v>
      </c>
      <c r="D5" s="11">
        <f>4196075801+44949661</f>
        <v>4241025462</v>
      </c>
      <c r="E5" s="10" t="s">
        <v>76</v>
      </c>
      <c r="F5" s="11">
        <f>4147314624+43363533</f>
        <v>4190678157</v>
      </c>
      <c r="G5" s="11">
        <f t="shared" ref="G5:G13" si="1">F5-D5</f>
        <v>-50347305</v>
      </c>
      <c r="H5" s="12">
        <f t="shared" si="0"/>
        <v>1.1871493215760373E-2</v>
      </c>
      <c r="I5" s="28" t="s">
        <v>107</v>
      </c>
    </row>
    <row r="6" spans="1:9" s="8" customFormat="1" ht="135.75" customHeight="1" x14ac:dyDescent="0.2">
      <c r="A6" s="9"/>
      <c r="B6" s="10" t="s">
        <v>31</v>
      </c>
      <c r="C6" s="7" t="s">
        <v>78</v>
      </c>
      <c r="D6" s="11">
        <f>873880400+221961615</f>
        <v>1095842015</v>
      </c>
      <c r="E6" s="10" t="s">
        <v>162</v>
      </c>
      <c r="F6" s="11">
        <f>873880400+221961615+35793</f>
        <v>1095877808</v>
      </c>
      <c r="G6" s="11">
        <f t="shared" si="1"/>
        <v>35793</v>
      </c>
      <c r="H6" s="12">
        <f t="shared" si="0"/>
        <v>3.266255492129493E-5</v>
      </c>
      <c r="I6" s="28" t="s">
        <v>108</v>
      </c>
    </row>
    <row r="7" spans="1:9" s="8" customFormat="1" ht="12" x14ac:dyDescent="0.2">
      <c r="A7" s="9"/>
      <c r="B7" s="7" t="s">
        <v>42</v>
      </c>
      <c r="C7" s="10"/>
      <c r="D7" s="17">
        <f>SUM(D3:D6)</f>
        <v>66991979299</v>
      </c>
      <c r="E7" s="10"/>
      <c r="F7" s="17">
        <f>SUM(F3:F6)</f>
        <v>66648242597</v>
      </c>
      <c r="G7" s="17">
        <f>SUM(G3:G6)</f>
        <v>-343736702</v>
      </c>
      <c r="H7" s="18">
        <f>ABS(G7/D7)</f>
        <v>5.131012780885711E-3</v>
      </c>
      <c r="I7" s="10"/>
    </row>
    <row r="8" spans="1:9" s="8" customFormat="1" ht="12.75" customHeight="1" x14ac:dyDescent="0.2">
      <c r="A8" s="6" t="s">
        <v>41</v>
      </c>
      <c r="B8" s="10"/>
      <c r="C8" s="10"/>
      <c r="D8" s="11"/>
      <c r="E8" s="10"/>
      <c r="F8" s="11"/>
      <c r="G8" s="9"/>
      <c r="H8" s="12"/>
      <c r="I8" s="10"/>
    </row>
    <row r="9" spans="1:9" s="8" customFormat="1" ht="122.4" x14ac:dyDescent="0.2">
      <c r="A9" s="9"/>
      <c r="B9" s="10" t="s">
        <v>79</v>
      </c>
      <c r="C9" s="7" t="s">
        <v>81</v>
      </c>
      <c r="D9" s="11">
        <v>2842288535</v>
      </c>
      <c r="E9" s="10" t="s">
        <v>82</v>
      </c>
      <c r="F9" s="11">
        <v>2634657959</v>
      </c>
      <c r="G9" s="11">
        <f t="shared" si="1"/>
        <v>-207630576</v>
      </c>
      <c r="H9" s="12">
        <f t="shared" si="0"/>
        <v>7.305049203950717E-2</v>
      </c>
      <c r="I9" s="28" t="s">
        <v>109</v>
      </c>
    </row>
    <row r="10" spans="1:9" s="8" customFormat="1" ht="115.5" customHeight="1" x14ac:dyDescent="0.2">
      <c r="A10" s="9"/>
      <c r="B10" s="10" t="s">
        <v>80</v>
      </c>
      <c r="C10" s="7" t="s">
        <v>30</v>
      </c>
      <c r="D10" s="11">
        <v>3411050444</v>
      </c>
      <c r="E10" s="10" t="s">
        <v>83</v>
      </c>
      <c r="F10" s="11">
        <v>3011391776</v>
      </c>
      <c r="G10" s="11">
        <f t="shared" si="1"/>
        <v>-399658668</v>
      </c>
      <c r="H10" s="12">
        <f t="shared" si="0"/>
        <v>0.1171658627045505</v>
      </c>
      <c r="I10" s="28" t="s">
        <v>110</v>
      </c>
    </row>
    <row r="11" spans="1:9" s="8" customFormat="1" ht="81.599999999999994" x14ac:dyDescent="0.2">
      <c r="A11" s="9"/>
      <c r="B11" s="10" t="s">
        <v>33</v>
      </c>
      <c r="C11" s="7" t="s">
        <v>84</v>
      </c>
      <c r="D11" s="11">
        <f>31542465+105108743</f>
        <v>136651208</v>
      </c>
      <c r="E11" s="10" t="s">
        <v>163</v>
      </c>
      <c r="F11" s="11">
        <f>D11+232212-64744</f>
        <v>136818676</v>
      </c>
      <c r="G11" s="11">
        <f t="shared" si="1"/>
        <v>167468</v>
      </c>
      <c r="H11" s="12">
        <f t="shared" si="0"/>
        <v>1.225514230360847E-3</v>
      </c>
      <c r="I11" s="10"/>
    </row>
    <row r="12" spans="1:9" s="8" customFormat="1" ht="114.75" customHeight="1" x14ac:dyDescent="0.2">
      <c r="A12" s="9"/>
      <c r="B12" s="10" t="s">
        <v>12</v>
      </c>
      <c r="C12" s="7" t="s">
        <v>29</v>
      </c>
      <c r="D12" s="11">
        <v>734875305</v>
      </c>
      <c r="E12" s="10" t="s">
        <v>164</v>
      </c>
      <c r="F12" s="11">
        <v>771798565</v>
      </c>
      <c r="G12" s="11">
        <f t="shared" si="1"/>
        <v>36923260</v>
      </c>
      <c r="H12" s="12">
        <f t="shared" si="0"/>
        <v>5.0244251982314199E-2</v>
      </c>
      <c r="I12" s="28" t="s">
        <v>110</v>
      </c>
    </row>
    <row r="13" spans="1:9" s="8" customFormat="1" ht="123.75" customHeight="1" x14ac:dyDescent="0.2">
      <c r="A13" s="9"/>
      <c r="B13" s="10" t="s">
        <v>13</v>
      </c>
      <c r="C13" s="7" t="s">
        <v>87</v>
      </c>
      <c r="D13" s="11">
        <v>4128076147</v>
      </c>
      <c r="E13" s="10" t="s">
        <v>85</v>
      </c>
      <c r="F13" s="11">
        <v>4082210123</v>
      </c>
      <c r="G13" s="11">
        <f t="shared" si="1"/>
        <v>-45866024</v>
      </c>
      <c r="H13" s="12">
        <f t="shared" si="0"/>
        <v>1.1110750472307118E-2</v>
      </c>
      <c r="I13" s="28" t="s">
        <v>111</v>
      </c>
    </row>
    <row r="14" spans="1:9" s="8" customFormat="1" ht="125.25" customHeight="1" x14ac:dyDescent="0.2">
      <c r="A14" s="9"/>
      <c r="B14" s="10" t="s">
        <v>14</v>
      </c>
      <c r="C14" s="7" t="s">
        <v>88</v>
      </c>
      <c r="D14" s="11">
        <v>282943527</v>
      </c>
      <c r="E14" s="10" t="s">
        <v>89</v>
      </c>
      <c r="F14" s="11">
        <v>128373805</v>
      </c>
      <c r="G14" s="11">
        <f>F14-D14</f>
        <v>-154569722</v>
      </c>
      <c r="H14" s="12">
        <f t="shared" si="0"/>
        <v>0.54629177645049998</v>
      </c>
      <c r="I14" s="27" t="s">
        <v>112</v>
      </c>
    </row>
    <row r="15" spans="1:9" s="8" customFormat="1" ht="12" x14ac:dyDescent="0.2">
      <c r="A15" s="9"/>
      <c r="B15" s="7" t="s">
        <v>43</v>
      </c>
      <c r="C15" s="10"/>
      <c r="D15" s="17">
        <f>SUM(D9:D14)</f>
        <v>11535885166</v>
      </c>
      <c r="E15" s="10"/>
      <c r="F15" s="17">
        <f>SUM(F9:F14)</f>
        <v>10765250904</v>
      </c>
      <c r="G15" s="17">
        <f>SUM(G9:G14)</f>
        <v>-770634262</v>
      </c>
      <c r="H15" s="18">
        <f>ABS(G15/D15)</f>
        <v>6.6803218904372366E-2</v>
      </c>
      <c r="I15" s="10"/>
    </row>
    <row r="16" spans="1:9" s="8" customFormat="1" ht="10.199999999999999" x14ac:dyDescent="0.2">
      <c r="A16" s="6" t="s">
        <v>2</v>
      </c>
      <c r="B16" s="10"/>
      <c r="C16" s="10"/>
      <c r="D16" s="11"/>
      <c r="E16" s="10"/>
      <c r="F16" s="11"/>
      <c r="G16" s="9"/>
      <c r="H16" s="12"/>
      <c r="I16" s="10"/>
    </row>
    <row r="17" spans="1:9" s="8" customFormat="1" ht="61.2" x14ac:dyDescent="0.2">
      <c r="A17" s="6"/>
      <c r="B17" s="10" t="s">
        <v>15</v>
      </c>
      <c r="C17" s="7" t="s">
        <v>34</v>
      </c>
      <c r="D17" s="19">
        <v>148178392</v>
      </c>
      <c r="E17" s="10" t="s">
        <v>95</v>
      </c>
      <c r="F17" s="19">
        <v>147822718</v>
      </c>
      <c r="G17" s="19">
        <f>F17-D17</f>
        <v>-355674</v>
      </c>
      <c r="H17" s="18">
        <f t="shared" si="0"/>
        <v>2.4003094864195854E-3</v>
      </c>
      <c r="I17" s="28" t="s">
        <v>113</v>
      </c>
    </row>
    <row r="18" spans="1:9" s="8" customFormat="1" ht="10.199999999999999" x14ac:dyDescent="0.2">
      <c r="A18" s="6" t="s">
        <v>3</v>
      </c>
      <c r="B18" s="10"/>
      <c r="C18" s="10"/>
      <c r="D18" s="11"/>
      <c r="E18" s="10"/>
      <c r="F18" s="11"/>
      <c r="G18" s="9"/>
      <c r="H18" s="12"/>
      <c r="I18" s="10"/>
    </row>
    <row r="19" spans="1:9" s="8" customFormat="1" ht="61.2" x14ac:dyDescent="0.2">
      <c r="A19" s="6"/>
      <c r="B19" s="10" t="s">
        <v>17</v>
      </c>
      <c r="C19" s="7" t="s">
        <v>34</v>
      </c>
      <c r="D19" s="11">
        <v>2129374868</v>
      </c>
      <c r="E19" s="10" t="s">
        <v>165</v>
      </c>
      <c r="F19" s="11">
        <v>2124855793</v>
      </c>
      <c r="G19" s="11">
        <f>F19-D19</f>
        <v>-4519075</v>
      </c>
      <c r="H19" s="12">
        <f>ABS(G19/D19)</f>
        <v>2.1222543141238954E-3</v>
      </c>
      <c r="I19" s="28" t="s">
        <v>114</v>
      </c>
    </row>
    <row r="20" spans="1:9" s="8" customFormat="1" ht="61.2" x14ac:dyDescent="0.2">
      <c r="A20" s="6"/>
      <c r="B20" s="10" t="s">
        <v>16</v>
      </c>
      <c r="C20" s="7" t="s">
        <v>18</v>
      </c>
      <c r="D20" s="11">
        <v>64868822</v>
      </c>
      <c r="E20" s="10" t="s">
        <v>90</v>
      </c>
      <c r="F20" s="11">
        <v>64821815</v>
      </c>
      <c r="G20" s="11">
        <f>F20-D20</f>
        <v>-47007</v>
      </c>
      <c r="H20" s="12">
        <f>ABS(G20/D20)</f>
        <v>7.2464704230331171E-4</v>
      </c>
      <c r="I20" s="28" t="s">
        <v>114</v>
      </c>
    </row>
    <row r="21" spans="1:9" s="8" customFormat="1" ht="17.25" customHeight="1" x14ac:dyDescent="0.2">
      <c r="A21" s="9"/>
      <c r="B21" s="7" t="s">
        <v>19</v>
      </c>
      <c r="C21" s="10"/>
      <c r="D21" s="17">
        <f>SUM(D19:D20)</f>
        <v>2194243690</v>
      </c>
      <c r="E21" s="10"/>
      <c r="F21" s="17">
        <f>SUM(F19:F20)</f>
        <v>2189677608</v>
      </c>
      <c r="G21" s="17">
        <f>F21-D21</f>
        <v>-4566082</v>
      </c>
      <c r="H21" s="12">
        <f>ABS(G21/D21)</f>
        <v>2.080936598249942E-3</v>
      </c>
      <c r="I21" s="10"/>
    </row>
    <row r="22" spans="1:9" s="8" customFormat="1" ht="10.199999999999999" x14ac:dyDescent="0.2">
      <c r="A22" s="6" t="s">
        <v>44</v>
      </c>
      <c r="B22" s="10"/>
      <c r="C22" s="10"/>
      <c r="D22" s="11"/>
      <c r="E22" s="10"/>
      <c r="F22" s="11"/>
      <c r="G22" s="9"/>
      <c r="H22" s="12"/>
      <c r="I22" s="10"/>
    </row>
    <row r="23" spans="1:9" s="8" customFormat="1" ht="61.2" x14ac:dyDescent="0.2">
      <c r="A23" s="6"/>
      <c r="B23" s="10" t="s">
        <v>158</v>
      </c>
      <c r="C23" s="7" t="s">
        <v>34</v>
      </c>
      <c r="D23" s="11">
        <v>94845</v>
      </c>
      <c r="E23" s="10" t="s">
        <v>99</v>
      </c>
      <c r="F23" s="11"/>
      <c r="G23" s="11">
        <f>F23-D23</f>
        <v>-94845</v>
      </c>
      <c r="H23" s="12">
        <f>ABS(G23/D23)</f>
        <v>1</v>
      </c>
      <c r="I23" s="10"/>
    </row>
    <row r="24" spans="1:9" s="8" customFormat="1" ht="21" customHeight="1" x14ac:dyDescent="0.2">
      <c r="A24" s="9"/>
      <c r="B24" s="7" t="s">
        <v>47</v>
      </c>
      <c r="C24" s="10"/>
      <c r="D24" s="17">
        <f>SUM(D23:D23)</f>
        <v>94845</v>
      </c>
      <c r="E24" s="10"/>
      <c r="F24" s="17">
        <f>SUM(F23:F23)</f>
        <v>0</v>
      </c>
      <c r="G24" s="17">
        <f>SUM(G23:G23)</f>
        <v>-94845</v>
      </c>
      <c r="H24" s="12">
        <f>ABS(G24/D24)</f>
        <v>1</v>
      </c>
      <c r="I24" s="10"/>
    </row>
    <row r="25" spans="1:9" s="8" customFormat="1" ht="10.199999999999999" x14ac:dyDescent="0.2">
      <c r="A25" s="6" t="s">
        <v>45</v>
      </c>
      <c r="B25" s="10"/>
      <c r="C25" s="10"/>
      <c r="D25" s="11"/>
      <c r="E25" s="10"/>
      <c r="F25" s="11"/>
      <c r="G25" s="9"/>
      <c r="H25" s="12"/>
      <c r="I25" s="10"/>
    </row>
    <row r="26" spans="1:9" s="8" customFormat="1" ht="69" customHeight="1" x14ac:dyDescent="0.2">
      <c r="A26" s="9"/>
      <c r="B26" s="10" t="s">
        <v>46</v>
      </c>
      <c r="C26" s="7" t="s">
        <v>20</v>
      </c>
      <c r="D26" s="13">
        <v>3290734816</v>
      </c>
      <c r="E26" s="10" t="s">
        <v>135</v>
      </c>
      <c r="F26" s="11">
        <v>3290472468</v>
      </c>
      <c r="G26" s="11">
        <f>F26-D26</f>
        <v>-262348</v>
      </c>
      <c r="H26" s="12">
        <f>ABS(G26/D26)</f>
        <v>7.9723227385089906E-5</v>
      </c>
      <c r="I26" s="10"/>
    </row>
    <row r="27" spans="1:9" s="8" customFormat="1" ht="23.25" customHeight="1" x14ac:dyDescent="0.2">
      <c r="A27" s="9"/>
      <c r="B27" s="7" t="s">
        <v>48</v>
      </c>
      <c r="C27" s="10"/>
      <c r="D27" s="17">
        <f>SUM(D26)</f>
        <v>3290734816</v>
      </c>
      <c r="E27" s="10"/>
      <c r="F27" s="17">
        <f>SUM(F26)</f>
        <v>3290472468</v>
      </c>
      <c r="G27" s="17">
        <f>SUM(G26)</f>
        <v>-262348</v>
      </c>
      <c r="H27" s="12">
        <f>ABS(G27/D27)</f>
        <v>7.9723227385089906E-5</v>
      </c>
      <c r="I27" s="10"/>
    </row>
    <row r="28" spans="1:9" s="8" customFormat="1" ht="10.199999999999999" x14ac:dyDescent="0.2">
      <c r="A28" s="6" t="s">
        <v>54</v>
      </c>
      <c r="B28" s="10"/>
      <c r="C28" s="10"/>
      <c r="D28" s="11"/>
      <c r="E28" s="10"/>
      <c r="F28" s="11"/>
      <c r="G28" s="9"/>
      <c r="H28" s="12"/>
      <c r="I28" s="10"/>
    </row>
    <row r="29" spans="1:9" s="8" customFormat="1" ht="64.5" customHeight="1" x14ac:dyDescent="0.2">
      <c r="A29" s="9"/>
      <c r="B29" s="10" t="s">
        <v>50</v>
      </c>
      <c r="C29" s="7" t="s">
        <v>21</v>
      </c>
      <c r="D29" s="11">
        <v>2471503221</v>
      </c>
      <c r="E29" s="10" t="s">
        <v>136</v>
      </c>
      <c r="F29" s="13">
        <v>2471499640</v>
      </c>
      <c r="G29" s="11">
        <f>F29-D29</f>
        <v>-3581</v>
      </c>
      <c r="H29" s="12">
        <f>ABS(G29/D29)</f>
        <v>1.4489157730294538E-6</v>
      </c>
      <c r="I29" s="10"/>
    </row>
    <row r="30" spans="1:9" s="8" customFormat="1" ht="64.5" customHeight="1" x14ac:dyDescent="0.2">
      <c r="A30" s="9"/>
      <c r="B30" s="10" t="s">
        <v>51</v>
      </c>
      <c r="C30" s="7" t="s">
        <v>21</v>
      </c>
      <c r="D30" s="11">
        <v>56503860</v>
      </c>
      <c r="E30" s="10" t="s">
        <v>137</v>
      </c>
      <c r="F30" s="13">
        <v>56503860</v>
      </c>
      <c r="G30" s="11">
        <f>F30-D30</f>
        <v>0</v>
      </c>
      <c r="H30" s="12">
        <f>ABS(G30/D30)</f>
        <v>0</v>
      </c>
      <c r="I30" s="10"/>
    </row>
    <row r="31" spans="1:9" s="8" customFormat="1" ht="103.5" customHeight="1" x14ac:dyDescent="0.2">
      <c r="A31" s="9"/>
      <c r="B31" s="10" t="s">
        <v>52</v>
      </c>
      <c r="C31" s="7" t="s">
        <v>22</v>
      </c>
      <c r="D31" s="13">
        <v>57404060</v>
      </c>
      <c r="E31" s="10" t="s">
        <v>138</v>
      </c>
      <c r="F31" s="11">
        <v>37026220</v>
      </c>
      <c r="G31" s="11">
        <f>F31-D31</f>
        <v>-20377840</v>
      </c>
      <c r="H31" s="12">
        <f t="shared" ref="H31:H39" si="2">ABS(G31/D31)</f>
        <v>0.35498952513114929</v>
      </c>
      <c r="I31" s="10"/>
    </row>
    <row r="32" spans="1:9" s="8" customFormat="1" ht="24.75" customHeight="1" x14ac:dyDescent="0.2">
      <c r="A32" s="9"/>
      <c r="B32" s="7" t="s">
        <v>53</v>
      </c>
      <c r="C32" s="10"/>
      <c r="D32" s="20">
        <f>SUM(D29:D31)</f>
        <v>2585411141</v>
      </c>
      <c r="E32" s="7"/>
      <c r="F32" s="20">
        <f>SUM(F29:F31)</f>
        <v>2565029720</v>
      </c>
      <c r="G32" s="20">
        <f>SUM(G29:G31)</f>
        <v>-20381421</v>
      </c>
      <c r="H32" s="18">
        <f t="shared" si="2"/>
        <v>7.8832417315710789E-3</v>
      </c>
      <c r="I32" s="10"/>
    </row>
    <row r="33" spans="1:9" s="8" customFormat="1" ht="34.5" customHeight="1" x14ac:dyDescent="0.2">
      <c r="A33" s="6" t="s">
        <v>55</v>
      </c>
      <c r="B33" s="10"/>
      <c r="C33" s="10" t="s">
        <v>5</v>
      </c>
      <c r="D33" s="19">
        <v>5712970</v>
      </c>
      <c r="E33" s="10" t="s">
        <v>157</v>
      </c>
      <c r="F33" s="30">
        <v>5883474</v>
      </c>
      <c r="G33" s="19">
        <f>F33-D33</f>
        <v>170504</v>
      </c>
      <c r="H33" s="18">
        <f>ABS(G33/D33)</f>
        <v>2.9845071827788349E-2</v>
      </c>
      <c r="I33" s="10"/>
    </row>
    <row r="34" spans="1:9" s="8" customFormat="1" ht="36.75" customHeight="1" x14ac:dyDescent="0.2">
      <c r="A34" s="6" t="s">
        <v>56</v>
      </c>
      <c r="B34" s="10"/>
      <c r="C34" s="10"/>
      <c r="D34" s="19">
        <v>7622807</v>
      </c>
      <c r="E34" s="10" t="s">
        <v>99</v>
      </c>
      <c r="F34" s="19">
        <v>7622807</v>
      </c>
      <c r="G34" s="19">
        <f>F34-D34</f>
        <v>0</v>
      </c>
      <c r="H34" s="18">
        <f>ABS(G34/D34)</f>
        <v>0</v>
      </c>
      <c r="I34" s="10"/>
    </row>
    <row r="35" spans="1:9" s="8" customFormat="1" ht="80.25" customHeight="1" x14ac:dyDescent="0.2">
      <c r="A35" s="33" t="s">
        <v>148</v>
      </c>
      <c r="B35" s="33"/>
      <c r="C35" s="7" t="s">
        <v>25</v>
      </c>
      <c r="D35" s="19">
        <v>9846967</v>
      </c>
      <c r="E35" s="10" t="s">
        <v>151</v>
      </c>
      <c r="F35" s="19">
        <v>9352475</v>
      </c>
      <c r="G35" s="19">
        <f>F35-D35</f>
        <v>-494492</v>
      </c>
      <c r="H35" s="18">
        <f t="shared" si="2"/>
        <v>5.021769647445757E-2</v>
      </c>
      <c r="I35" s="10"/>
    </row>
    <row r="36" spans="1:9" s="8" customFormat="1" ht="85.5" customHeight="1" x14ac:dyDescent="0.2">
      <c r="A36" s="6" t="s">
        <v>57</v>
      </c>
      <c r="B36" s="10"/>
      <c r="C36" s="7" t="s">
        <v>24</v>
      </c>
      <c r="D36" s="19">
        <v>304171357</v>
      </c>
      <c r="E36" s="10" t="s">
        <v>139</v>
      </c>
      <c r="F36" s="19">
        <v>301664392</v>
      </c>
      <c r="G36" s="19">
        <f>F36-D36</f>
        <v>-2506965</v>
      </c>
      <c r="H36" s="18">
        <f t="shared" si="2"/>
        <v>8.2419496192075708E-3</v>
      </c>
      <c r="I36" s="10"/>
    </row>
    <row r="37" spans="1:9" s="8" customFormat="1" ht="78.75" customHeight="1" x14ac:dyDescent="0.2">
      <c r="A37" s="33" t="s">
        <v>145</v>
      </c>
      <c r="B37" s="34"/>
      <c r="C37" s="7" t="s">
        <v>146</v>
      </c>
      <c r="D37" s="19">
        <v>1752885</v>
      </c>
      <c r="E37" s="10" t="s">
        <v>147</v>
      </c>
      <c r="F37" s="19">
        <v>1628304</v>
      </c>
      <c r="G37" s="19">
        <f>F37-D37</f>
        <v>-124581</v>
      </c>
      <c r="H37" s="18">
        <f t="shared" si="2"/>
        <v>7.1071975628749173E-2</v>
      </c>
      <c r="I37" s="10"/>
    </row>
    <row r="38" spans="1:9" s="8" customFormat="1" ht="12.75" customHeight="1" x14ac:dyDescent="0.2">
      <c r="A38" s="6" t="s">
        <v>58</v>
      </c>
      <c r="B38" s="10"/>
      <c r="C38" s="10"/>
      <c r="D38" s="19"/>
      <c r="E38" s="10"/>
      <c r="F38" s="19"/>
      <c r="G38" s="19"/>
      <c r="H38" s="18"/>
      <c r="I38" s="10"/>
    </row>
    <row r="39" spans="1:9" s="8" customFormat="1" ht="81.75" customHeight="1" x14ac:dyDescent="0.2">
      <c r="B39" s="10" t="s">
        <v>141</v>
      </c>
      <c r="C39" s="7" t="s">
        <v>23</v>
      </c>
      <c r="D39" s="11">
        <v>8946711</v>
      </c>
      <c r="E39" s="10" t="s">
        <v>144</v>
      </c>
      <c r="F39" s="11">
        <v>8887029</v>
      </c>
      <c r="G39" s="11">
        <f>F39-D39</f>
        <v>-59682</v>
      </c>
      <c r="H39" s="12">
        <f t="shared" si="2"/>
        <v>6.670831325612284E-3</v>
      </c>
      <c r="I39" s="10"/>
    </row>
    <row r="40" spans="1:9" s="8" customFormat="1" ht="81.75" customHeight="1" x14ac:dyDescent="0.2">
      <c r="A40" s="6"/>
      <c r="B40" s="10" t="s">
        <v>143</v>
      </c>
      <c r="C40" s="7" t="s">
        <v>23</v>
      </c>
      <c r="D40" s="11">
        <v>5358627</v>
      </c>
      <c r="E40" s="10" t="s">
        <v>166</v>
      </c>
      <c r="F40" s="11">
        <v>5415462</v>
      </c>
      <c r="G40" s="11">
        <f>F40-D40</f>
        <v>56835</v>
      </c>
      <c r="H40" s="12">
        <f>ABS(G40/D40)</f>
        <v>1.0606261641274902E-2</v>
      </c>
      <c r="I40" s="10"/>
    </row>
    <row r="41" spans="1:9" s="8" customFormat="1" ht="12" x14ac:dyDescent="0.2">
      <c r="A41" s="9"/>
      <c r="B41" s="7" t="s">
        <v>142</v>
      </c>
      <c r="C41" s="10"/>
      <c r="D41" s="17">
        <f>SUM(D39:D40)</f>
        <v>14305338</v>
      </c>
      <c r="E41" s="7"/>
      <c r="F41" s="17">
        <f>SUM(F39:F40)</f>
        <v>14302491</v>
      </c>
      <c r="G41" s="17">
        <f>SUM(G39:G40)</f>
        <v>-2847</v>
      </c>
      <c r="H41" s="18">
        <f>ABS(G41/D41)</f>
        <v>1.9901661883137608E-4</v>
      </c>
      <c r="I41" s="10"/>
    </row>
    <row r="42" spans="1:9" s="8" customFormat="1" ht="24" customHeight="1" x14ac:dyDescent="0.2">
      <c r="A42" s="33" t="s">
        <v>59</v>
      </c>
      <c r="B42" s="33"/>
      <c r="C42" s="10"/>
      <c r="D42" s="19"/>
      <c r="E42" s="10"/>
      <c r="F42" s="19"/>
      <c r="G42" s="19"/>
      <c r="H42" s="18"/>
      <c r="I42" s="10"/>
    </row>
    <row r="43" spans="1:9" s="8" customFormat="1" ht="71.400000000000006" x14ac:dyDescent="0.2">
      <c r="A43" s="9"/>
      <c r="B43" s="10" t="s">
        <v>60</v>
      </c>
      <c r="C43" s="7" t="s">
        <v>26</v>
      </c>
      <c r="D43" s="11">
        <v>152711591</v>
      </c>
      <c r="E43" s="10" t="s">
        <v>140</v>
      </c>
      <c r="F43" s="11">
        <v>157160419</v>
      </c>
      <c r="G43" s="11">
        <f>F43-D43</f>
        <v>4448828</v>
      </c>
      <c r="H43" s="12">
        <f>ABS(G43/D43)</f>
        <v>2.9132222189997354E-2</v>
      </c>
      <c r="I43" s="10"/>
    </row>
    <row r="44" spans="1:9" s="8" customFormat="1" ht="30.6" x14ac:dyDescent="0.2">
      <c r="A44" s="9"/>
      <c r="B44" s="10" t="s">
        <v>61</v>
      </c>
      <c r="C44" s="7"/>
      <c r="D44" s="11">
        <v>0</v>
      </c>
      <c r="E44" s="10" t="s">
        <v>149</v>
      </c>
      <c r="F44" s="11">
        <v>116774.43609</v>
      </c>
      <c r="G44" s="11">
        <f>F44-D44</f>
        <v>116774.43609</v>
      </c>
      <c r="H44" s="12" t="e">
        <f>ABS(G44/D44)</f>
        <v>#DIV/0!</v>
      </c>
      <c r="I44" s="10"/>
    </row>
    <row r="45" spans="1:9" s="8" customFormat="1" ht="21" customHeight="1" x14ac:dyDescent="0.2">
      <c r="A45" s="9"/>
      <c r="B45" s="7" t="s">
        <v>150</v>
      </c>
      <c r="C45" s="10"/>
      <c r="D45" s="17">
        <f>SUM(D43:D44)</f>
        <v>152711591</v>
      </c>
      <c r="E45" s="7"/>
      <c r="F45" s="17">
        <f>SUM(F43:F44)</f>
        <v>157277193.43608999</v>
      </c>
      <c r="G45" s="17">
        <f>SUM(G43:G44)</f>
        <v>4565602.43609</v>
      </c>
      <c r="H45" s="18">
        <f>ABS(G45/D45)</f>
        <v>2.9896895227095106E-2</v>
      </c>
      <c r="I45" s="10"/>
    </row>
    <row r="46" spans="1:9" s="8" customFormat="1" ht="81" customHeight="1" x14ac:dyDescent="0.2">
      <c r="A46" s="6" t="s">
        <v>62</v>
      </c>
      <c r="B46" s="10"/>
      <c r="C46" s="7" t="s">
        <v>27</v>
      </c>
      <c r="D46" s="19">
        <v>1237079702</v>
      </c>
      <c r="E46" s="10" t="s">
        <v>167</v>
      </c>
      <c r="F46" s="19">
        <v>1244944193</v>
      </c>
      <c r="G46" s="19">
        <f>F46-D46</f>
        <v>7864491</v>
      </c>
      <c r="H46" s="18">
        <f>ABS(G46/D46)</f>
        <v>6.3573034035603309E-3</v>
      </c>
      <c r="I46" s="10"/>
    </row>
    <row r="47" spans="1:9" s="8" customFormat="1" ht="10.199999999999999" x14ac:dyDescent="0.2">
      <c r="A47" s="6" t="s">
        <v>63</v>
      </c>
      <c r="B47" s="10"/>
      <c r="C47" s="10"/>
      <c r="D47" s="11"/>
      <c r="E47" s="10"/>
      <c r="F47" s="11"/>
      <c r="G47" s="9"/>
      <c r="H47" s="12"/>
      <c r="I47" s="10"/>
    </row>
    <row r="48" spans="1:9" s="8" customFormat="1" ht="71.25" customHeight="1" x14ac:dyDescent="0.2">
      <c r="A48" s="9"/>
      <c r="B48" s="10" t="s">
        <v>6</v>
      </c>
      <c r="C48" s="7" t="s">
        <v>35</v>
      </c>
      <c r="D48" s="11">
        <v>3100959770</v>
      </c>
      <c r="E48" s="10" t="s">
        <v>92</v>
      </c>
      <c r="F48" s="11">
        <v>3096698150</v>
      </c>
      <c r="G48" s="11">
        <f t="shared" ref="G48:G56" si="3">F48-D48</f>
        <v>-4261620</v>
      </c>
      <c r="H48" s="12">
        <f t="shared" ref="H48:H56" si="4">ABS(G48/D48)</f>
        <v>1.3742906442156134E-3</v>
      </c>
      <c r="I48" s="28" t="s">
        <v>114</v>
      </c>
    </row>
    <row r="49" spans="1:9" s="8" customFormat="1" ht="84" customHeight="1" x14ac:dyDescent="0.2">
      <c r="A49" s="9"/>
      <c r="B49" s="10" t="s">
        <v>93</v>
      </c>
      <c r="C49" s="7" t="s">
        <v>94</v>
      </c>
      <c r="D49" s="11">
        <v>199365875</v>
      </c>
      <c r="E49" s="10" t="s">
        <v>168</v>
      </c>
      <c r="F49" s="11">
        <v>199365875</v>
      </c>
      <c r="G49" s="11">
        <f t="shared" si="3"/>
        <v>0</v>
      </c>
      <c r="H49" s="12">
        <f t="shared" si="4"/>
        <v>0</v>
      </c>
      <c r="I49" s="10"/>
    </row>
    <row r="50" spans="1:9" s="8" customFormat="1" ht="93.75" customHeight="1" x14ac:dyDescent="0.2">
      <c r="A50" s="9"/>
      <c r="B50" s="10" t="s">
        <v>7</v>
      </c>
      <c r="C50" s="7" t="s">
        <v>36</v>
      </c>
      <c r="D50" s="11">
        <v>279341846</v>
      </c>
      <c r="E50" s="10" t="s">
        <v>96</v>
      </c>
      <c r="F50" s="11">
        <v>279390210</v>
      </c>
      <c r="G50" s="11">
        <f t="shared" si="3"/>
        <v>48364</v>
      </c>
      <c r="H50" s="12">
        <f t="shared" si="4"/>
        <v>1.7313553516074351E-4</v>
      </c>
      <c r="I50" s="10"/>
    </row>
    <row r="51" spans="1:9" s="8" customFormat="1" ht="81.599999999999994" x14ac:dyDescent="0.2">
      <c r="A51" s="9"/>
      <c r="B51" s="10" t="s">
        <v>8</v>
      </c>
      <c r="C51" s="7" t="s">
        <v>37</v>
      </c>
      <c r="D51" s="11">
        <v>865777600</v>
      </c>
      <c r="E51" s="10" t="s">
        <v>169</v>
      </c>
      <c r="F51" s="11">
        <v>874575000</v>
      </c>
      <c r="G51" s="11">
        <f t="shared" si="3"/>
        <v>8797400</v>
      </c>
      <c r="H51" s="12">
        <f t="shared" si="4"/>
        <v>1.0161270053648882E-2</v>
      </c>
      <c r="I51" s="10"/>
    </row>
    <row r="52" spans="1:9" s="8" customFormat="1" ht="61.2" x14ac:dyDescent="0.2">
      <c r="A52" s="9"/>
      <c r="B52" s="10" t="s">
        <v>97</v>
      </c>
      <c r="C52" s="7" t="s">
        <v>98</v>
      </c>
      <c r="D52" s="11">
        <v>335319950</v>
      </c>
      <c r="E52" s="10" t="s">
        <v>99</v>
      </c>
      <c r="F52" s="11">
        <v>335319950</v>
      </c>
      <c r="G52" s="11">
        <f t="shared" si="3"/>
        <v>0</v>
      </c>
      <c r="H52" s="12">
        <f t="shared" si="4"/>
        <v>0</v>
      </c>
      <c r="I52" s="10"/>
    </row>
    <row r="53" spans="1:9" s="8" customFormat="1" ht="61.2" x14ac:dyDescent="0.2">
      <c r="A53" s="9"/>
      <c r="B53" s="10" t="s">
        <v>100</v>
      </c>
      <c r="C53" s="7" t="s">
        <v>98</v>
      </c>
      <c r="D53" s="11">
        <v>5176450</v>
      </c>
      <c r="E53" s="10" t="s">
        <v>99</v>
      </c>
      <c r="F53" s="11">
        <v>5176450</v>
      </c>
      <c r="G53" s="11">
        <f t="shared" si="3"/>
        <v>0</v>
      </c>
      <c r="H53" s="12">
        <f t="shared" si="4"/>
        <v>0</v>
      </c>
      <c r="I53" s="10"/>
    </row>
    <row r="54" spans="1:9" s="8" customFormat="1" ht="71.400000000000006" x14ac:dyDescent="0.2">
      <c r="A54" s="9"/>
      <c r="B54" s="10" t="s">
        <v>101</v>
      </c>
      <c r="C54" s="7" t="s">
        <v>102</v>
      </c>
      <c r="D54" s="11">
        <v>1455000</v>
      </c>
      <c r="E54" s="10" t="s">
        <v>133</v>
      </c>
      <c r="F54" s="11">
        <v>153000</v>
      </c>
      <c r="G54" s="11">
        <f t="shared" si="3"/>
        <v>-1302000</v>
      </c>
      <c r="H54" s="12">
        <f t="shared" si="4"/>
        <v>0.89484536082474231</v>
      </c>
      <c r="I54" s="10"/>
    </row>
    <row r="55" spans="1:9" s="8" customFormat="1" ht="82.5" customHeight="1" x14ac:dyDescent="0.2">
      <c r="A55" s="9"/>
      <c r="B55" s="10" t="s">
        <v>38</v>
      </c>
      <c r="C55" s="7" t="s">
        <v>39</v>
      </c>
      <c r="D55" s="11">
        <v>1000500522</v>
      </c>
      <c r="E55" s="10" t="s">
        <v>160</v>
      </c>
      <c r="F55" s="11">
        <v>639877442</v>
      </c>
      <c r="G55" s="11">
        <f t="shared" si="3"/>
        <v>-360623080</v>
      </c>
      <c r="H55" s="12">
        <f t="shared" si="4"/>
        <v>0.36044267051366918</v>
      </c>
      <c r="I55" s="10"/>
    </row>
    <row r="56" spans="1:9" s="8" customFormat="1" ht="20.399999999999999" x14ac:dyDescent="0.2">
      <c r="A56" s="9"/>
      <c r="B56" s="7" t="s">
        <v>9</v>
      </c>
      <c r="C56" s="10"/>
      <c r="D56" s="17">
        <f>SUM(D48:D55)</f>
        <v>5787897013</v>
      </c>
      <c r="E56" s="7"/>
      <c r="F56" s="17">
        <f>SUM(F48:F55)</f>
        <v>5430556077</v>
      </c>
      <c r="G56" s="17">
        <f t="shared" si="3"/>
        <v>-357340936</v>
      </c>
      <c r="H56" s="18">
        <f t="shared" si="4"/>
        <v>6.1739339037544826E-2</v>
      </c>
      <c r="I56" s="10"/>
    </row>
    <row r="57" spans="1:9" s="8" customFormat="1" ht="12" x14ac:dyDescent="0.2">
      <c r="A57" s="6" t="s">
        <v>64</v>
      </c>
      <c r="B57" s="7"/>
      <c r="C57" s="10"/>
      <c r="D57" s="17"/>
      <c r="E57" s="7"/>
      <c r="F57" s="17"/>
      <c r="G57" s="17"/>
      <c r="H57" s="18"/>
      <c r="I57" s="10"/>
    </row>
    <row r="58" spans="1:9" s="8" customFormat="1" ht="61.2" x14ac:dyDescent="0.2">
      <c r="B58" s="10" t="s">
        <v>118</v>
      </c>
      <c r="C58" s="7" t="s">
        <v>121</v>
      </c>
      <c r="D58" s="11">
        <v>330319200</v>
      </c>
      <c r="E58" s="10" t="s">
        <v>170</v>
      </c>
      <c r="F58" s="11">
        <v>326908500</v>
      </c>
      <c r="G58" s="11">
        <f>F58-D58</f>
        <v>-3410700</v>
      </c>
      <c r="H58" s="12">
        <f>ABS(G58/D58)</f>
        <v>1.0325467002826357E-2</v>
      </c>
      <c r="I58" s="10"/>
    </row>
    <row r="59" spans="1:9" s="8" customFormat="1" ht="71.400000000000006" x14ac:dyDescent="0.2">
      <c r="B59" s="10" t="s">
        <v>119</v>
      </c>
      <c r="C59" s="7" t="s">
        <v>123</v>
      </c>
      <c r="D59" s="11">
        <v>19395882</v>
      </c>
      <c r="E59" s="10" t="s">
        <v>171</v>
      </c>
      <c r="F59" s="11">
        <v>19610063</v>
      </c>
      <c r="G59" s="11">
        <f>F59-D59</f>
        <v>214181</v>
      </c>
      <c r="H59" s="12">
        <f>ABS(G59/D59)</f>
        <v>1.104260172339675E-2</v>
      </c>
      <c r="I59" s="10"/>
    </row>
    <row r="60" spans="1:9" s="8" customFormat="1" ht="61.2" x14ac:dyDescent="0.2">
      <c r="B60" s="10" t="s">
        <v>120</v>
      </c>
      <c r="C60" s="7" t="s">
        <v>124</v>
      </c>
      <c r="D60" s="11">
        <v>200550</v>
      </c>
      <c r="E60" s="10" t="s">
        <v>99</v>
      </c>
      <c r="F60" s="11">
        <v>200550</v>
      </c>
      <c r="G60" s="11">
        <f>F60-D60</f>
        <v>0</v>
      </c>
      <c r="H60" s="12">
        <f>ABS(G60/D60)</f>
        <v>0</v>
      </c>
      <c r="I60" s="10"/>
    </row>
    <row r="61" spans="1:9" s="8" customFormat="1" ht="18" customHeight="1" x14ac:dyDescent="0.2">
      <c r="A61" s="9"/>
      <c r="B61" s="7" t="s">
        <v>122</v>
      </c>
      <c r="C61" s="10"/>
      <c r="D61" s="17">
        <f>SUM(D58:D60)</f>
        <v>349915632</v>
      </c>
      <c r="E61" s="7"/>
      <c r="F61" s="17">
        <f>SUM(F58:F60)</f>
        <v>346719113</v>
      </c>
      <c r="G61" s="17">
        <f>F61-D61</f>
        <v>-3196519</v>
      </c>
      <c r="H61" s="18">
        <f>ABS(G61/D61)</f>
        <v>9.1351134607212982E-3</v>
      </c>
      <c r="I61" s="10"/>
    </row>
    <row r="62" spans="1:9" s="8" customFormat="1" ht="61.2" x14ac:dyDescent="0.2">
      <c r="A62" s="6" t="s">
        <v>65</v>
      </c>
      <c r="B62" s="10"/>
      <c r="C62" s="7" t="s">
        <v>153</v>
      </c>
      <c r="D62" s="19">
        <v>11738927</v>
      </c>
      <c r="E62" s="10" t="s">
        <v>126</v>
      </c>
      <c r="F62" s="19">
        <v>4402500</v>
      </c>
      <c r="G62" s="19">
        <f>F62-D62</f>
        <v>-7336427</v>
      </c>
      <c r="H62" s="18">
        <f>ABS(G62/D62)</f>
        <v>0.62496572301710374</v>
      </c>
      <c r="I62" s="10"/>
    </row>
    <row r="63" spans="1:9" s="8" customFormat="1" ht="10.199999999999999" x14ac:dyDescent="0.2">
      <c r="A63" s="6" t="s">
        <v>66</v>
      </c>
      <c r="B63" s="10"/>
      <c r="D63" s="19"/>
      <c r="E63" s="10"/>
      <c r="F63" s="19"/>
      <c r="I63" s="10"/>
    </row>
    <row r="64" spans="1:9" s="8" customFormat="1" ht="114.75" customHeight="1" x14ac:dyDescent="0.2">
      <c r="A64" s="6"/>
      <c r="B64" s="10" t="s">
        <v>152</v>
      </c>
      <c r="C64" s="7" t="s">
        <v>154</v>
      </c>
      <c r="D64" s="11">
        <f>62908249+527000</f>
        <v>63435249</v>
      </c>
      <c r="E64" s="10" t="s">
        <v>172</v>
      </c>
      <c r="F64" s="11">
        <f>44660200+527000</f>
        <v>45187200</v>
      </c>
      <c r="G64" s="11">
        <f>F64-D64</f>
        <v>-18248049</v>
      </c>
      <c r="H64" s="12">
        <f t="shared" ref="H64:H69" si="5">ABS(G64/D64)</f>
        <v>0.28766418178637559</v>
      </c>
      <c r="I64" s="10"/>
    </row>
    <row r="65" spans="1:9" s="8" customFormat="1" ht="81" customHeight="1" x14ac:dyDescent="0.2">
      <c r="A65" s="6"/>
      <c r="B65" s="10" t="s">
        <v>155</v>
      </c>
      <c r="C65" s="7" t="s">
        <v>154</v>
      </c>
      <c r="D65" s="11">
        <v>6982338</v>
      </c>
      <c r="E65" s="10" t="s">
        <v>156</v>
      </c>
      <c r="F65" s="11">
        <v>6690300</v>
      </c>
      <c r="G65" s="11">
        <f>F65-D65</f>
        <v>-292038</v>
      </c>
      <c r="H65" s="12">
        <f t="shared" si="5"/>
        <v>4.1825245354779446E-2</v>
      </c>
      <c r="I65" s="10"/>
    </row>
    <row r="66" spans="1:9" s="8" customFormat="1" ht="60" customHeight="1" x14ac:dyDescent="0.2">
      <c r="A66" s="6"/>
      <c r="B66" s="7" t="s">
        <v>159</v>
      </c>
      <c r="C66" s="7"/>
      <c r="D66" s="17">
        <f>SUM(D64:D65)</f>
        <v>70417587</v>
      </c>
      <c r="E66" s="7"/>
      <c r="F66" s="17">
        <f>SUM(F64:F65)</f>
        <v>51877500</v>
      </c>
      <c r="G66" s="17">
        <f>SUM(G64:G65)</f>
        <v>-18540087</v>
      </c>
      <c r="H66" s="18">
        <f t="shared" si="5"/>
        <v>0.26328773520739923</v>
      </c>
      <c r="I66" s="10"/>
    </row>
    <row r="67" spans="1:9" s="8" customFormat="1" ht="61.2" x14ac:dyDescent="0.2">
      <c r="A67" s="6" t="s">
        <v>67</v>
      </c>
      <c r="B67" s="10"/>
      <c r="C67" s="7" t="s">
        <v>115</v>
      </c>
      <c r="D67" s="19">
        <v>102161110</v>
      </c>
      <c r="E67" s="10" t="s">
        <v>99</v>
      </c>
      <c r="F67" s="19">
        <v>102161110</v>
      </c>
      <c r="G67" s="19">
        <f>F67-D67</f>
        <v>0</v>
      </c>
      <c r="H67" s="18">
        <f t="shared" si="5"/>
        <v>0</v>
      </c>
      <c r="I67" s="10"/>
    </row>
    <row r="68" spans="1:9" s="8" customFormat="1" ht="51" x14ac:dyDescent="0.2">
      <c r="A68" s="6" t="s">
        <v>68</v>
      </c>
      <c r="B68" s="10"/>
      <c r="C68" s="7" t="s">
        <v>117</v>
      </c>
      <c r="D68" s="19">
        <v>47427750</v>
      </c>
      <c r="E68" s="10" t="s">
        <v>116</v>
      </c>
      <c r="F68" s="19">
        <v>46463025</v>
      </c>
      <c r="G68" s="19">
        <f>F68-D68</f>
        <v>-964725</v>
      </c>
      <c r="H68" s="18">
        <f t="shared" si="5"/>
        <v>2.0340939639767859E-2</v>
      </c>
      <c r="I68" s="10"/>
    </row>
    <row r="69" spans="1:9" s="8" customFormat="1" ht="61.2" x14ac:dyDescent="0.2">
      <c r="A69" s="6" t="s">
        <v>69</v>
      </c>
      <c r="B69" s="10"/>
      <c r="C69" s="7" t="s">
        <v>20</v>
      </c>
      <c r="D69" s="19">
        <v>9734500</v>
      </c>
      <c r="E69" s="10" t="s">
        <v>134</v>
      </c>
      <c r="F69" s="19">
        <v>3614500</v>
      </c>
      <c r="G69" s="19">
        <f>F69-D69</f>
        <v>-6120000</v>
      </c>
      <c r="H69" s="18">
        <f t="shared" si="5"/>
        <v>0.62869176639786328</v>
      </c>
      <c r="I69" s="10"/>
    </row>
    <row r="70" spans="1:9" s="8" customFormat="1" ht="12" customHeight="1" x14ac:dyDescent="0.2">
      <c r="A70" s="6" t="s">
        <v>70</v>
      </c>
      <c r="B70" s="10"/>
      <c r="C70" s="7"/>
      <c r="D70" s="19"/>
      <c r="E70" s="10"/>
      <c r="F70" s="19"/>
      <c r="G70" s="19"/>
      <c r="H70" s="18"/>
      <c r="I70" s="10"/>
    </row>
    <row r="71" spans="1:9" s="8" customFormat="1" ht="71.400000000000006" x14ac:dyDescent="0.2">
      <c r="B71" s="10" t="s">
        <v>127</v>
      </c>
      <c r="C71" s="7" t="s">
        <v>128</v>
      </c>
      <c r="D71" s="11">
        <v>21936400</v>
      </c>
      <c r="E71" s="10" t="s">
        <v>129</v>
      </c>
      <c r="F71" s="11">
        <v>55177400</v>
      </c>
      <c r="G71" s="11">
        <f>F71-D71</f>
        <v>33241000</v>
      </c>
      <c r="H71" s="12">
        <f>ABS(G71/D71)</f>
        <v>1.5153352418810744</v>
      </c>
      <c r="I71" s="26"/>
    </row>
    <row r="72" spans="1:9" s="8" customFormat="1" ht="90.75" customHeight="1" x14ac:dyDescent="0.2">
      <c r="B72" s="10" t="s">
        <v>130</v>
      </c>
      <c r="C72" s="7" t="s">
        <v>128</v>
      </c>
      <c r="D72" s="11">
        <v>930000</v>
      </c>
      <c r="E72" s="10" t="s">
        <v>131</v>
      </c>
      <c r="F72" s="11">
        <v>1386049</v>
      </c>
      <c r="G72" s="11">
        <f>F72-D72</f>
        <v>456049</v>
      </c>
      <c r="H72" s="12">
        <f>ABS(G72/D72)</f>
        <v>0.49037526881720428</v>
      </c>
      <c r="I72" s="26"/>
    </row>
    <row r="73" spans="1:9" s="8" customFormat="1" ht="21" customHeight="1" x14ac:dyDescent="0.2">
      <c r="A73" s="9"/>
      <c r="B73" s="7" t="s">
        <v>132</v>
      </c>
      <c r="C73" s="10"/>
      <c r="D73" s="17">
        <f>SUM(D70:D72)</f>
        <v>22866400</v>
      </c>
      <c r="E73" s="7"/>
      <c r="F73" s="17">
        <f>SUM(F70:F72)</f>
        <v>56563449</v>
      </c>
      <c r="G73" s="17">
        <f>F73-D73</f>
        <v>33697049</v>
      </c>
      <c r="H73" s="18">
        <f>ABS(G73/D73)</f>
        <v>1.4736490658783192</v>
      </c>
      <c r="I73" s="10"/>
    </row>
    <row r="74" spans="1:9" s="8" customFormat="1" ht="89.25" customHeight="1" x14ac:dyDescent="0.2">
      <c r="A74" s="6" t="s">
        <v>71</v>
      </c>
      <c r="B74" s="10"/>
      <c r="C74" s="7" t="s">
        <v>104</v>
      </c>
      <c r="D74" s="19">
        <v>89685</v>
      </c>
      <c r="E74" s="10" t="s">
        <v>125</v>
      </c>
      <c r="F74" s="19">
        <v>2242125</v>
      </c>
      <c r="G74" s="19">
        <f>F74-D74</f>
        <v>2152440</v>
      </c>
      <c r="H74" s="18">
        <f>ABS(G74/D74)</f>
        <v>24</v>
      </c>
      <c r="I74" s="26"/>
    </row>
    <row r="75" spans="1:9" s="8" customFormat="1" x14ac:dyDescent="0.2">
      <c r="A75" s="24" t="s">
        <v>28</v>
      </c>
      <c r="B75" s="21"/>
      <c r="C75" s="22"/>
      <c r="D75" s="23">
        <f>SUM(D7,D15,D17,D21,D24,D27,D33,D32,D34,D45,D41,D37,D36,D35,D46,D56,D61,D62,D67,D68,D69,D73,D74,D66)</f>
        <v>94881979570</v>
      </c>
      <c r="E75" s="22"/>
      <c r="F75" s="23">
        <f>SUM(F7,F15,F17,F21,F24,F27,F33,F32,F34,F45,F41,F37,F36,F35,F46,F56,F61,F62,F67,F68,F69,F73,F74,F66)</f>
        <v>93393770743.436096</v>
      </c>
      <c r="G75" s="23">
        <f>F75-D75</f>
        <v>-1488208826.5639038</v>
      </c>
      <c r="H75" s="25">
        <f>ABS(G75/D75)</f>
        <v>1.5684841666546014E-2</v>
      </c>
      <c r="I75" s="26"/>
    </row>
    <row r="76" spans="1:9" x14ac:dyDescent="0.25">
      <c r="A76" s="4"/>
      <c r="B76" s="1"/>
      <c r="C76" s="1"/>
      <c r="D76" s="3"/>
      <c r="E76" s="1"/>
      <c r="F76" s="2"/>
    </row>
  </sheetData>
  <mergeCells count="4">
    <mergeCell ref="A1:B1"/>
    <mergeCell ref="A37:B37"/>
    <mergeCell ref="A42:B42"/>
    <mergeCell ref="A35:B35"/>
  </mergeCells>
  <phoneticPr fontId="0" type="noConversion"/>
  <pageMargins left="0.25" right="0.25" top="0.75" bottom="0.75" header="0.25" footer="0.25"/>
  <pageSetup scale="76" fitToHeight="8" orientation="landscape" r:id="rId1"/>
  <headerFooter alignWithMargins="0">
    <oddHeader>&amp;C&amp;"Arial,Bold"&amp;12EnronOnline
Management Report Testing
As of 7/14/00</oddHeader>
    <oddFooter>&amp;L&amp;6EOL Price is defined as the price entered by the Counterparty online.
EOL Volume is defined as the quantity entered by the Counterparty online.&amp;C&amp;"Arial,Bold"&amp;6Draft - Tentative and Preliminary
Confidential &amp; Proprietary&amp;R&amp;8Page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J Thibodeaux</dc:creator>
  <cp:lastModifiedBy>Havlíček Jan</cp:lastModifiedBy>
  <cp:lastPrinted>2000-08-25T22:40:13Z</cp:lastPrinted>
  <dcterms:created xsi:type="dcterms:W3CDTF">2000-05-03T20:13:21Z</dcterms:created>
  <dcterms:modified xsi:type="dcterms:W3CDTF">2023-09-10T15:53:35Z</dcterms:modified>
</cp:coreProperties>
</file>