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ENRON!$E$7:$AN$86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5" i="2"/>
  <c r="X85" i="2"/>
  <c r="AB85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<sst xmlns="http://schemas.openxmlformats.org/spreadsheetml/2006/main" count="184" uniqueCount="120">
  <si>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</si>
  <si>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</si>
  <si>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</si>
  <si>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</si>
  <si>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</si>
  <si>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</si>
  <si>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</si>
  <si>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</si>
  <si>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</si>
  <si>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</si>
  <si>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</si>
  <si>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</si>
  <si>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</si>
  <si>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</si>
  <si>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</si>
  <si>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</si>
  <si>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</si>
  <si>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</si>
  <si>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</si>
  <si>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</si>
  <si>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</si>
  <si>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</si>
  <si>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</si>
  <si>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</si>
  <si>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</si>
  <si>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</si>
  <si>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</si>
  <si>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</si>
  <si>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</si>
  <si>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</si>
  <si>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</si>
  <si>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</si>
  <si>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</si>
  <si>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</si>
  <si>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</si>
  <si>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</si>
  <si>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</si>
  <si>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</si>
  <si>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</si>
  <si>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</si>
  <si>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</si>
  <si>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</si>
  <si>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</si>
  <si>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</si>
  <si>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</si>
  <si>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</si>
  <si>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</si>
  <si>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</si>
  <si>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</si>
  <si>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</si>
  <si>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</si>
  <si>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</si>
  <si>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</si>
  <si>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</si>
  <si>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</si>
  <si>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</si>
  <si>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</si>
  <si>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</si>
  <si>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</si>
  <si>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</si>
  <si>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</si>
  <si>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</si>
  <si>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</si>
  <si>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</si>
  <si>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</si>
  <si>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</si>
  <si>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</si>
  <si>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</si>
  <si>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</si>
  <si>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</si>
  <si>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</si>
  <si>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</si>
  <si>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</si>
  <si>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</si>
  <si>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</si>
  <si>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</si>
  <si>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</si>
  <si>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</si>
  <si>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</si>
  <si>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</si>
  <si>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</si>
  <si>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</si>
  <si>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</si>
  <si>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</si>
  <si>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</si>
  <si>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</si>
  <si>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</si>
  <si>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</si>
  <si>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</si>
  <si>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</si>
  <si>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</si>
  <si>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</si>
  <si>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</si>
  <si>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</si>
  <si>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</si>
  <si>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</si>
  <si>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</si>
  <si>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</si>
  <si>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</si>
  <si>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</si>
  <si>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</si>
  <si>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</si>
  <si>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</si>
  <si>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</si>
  <si>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</si>
  <si>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</si>
  <si>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</si>
  <si>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</si>
  <si>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</si>
  <si>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</si>
  <si>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</si>
  <si>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</si>
  <si>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</si>
  <si>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</si>
  <si>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</si>
  <si>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</si>
  <si>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**** 2 for 1 stock split effective 8/2/00.</t>
  </si>
  <si>
    <t>Howard Weil</t>
  </si>
  <si>
    <t>** Consensus information is not available for 2001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</si>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</sst>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5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4234.33</val>
          </value>
        </values>
      </ddeItem>
      <ddeItem name=".SPX" advise="1">
        <values>
          <value>
            <val>1520.77</val>
          </value>
        </values>
      </ddeItem>
      <ddeItem name="AES" advise="1">
        <values>
          <value>
            <val>67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72.1875</val>
          </value>
        </values>
      </ddeItem>
      <ddeItem name="ARBA.O" advise="1">
        <values>
          <value>
            <val>166.25</val>
          </value>
        </values>
      </ddeItem>
      <ddeItem name="CG">
        <values>
          <value>
            <val>70.125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70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66</val>
          </value>
        </values>
      </ddeItem>
      <ddeItem name="D" advise="1">
        <values>
          <value>
            <val>53.01953125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74.76953125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46.26953125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85.33203125</val>
          </value>
        </values>
      </ddeItem>
      <ddeItem name="EPG">
        <values>
          <value>
            <val>59.5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35.125</val>
          </value>
        </values>
      </ddeItem>
      <ddeItem name="INAP.O" advise="1">
        <values>
          <value>
            <val>35.625</val>
          </value>
        </values>
      </ddeItem>
      <ddeItem name="ISLD.O" advise="1">
        <values>
          <value>
            <val>29.5625</val>
          </value>
        </values>
      </ddeItem>
      <ddeItem name="ITWO.O" advise="1">
        <values>
          <value>
            <val>179.25</val>
          </value>
        </values>
      </ddeItem>
      <ddeItem name="KMI" advise="1">
        <values>
          <value>
            <val>37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86.0625</val>
          </value>
        </values>
      </ddeItem>
      <ddeItem name="PCG">
        <values>
          <value>
            <val>28.89453125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51.875</val>
          </value>
        </values>
      </ddeItem>
      <ddeItem name="TRP">
        <values>
          <value>
            <val>9.8125</val>
          </value>
        </values>
      </ddeItem>
      <ddeItem name="WCG" advise="1">
        <values>
          <value>
            <val>30</val>
          </value>
        </values>
      </ddeItem>
      <ddeItem name="WMB">
        <values>
          <value>
            <val>47.33203125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1"/>
    </sheetView>
  </sheetViews>
  <sheetFormatPr defaultColWidth="8.90625" defaultRowHeight="15.6" x14ac:dyDescent="0.3"/>
  <cols>
    <col min="1" max="1" width="23.6328125" style="238" bestFit="1" customWidth="1"/>
    <col min="2" max="2" width="8.90625" style="239"/>
    <col min="3" max="3" width="2" style="238" customWidth="1"/>
    <col min="4" max="4" width="7.81640625" style="238" customWidth="1"/>
    <col min="5" max="5" width="1.08984375" style="238" customWidth="1"/>
    <col min="6" max="6" width="7.90625" style="238" customWidth="1"/>
    <col min="7" max="7" width="1.1796875" style="238" customWidth="1"/>
    <col min="8" max="8" width="7.1796875" style="238" customWidth="1"/>
    <col min="9" max="9" width="0.81640625" style="238" customWidth="1"/>
    <col min="10" max="16384" width="8.90625" style="238"/>
  </cols>
  <sheetData>
    <row r="1" spans="1:10" ht="18.75" customHeight="1" x14ac:dyDescent="0.3">
      <c r="A1" s="238" t="s">
        <v>82</v>
      </c>
    </row>
    <row r="2" spans="1:10" ht="18" customHeight="1" x14ac:dyDescent="0.3">
      <c r="A2" s="317" t="s">
        <v>21</v>
      </c>
    </row>
    <row r="3" spans="1:10" ht="16.2" thickBot="1" x14ac:dyDescent="0.35"/>
    <row r="4" spans="1:10" ht="16.2" thickBot="1" x14ac:dyDescent="0.35">
      <c r="B4" s="240">
        <v>2000</v>
      </c>
      <c r="D4" s="326" t="s">
        <v>83</v>
      </c>
      <c r="E4" s="327"/>
      <c r="F4" s="327"/>
      <c r="G4" s="327"/>
      <c r="H4" s="328"/>
    </row>
    <row r="5" spans="1:10" ht="31.8" thickBot="1" x14ac:dyDescent="0.35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3">
      <c r="A6" s="238" t="s">
        <v>84</v>
      </c>
      <c r="B6" s="247">
        <f>ENRON!Z7</f>
        <v>60.390680290162791</v>
      </c>
      <c r="D6" s="254">
        <f>ENRON!AH7</f>
        <v>5.3847569955817378E-3</v>
      </c>
      <c r="E6" s="248"/>
      <c r="F6" s="249">
        <f>ENRON!AJ7</f>
        <v>0.32297722868217055</v>
      </c>
      <c r="G6" s="248"/>
      <c r="H6" s="250">
        <f>ENRON!AL7</f>
        <v>0.92860915492957752</v>
      </c>
    </row>
    <row r="7" spans="1:10" x14ac:dyDescent="0.3">
      <c r="A7" s="238" t="s">
        <v>85</v>
      </c>
      <c r="B7" s="251">
        <f>ENRON!Z9</f>
        <v>26.329120498614959</v>
      </c>
      <c r="D7" s="255">
        <f>ENRON!AH9</f>
        <v>9.8801162991383872E-3</v>
      </c>
      <c r="E7" s="252"/>
      <c r="F7" s="256">
        <f>ENRON!AJ9</f>
        <v>4.758627801457449E-2</v>
      </c>
      <c r="G7" s="252"/>
      <c r="H7" s="257">
        <f>ENRON!AL9</f>
        <v>4.2716741761158639E-2</v>
      </c>
    </row>
    <row r="8" spans="1:10" x14ac:dyDescent="0.3">
      <c r="A8" s="238" t="s">
        <v>89</v>
      </c>
      <c r="B8" s="251" t="str">
        <f>ENRON!Z10</f>
        <v xml:space="preserve">N/A </v>
      </c>
      <c r="D8" s="255">
        <f>ENRON!AH10</f>
        <v>4.7439075069013729E-2</v>
      </c>
      <c r="E8" s="252"/>
      <c r="F8" s="256">
        <f>ENRON!AJ10</f>
        <v>6.7862464732445671E-2</v>
      </c>
      <c r="G8" s="252"/>
      <c r="H8" s="257">
        <f>ENRON!AL10</f>
        <v>4.1565523393400743E-2</v>
      </c>
    </row>
    <row r="9" spans="1:10" x14ac:dyDescent="0.3">
      <c r="A9" s="238" t="s">
        <v>110</v>
      </c>
      <c r="B9" s="251">
        <f>ENRON!Z25</f>
        <v>25.095723402428938</v>
      </c>
      <c r="C9" s="307"/>
      <c r="D9" s="255">
        <f>ENRON!AH25</f>
        <v>4.1316010546678335E-2</v>
      </c>
      <c r="E9" s="252"/>
      <c r="F9" s="256">
        <f>ENRON!AJ25</f>
        <v>0.22534711599078075</v>
      </c>
      <c r="G9" s="308"/>
      <c r="H9" s="257">
        <f>ENRON!AL25</f>
        <v>0.63744410424062137</v>
      </c>
      <c r="I9" s="307"/>
      <c r="J9" s="307"/>
    </row>
    <row r="10" spans="1:10" ht="16.2" thickBot="1" x14ac:dyDescent="0.35">
      <c r="A10" s="238" t="s">
        <v>111</v>
      </c>
      <c r="B10" s="315" t="s">
        <v>88</v>
      </c>
      <c r="D10" s="316">
        <f>ENRON!AH42</f>
        <v>0.1155847983072249</v>
      </c>
      <c r="E10" s="311"/>
      <c r="F10" s="312">
        <f>ENRON!AJ42</f>
        <v>0.12065849555535328</v>
      </c>
      <c r="G10" s="313"/>
      <c r="H10" s="314">
        <f>ENRON!AL42</f>
        <v>-6.7550498136922099E-2</v>
      </c>
    </row>
    <row r="11" spans="1:10" x14ac:dyDescent="0.3">
      <c r="D11" s="309"/>
    </row>
    <row r="12" spans="1:10" x14ac:dyDescent="0.3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1"/>
  <sheetViews>
    <sheetView tabSelected="1" workbookViewId="0">
      <pane xSplit="3" topLeftCell="D1" activePane="topRight" state="frozen"/>
      <selection pane="topRight" activeCell="X24" sqref="X24"/>
    </sheetView>
  </sheetViews>
  <sheetFormatPr defaultColWidth="9.81640625" defaultRowHeight="15" x14ac:dyDescent="0.25"/>
  <cols>
    <col min="1" max="1" width="17.45312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hidden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hidden="1" customWidth="1"/>
    <col min="24" max="24" width="9.81640625" style="1" bestFit="1" customWidth="1"/>
    <col min="25" max="25" width="1.81640625" style="1" customWidth="1"/>
    <col min="26" max="26" width="6.1796875" style="1" bestFit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customWidth="1"/>
    <col min="32" max="32" width="8" style="1" hidden="1" customWidth="1"/>
    <col min="33" max="33" width="0.90625" style="11" hidden="1" customWidth="1"/>
    <col min="34" max="34" width="7" style="11" customWidth="1"/>
    <col min="35" max="35" width="1.1796875" style="11" customWidth="1"/>
    <col min="36" max="36" width="8.54296875" style="11" bestFit="1" customWidth="1"/>
    <col min="37" max="37" width="0.90625" style="11" customWidth="1"/>
    <col min="38" max="38" width="7.6328125" style="1" bestFit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2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119</v>
      </c>
    </row>
    <row r="2" spans="1:50" ht="17.399999999999999" x14ac:dyDescent="0.3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36770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2">
        <v>2000</v>
      </c>
      <c r="Y4" s="333"/>
      <c r="Z4" s="334"/>
      <c r="AA4" s="184"/>
      <c r="AB4" s="332">
        <v>2001</v>
      </c>
      <c r="AC4" s="333"/>
      <c r="AD4" s="334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5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36763</v>
      </c>
      <c r="AU5" s="20"/>
      <c r="AV5" s="84">
        <v>36707</v>
      </c>
      <c r="AW5" s="226"/>
      <c r="AX5" s="85"/>
    </row>
    <row r="6" spans="1:50" ht="15.6" thickBot="1" x14ac:dyDescent="0.3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113</v>
      </c>
    </row>
    <row r="7" spans="1:50" ht="15.6" thickBot="1" x14ac:dyDescent="0.3">
      <c r="A7" s="99" t="s">
        <v>52</v>
      </c>
      <c r="B7" s="100"/>
      <c r="C7" s="101" t="s">
        <v>0</v>
      </c>
      <c r="D7" s="100"/>
      <c r="E7" s="102">
        <f>[1]!ENE</f>
        <v>85.33203125</v>
      </c>
      <c r="F7" s="100"/>
      <c r="G7" s="103">
        <v>2.16</v>
      </c>
      <c r="H7" s="104" t="s">
        <v>53</v>
      </c>
      <c r="I7" s="105">
        <f>E7/G7</f>
        <v>39.505570023148145</v>
      </c>
      <c r="J7" s="100"/>
      <c r="K7" s="103">
        <v>2.14</v>
      </c>
      <c r="L7" s="106" t="s">
        <v>54</v>
      </c>
      <c r="M7" s="105">
        <f>E7/K7</f>
        <v>39.874780957943926</v>
      </c>
      <c r="N7" s="100"/>
      <c r="O7" s="103">
        <v>2.16</v>
      </c>
      <c r="P7" s="104" t="s">
        <v>53</v>
      </c>
      <c r="Q7" s="105">
        <f>M7/O7</f>
        <v>18.460546739788853</v>
      </c>
      <c r="R7" s="100"/>
      <c r="S7" s="107">
        <f>+S85</f>
        <v>1.9949999999999999</v>
      </c>
      <c r="T7" s="105">
        <f>E7/S7</f>
        <v>42.772947994987469</v>
      </c>
      <c r="U7" s="108"/>
      <c r="V7" s="109">
        <f>(S7-K7)/K7</f>
        <v>-6.7757009345794497E-2</v>
      </c>
      <c r="W7" s="110"/>
      <c r="X7" s="258">
        <f>+X85</f>
        <v>1.4129999999999996</v>
      </c>
      <c r="Y7" s="234"/>
      <c r="Z7" s="105">
        <f>E7/X7</f>
        <v>60.390680290162791</v>
      </c>
      <c r="AA7" s="108"/>
      <c r="AB7" s="258">
        <f>+AB85</f>
        <v>1.6404999999999998</v>
      </c>
      <c r="AC7" s="218"/>
      <c r="AD7" s="105">
        <f>E7/AB7</f>
        <v>52.015867875647672</v>
      </c>
      <c r="AE7" s="108"/>
      <c r="AF7" s="109">
        <f>(X7-S7)/S7</f>
        <v>-0.29172932330827084</v>
      </c>
      <c r="AG7" s="110"/>
      <c r="AH7" s="111">
        <f>((+AS7+E7-AT7)/AT7)</f>
        <v>5.3847569955817378E-3</v>
      </c>
      <c r="AI7" s="110"/>
      <c r="AJ7" s="110">
        <f>((+AU7+E7-AV7)/AV7)</f>
        <v>0.32297722868217055</v>
      </c>
      <c r="AK7" s="110"/>
      <c r="AL7" s="112">
        <f>((+AW7+E7-AX7)/AX7)</f>
        <v>0.92860915492957752</v>
      </c>
      <c r="AM7" s="50"/>
      <c r="AN7" s="198">
        <f>AP7/E7</f>
        <v>5.859464408331426E-3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84.875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5">
      <c r="A9" s="122" t="s">
        <v>55</v>
      </c>
      <c r="B9" s="66"/>
      <c r="C9" s="114" t="s">
        <v>68</v>
      </c>
      <c r="D9" s="66"/>
      <c r="E9" s="123">
        <f>[1]!'.SPX'</f>
        <v>1520.77</v>
      </c>
      <c r="F9" s="124"/>
      <c r="G9" s="125">
        <v>40.53</v>
      </c>
      <c r="H9" s="117"/>
      <c r="I9" s="126">
        <f>E9/G9</f>
        <v>37.522082408092771</v>
      </c>
      <c r="J9" s="67"/>
      <c r="K9" s="125">
        <v>42.08</v>
      </c>
      <c r="L9" s="67"/>
      <c r="M9" s="126">
        <f>E9/K9</f>
        <v>36.139971482889734</v>
      </c>
      <c r="N9" s="124"/>
      <c r="O9" s="125">
        <v>40.53</v>
      </c>
      <c r="P9" s="117"/>
      <c r="Q9" s="126">
        <f>M9/O9</f>
        <v>0.8916844678729271</v>
      </c>
      <c r="R9" s="67"/>
      <c r="S9" s="127">
        <v>40.18</v>
      </c>
      <c r="T9" s="126">
        <f>E9/S9</f>
        <v>37.848929815828768</v>
      </c>
      <c r="U9" s="128"/>
      <c r="V9" s="129">
        <f>(S9-K9)/K9</f>
        <v>-4.5152091254752821E-2</v>
      </c>
      <c r="W9" s="130"/>
      <c r="X9" s="127">
        <v>57.76</v>
      </c>
      <c r="Y9" s="215"/>
      <c r="Z9" s="126">
        <f>E9/X9</f>
        <v>26.329120498614959</v>
      </c>
      <c r="AA9" s="128"/>
      <c r="AB9" s="127">
        <v>62.46</v>
      </c>
      <c r="AC9" s="215"/>
      <c r="AD9" s="126">
        <f>E9/AB9</f>
        <v>24.347902657700928</v>
      </c>
      <c r="AE9" s="128"/>
      <c r="AF9" s="129">
        <f>(X9-S9)/S9</f>
        <v>0.43753111000497757</v>
      </c>
      <c r="AG9" s="130"/>
      <c r="AH9" s="113">
        <f>((+AS9+E9-AT9)/AT9)</f>
        <v>9.8801162991383872E-3</v>
      </c>
      <c r="AI9" s="130"/>
      <c r="AJ9" s="130">
        <f>((+AU9+E9-AV9)/AV9)</f>
        <v>4.758627801457449E-2</v>
      </c>
      <c r="AK9" s="130"/>
      <c r="AL9" s="131">
        <f>((+AW9+E9-AX9)/AX9)</f>
        <v>4.2716741761158639E-2</v>
      </c>
      <c r="AM9" s="29"/>
      <c r="AN9" s="223">
        <v>1.06E-2</v>
      </c>
      <c r="AO9" s="113"/>
      <c r="AP9" s="213">
        <f>AN9*E9</f>
        <v>16.120162000000001</v>
      </c>
      <c r="AQ9" s="40"/>
      <c r="AR9" s="206"/>
      <c r="AS9" s="201">
        <v>0.57399999999999995</v>
      </c>
      <c r="AT9" s="123">
        <v>1506.46</v>
      </c>
      <c r="AU9" s="201">
        <v>3.0489999999999999</v>
      </c>
      <c r="AV9" s="183">
        <v>1454.6</v>
      </c>
      <c r="AW9" s="201">
        <v>11.252000000000001</v>
      </c>
      <c r="AX9" s="183">
        <v>1469.26</v>
      </c>
    </row>
    <row r="10" spans="1:50" x14ac:dyDescent="0.25">
      <c r="A10" s="122" t="s">
        <v>89</v>
      </c>
      <c r="B10" s="66"/>
      <c r="C10" s="114" t="s">
        <v>86</v>
      </c>
      <c r="D10" s="66"/>
      <c r="E10" s="123">
        <f>[1]!'.IXIC'</f>
        <v>4234.33</v>
      </c>
      <c r="F10" s="124"/>
      <c r="G10" s="125">
        <v>40.53</v>
      </c>
      <c r="H10" s="117"/>
      <c r="I10" s="126">
        <f>E10/G10</f>
        <v>104.47396989884037</v>
      </c>
      <c r="J10" s="67"/>
      <c r="K10" s="125">
        <v>42.08</v>
      </c>
      <c r="L10" s="67"/>
      <c r="M10" s="126">
        <f>E10/K10</f>
        <v>100.62571292775665</v>
      </c>
      <c r="N10" s="124"/>
      <c r="O10" s="125">
        <v>40.53</v>
      </c>
      <c r="P10" s="117"/>
      <c r="Q10" s="126">
        <f>M10/O10</f>
        <v>2.4827464329572329</v>
      </c>
      <c r="R10" s="67"/>
      <c r="S10" s="127">
        <v>40.18</v>
      </c>
      <c r="T10" s="126">
        <f>E10/S10</f>
        <v>105.3840219014435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4.7439075069013729E-2</v>
      </c>
      <c r="AI10" s="130"/>
      <c r="AJ10" s="130">
        <f>((+AU10+E10-AV10)/AV10)</f>
        <v>6.7862464732445671E-2</v>
      </c>
      <c r="AK10" s="130"/>
      <c r="AL10" s="131">
        <f>((+AW10+E10-AX10)/AX10)</f>
        <v>4.1565523393400743E-2</v>
      </c>
      <c r="AM10" s="29"/>
      <c r="AN10" s="223">
        <v>1.5E-3</v>
      </c>
      <c r="AO10" s="113"/>
      <c r="AP10" s="213">
        <f>AN10*E10</f>
        <v>6.3514949999999999</v>
      </c>
      <c r="AQ10" s="40"/>
      <c r="AR10" s="206"/>
      <c r="AS10" s="201">
        <v>0.13100000000000001</v>
      </c>
      <c r="AT10" s="123">
        <v>4042.68</v>
      </c>
      <c r="AU10" s="201">
        <v>0.93</v>
      </c>
      <c r="AV10" s="183">
        <v>3966.11</v>
      </c>
      <c r="AW10" s="201">
        <v>4.1230000000000002</v>
      </c>
      <c r="AX10" s="183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5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5">
      <c r="A13" s="66" t="s">
        <v>108</v>
      </c>
      <c r="B13" s="66"/>
      <c r="C13" s="132" t="s">
        <v>77</v>
      </c>
      <c r="D13" s="66"/>
      <c r="E13" s="123">
        <f>[1]!AES</f>
        <v>67</v>
      </c>
      <c r="F13" s="66"/>
      <c r="G13" s="125">
        <v>4.72</v>
      </c>
      <c r="H13" s="133" t="s">
        <v>53</v>
      </c>
      <c r="I13" s="126">
        <f>E13/G13</f>
        <v>14.194915254237289</v>
      </c>
      <c r="J13" s="66"/>
      <c r="K13" s="125">
        <v>4.9400000000000004</v>
      </c>
      <c r="L13" s="67"/>
      <c r="M13" s="126">
        <f t="shared" ref="M13:M20" si="0">E13/K13</f>
        <v>13.562753036437245</v>
      </c>
      <c r="N13" s="66"/>
      <c r="O13" s="125">
        <v>4.72</v>
      </c>
      <c r="P13" s="133" t="s">
        <v>53</v>
      </c>
      <c r="Q13" s="126">
        <f>M13/O13</f>
        <v>2.8734646263638233</v>
      </c>
      <c r="R13" s="66"/>
      <c r="S13" s="127">
        <v>3.43</v>
      </c>
      <c r="T13" s="126">
        <f t="shared" ref="T13:T20" si="1">E13/S13</f>
        <v>19.533527696793001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44.966442953020135</v>
      </c>
      <c r="AA13" s="128"/>
      <c r="AB13" s="127">
        <v>1.9</v>
      </c>
      <c r="AC13" s="215"/>
      <c r="AD13" s="126">
        <f t="shared" ref="AD13:AD23" si="4">E13/AB13</f>
        <v>35.263157894736842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0.17158469945355193</v>
      </c>
      <c r="AI13" s="130"/>
      <c r="AJ13" s="130">
        <f t="shared" ref="AJ13:AJ23" si="7">((+AU13+E13-AV13)/AV13)</f>
        <v>0.46849315068493153</v>
      </c>
      <c r="AK13" s="130"/>
      <c r="AL13" s="131">
        <f t="shared" ref="AL13:AL23" si="8">((+AW13+E13-AX13)/AX13)</f>
        <v>0.79264214046822745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57.1875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5">
      <c r="A14" s="122" t="s">
        <v>57</v>
      </c>
      <c r="B14" s="66"/>
      <c r="C14" s="132" t="s">
        <v>2</v>
      </c>
      <c r="D14" s="66"/>
      <c r="E14" s="123">
        <f>[1]!CG</f>
        <v>70.125</v>
      </c>
      <c r="F14" s="66"/>
      <c r="G14" s="125">
        <v>4.72</v>
      </c>
      <c r="H14" s="133" t="s">
        <v>53</v>
      </c>
      <c r="I14" s="126">
        <f>E14/G14</f>
        <v>14.85699152542373</v>
      </c>
      <c r="J14" s="66"/>
      <c r="K14" s="125">
        <v>4.9400000000000004</v>
      </c>
      <c r="L14" s="67"/>
      <c r="M14" s="126">
        <f>E14/K14</f>
        <v>14.195344129554655</v>
      </c>
      <c r="N14" s="66"/>
      <c r="O14" s="125">
        <v>4.72</v>
      </c>
      <c r="P14" s="133" t="s">
        <v>53</v>
      </c>
      <c r="Q14" s="126">
        <f>M14/O14</f>
        <v>3.0074881630412409</v>
      </c>
      <c r="R14" s="66"/>
      <c r="S14" s="127">
        <v>3.43</v>
      </c>
      <c r="T14" s="126">
        <f>E14/S14</f>
        <v>20.444606413994169</v>
      </c>
      <c r="U14" s="128"/>
      <c r="V14" s="129">
        <f>(S14-K14)/K14</f>
        <v>-0.30566801619433198</v>
      </c>
      <c r="W14" s="130"/>
      <c r="X14" s="127">
        <v>4.04</v>
      </c>
      <c r="Y14" s="215"/>
      <c r="Z14" s="126">
        <f>E14/X14</f>
        <v>17.357673267326732</v>
      </c>
      <c r="AA14" s="128"/>
      <c r="AB14" s="127">
        <v>4.5</v>
      </c>
      <c r="AC14" s="215"/>
      <c r="AD14" s="126">
        <f>E14/AB14</f>
        <v>15.583333333333334</v>
      </c>
      <c r="AE14" s="128"/>
      <c r="AF14" s="129">
        <f>(X14-S14)/S14</f>
        <v>0.17784256559766759</v>
      </c>
      <c r="AG14" s="130"/>
      <c r="AH14" s="113">
        <f>((+AS14+E14-AT14)/AT14)</f>
        <v>5.3763440860215058E-3</v>
      </c>
      <c r="AI14" s="130"/>
      <c r="AJ14" s="130">
        <f>((+AU14+E14-AV14)/AV14)</f>
        <v>7.1999999999999911E-2</v>
      </c>
      <c r="AK14" s="130"/>
      <c r="AL14" s="131">
        <f>((+AW14+E14-AX14)/AX14)</f>
        <v>0.11936758893280627</v>
      </c>
      <c r="AM14" s="29"/>
      <c r="AN14" s="134">
        <f>AP14/E14</f>
        <v>1.2834224598930482E-2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69.75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5">
      <c r="A15" s="122" t="s">
        <v>56</v>
      </c>
      <c r="B15" s="66"/>
      <c r="C15" s="132" t="s">
        <v>1</v>
      </c>
      <c r="D15" s="66"/>
      <c r="E15" s="123">
        <f>[1]!CGP</f>
        <v>70</v>
      </c>
      <c r="F15" s="66"/>
      <c r="G15" s="125">
        <v>2.88</v>
      </c>
      <c r="H15" s="133" t="s">
        <v>53</v>
      </c>
      <c r="I15" s="126">
        <f>E15/G15</f>
        <v>24.305555555555557</v>
      </c>
      <c r="J15" s="66"/>
      <c r="K15" s="125">
        <v>3.48</v>
      </c>
      <c r="L15" s="67"/>
      <c r="M15" s="126">
        <f>E15/K15</f>
        <v>20.114942528735632</v>
      </c>
      <c r="N15" s="66"/>
      <c r="O15" s="125">
        <v>2.88</v>
      </c>
      <c r="P15" s="133" t="s">
        <v>53</v>
      </c>
      <c r="Q15" s="126">
        <f>M15/O15</f>
        <v>6.984355044699873</v>
      </c>
      <c r="R15" s="66"/>
      <c r="S15" s="127">
        <v>2.02</v>
      </c>
      <c r="T15" s="126">
        <f>E15/S15</f>
        <v>34.653465346534652</v>
      </c>
      <c r="U15" s="128"/>
      <c r="V15" s="129">
        <f>(S15-K15)/K15</f>
        <v>-0.41954022988505746</v>
      </c>
      <c r="W15" s="130"/>
      <c r="X15" s="127">
        <v>2.96</v>
      </c>
      <c r="Y15" s="215"/>
      <c r="Z15" s="126">
        <f>E15/X15</f>
        <v>23.648648648648649</v>
      </c>
      <c r="AA15" s="128"/>
      <c r="AB15" s="127">
        <v>3.44</v>
      </c>
      <c r="AC15" s="215"/>
      <c r="AD15" s="126">
        <f>E15/AB15</f>
        <v>20.348837209302324</v>
      </c>
      <c r="AE15" s="128"/>
      <c r="AF15" s="129">
        <f>(X15-S15)/S15</f>
        <v>0.46534653465346532</v>
      </c>
      <c r="AG15" s="130"/>
      <c r="AH15" s="113">
        <f>((+AS15+E15-AT15)/AT15)</f>
        <v>-8.9126559714795004E-4</v>
      </c>
      <c r="AI15" s="130"/>
      <c r="AJ15" s="130">
        <f>((+AU15+E15-AV15)/AV15)</f>
        <v>0.15092402464065707</v>
      </c>
      <c r="AK15" s="130"/>
      <c r="AL15" s="131">
        <f>((+AW15+E15-AX15)/AX15)</f>
        <v>0.98059964726631388</v>
      </c>
      <c r="AM15" s="29"/>
      <c r="AN15" s="134">
        <f>AP15/E15</f>
        <v>3.5714285714285713E-3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>
        <v>6.25E-2</v>
      </c>
      <c r="AT15" s="183">
        <v>70.125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5">
      <c r="A16" s="122" t="s">
        <v>80</v>
      </c>
      <c r="B16" s="66"/>
      <c r="C16" s="132" t="s">
        <v>81</v>
      </c>
      <c r="D16" s="66"/>
      <c r="E16" s="237">
        <f>[1]!D</f>
        <v>53.01953125</v>
      </c>
      <c r="F16" s="66"/>
      <c r="G16" s="125">
        <v>3.24</v>
      </c>
      <c r="H16" s="117"/>
      <c r="I16" s="126">
        <f>E16/G16</f>
        <v>16.364052854938272</v>
      </c>
      <c r="J16" s="66"/>
      <c r="K16" s="125">
        <v>3.34</v>
      </c>
      <c r="L16" s="67"/>
      <c r="M16" s="126">
        <f t="shared" si="0"/>
        <v>15.874111152694612</v>
      </c>
      <c r="N16" s="66"/>
      <c r="O16" s="125">
        <v>3.24</v>
      </c>
      <c r="P16" s="117"/>
      <c r="Q16" s="126">
        <f>M16/O16</f>
        <v>4.8994170224366078</v>
      </c>
      <c r="R16" s="66"/>
      <c r="S16" s="127">
        <v>2.87</v>
      </c>
      <c r="T16" s="126">
        <f t="shared" si="1"/>
        <v>18.473704268292682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16.066524621212121</v>
      </c>
      <c r="AA16" s="128"/>
      <c r="AB16" s="127">
        <v>3.79</v>
      </c>
      <c r="AC16" s="215"/>
      <c r="AD16" s="126">
        <f t="shared" si="4"/>
        <v>13.989322229551451</v>
      </c>
      <c r="AE16" s="128"/>
      <c r="AF16" s="129">
        <f t="shared" si="5"/>
        <v>0.14982578397212534</v>
      </c>
      <c r="AG16" s="130"/>
      <c r="AH16" s="113">
        <f t="shared" si="6"/>
        <v>4.9891707920792082E-2</v>
      </c>
      <c r="AI16" s="130"/>
      <c r="AJ16" s="130">
        <f t="shared" si="7"/>
        <v>0.25165087463556857</v>
      </c>
      <c r="AK16" s="130"/>
      <c r="AL16" s="131">
        <f t="shared" si="8"/>
        <v>0.40011544585987269</v>
      </c>
      <c r="AM16" s="29"/>
      <c r="AN16" s="134">
        <f t="shared" si="9"/>
        <v>4.8661312900611507E-2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50.5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5">
      <c r="A17" s="122" t="s">
        <v>58</v>
      </c>
      <c r="B17" s="66"/>
      <c r="C17" s="132" t="s">
        <v>3</v>
      </c>
      <c r="D17" s="66"/>
      <c r="E17" s="123">
        <f>[1]!DUK</f>
        <v>74.76953125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25.345603813559322</v>
      </c>
      <c r="N17" s="66"/>
      <c r="O17" s="125"/>
      <c r="P17" s="133"/>
      <c r="Q17" s="126"/>
      <c r="R17" s="66"/>
      <c r="S17" s="127">
        <v>3.38</v>
      </c>
      <c r="T17" s="126">
        <f t="shared" si="1"/>
        <v>22.121163091715978</v>
      </c>
      <c r="U17" s="128"/>
      <c r="V17" s="129">
        <f t="shared" si="2"/>
        <v>0.14576271186440667</v>
      </c>
      <c r="W17" s="130"/>
      <c r="X17" s="127">
        <v>4.05</v>
      </c>
      <c r="Y17" s="215"/>
      <c r="Z17" s="126">
        <f t="shared" si="3"/>
        <v>18.461612654320987</v>
      </c>
      <c r="AA17" s="128"/>
      <c r="AB17" s="127">
        <v>4.46</v>
      </c>
      <c r="AC17" s="215"/>
      <c r="AD17" s="126">
        <f t="shared" si="4"/>
        <v>16.76446889013453</v>
      </c>
      <c r="AE17" s="128"/>
      <c r="AF17" s="129">
        <f t="shared" si="5"/>
        <v>0.1982248520710059</v>
      </c>
      <c r="AG17" s="130"/>
      <c r="AH17" s="113">
        <f t="shared" si="6"/>
        <v>6.1501774622892635E-2</v>
      </c>
      <c r="AI17" s="130"/>
      <c r="AJ17" s="130">
        <f t="shared" si="7"/>
        <v>0.33604490022172945</v>
      </c>
      <c r="AK17" s="130"/>
      <c r="AL17" s="131">
        <f t="shared" si="8"/>
        <v>0.52457917705735668</v>
      </c>
      <c r="AM17" s="29"/>
      <c r="AN17" s="134">
        <f t="shared" si="9"/>
        <v>2.9423750065304847E-2</v>
      </c>
      <c r="AO17" s="135"/>
      <c r="AP17" s="55">
        <f>[1]!'DUK,DIVIDEND'</f>
        <v>2.2000000000000002</v>
      </c>
      <c r="AQ17" s="321" t="s">
        <v>114</v>
      </c>
      <c r="AR17" s="206">
        <v>0.55000000000000004</v>
      </c>
      <c r="AS17" s="43"/>
      <c r="AT17" s="183">
        <v>70.4375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6" x14ac:dyDescent="0.3">
      <c r="A18" s="122" t="s">
        <v>115</v>
      </c>
      <c r="B18" s="66"/>
      <c r="C18" s="132" t="s">
        <v>59</v>
      </c>
      <c r="D18" s="66"/>
      <c r="E18" s="123">
        <f>[1]!DYN</f>
        <v>46.26953125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66.099330357142861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79.775053879310349</v>
      </c>
      <c r="U18" s="128"/>
      <c r="V18" s="129">
        <f>(S18-K18)/K18</f>
        <v>-0.17142857142857143</v>
      </c>
      <c r="W18" s="130"/>
      <c r="X18" s="127">
        <v>1.3</v>
      </c>
      <c r="Y18" s="215"/>
      <c r="Z18" s="126">
        <f t="shared" si="3"/>
        <v>35.591947115384613</v>
      </c>
      <c r="AA18" s="128"/>
      <c r="AB18" s="127">
        <v>1.6</v>
      </c>
      <c r="AC18" s="235"/>
      <c r="AD18" s="126">
        <f t="shared" si="4"/>
        <v>28.91845703125</v>
      </c>
      <c r="AE18" s="128"/>
      <c r="AF18" s="129">
        <f t="shared" si="5"/>
        <v>1.2413793103448278</v>
      </c>
      <c r="AG18" s="130"/>
      <c r="AH18" s="113">
        <f t="shared" si="6"/>
        <v>5.3284801136363698E-2</v>
      </c>
      <c r="AI18" s="130"/>
      <c r="AJ18" s="130">
        <f t="shared" si="7"/>
        <v>0.35691656659232579</v>
      </c>
      <c r="AK18" s="130"/>
      <c r="AL18" s="131">
        <f t="shared" si="8"/>
        <v>1.6360787670951156</v>
      </c>
      <c r="AM18" s="29"/>
      <c r="AN18" s="134">
        <f t="shared" si="9"/>
        <v>6.4837484170536088E-3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>
        <v>7.4999999999999997E-2</v>
      </c>
      <c r="AT18" s="323">
        <v>44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5">
      <c r="A19" s="122" t="s">
        <v>60</v>
      </c>
      <c r="B19" s="66"/>
      <c r="C19" s="132" t="s">
        <v>4</v>
      </c>
      <c r="D19" s="66"/>
      <c r="E19" s="123">
        <f>[1]!EPG</f>
        <v>59.5</v>
      </c>
      <c r="F19" s="66"/>
      <c r="G19" s="125">
        <v>2.85</v>
      </c>
      <c r="H19" s="133" t="s">
        <v>53</v>
      </c>
      <c r="I19" s="126">
        <f>E19/G19</f>
        <v>20.87719298245614</v>
      </c>
      <c r="J19" s="66"/>
      <c r="K19" s="125">
        <v>3.18</v>
      </c>
      <c r="L19" s="67"/>
      <c r="M19" s="126">
        <f t="shared" si="0"/>
        <v>18.710691823899371</v>
      </c>
      <c r="N19" s="66"/>
      <c r="O19" s="125">
        <v>2.85</v>
      </c>
      <c r="P19" s="133" t="s">
        <v>53</v>
      </c>
      <c r="Q19" s="126">
        <f>M19/O19</f>
        <v>6.5651550259296032</v>
      </c>
      <c r="R19" s="66"/>
      <c r="S19" s="127">
        <v>1.83</v>
      </c>
      <c r="T19" s="126">
        <f t="shared" si="1"/>
        <v>32.513661202185794</v>
      </c>
      <c r="U19" s="128"/>
      <c r="V19" s="129">
        <f t="shared" si="2"/>
        <v>-0.42452830188679247</v>
      </c>
      <c r="W19" s="130"/>
      <c r="X19" s="127">
        <v>2.59</v>
      </c>
      <c r="Y19" s="215"/>
      <c r="Z19" s="126">
        <f t="shared" si="3"/>
        <v>22.972972972972975</v>
      </c>
      <c r="AA19" s="128"/>
      <c r="AB19" s="127">
        <v>3.15</v>
      </c>
      <c r="AC19" s="215"/>
      <c r="AD19" s="126">
        <f t="shared" si="4"/>
        <v>18.888888888888889</v>
      </c>
      <c r="AE19" s="128"/>
      <c r="AF19" s="129">
        <f t="shared" si="5"/>
        <v>0.41530054644808728</v>
      </c>
      <c r="AG19" s="130"/>
      <c r="AH19" s="113">
        <f t="shared" si="6"/>
        <v>2.3897106109324811E-2</v>
      </c>
      <c r="AI19" s="130"/>
      <c r="AJ19" s="130">
        <f t="shared" si="7"/>
        <v>0.17214233128834361</v>
      </c>
      <c r="AK19" s="130"/>
      <c r="AL19" s="131">
        <f t="shared" si="8"/>
        <v>0.54893397745571659</v>
      </c>
      <c r="AM19" s="29"/>
      <c r="AN19" s="134">
        <f t="shared" si="9"/>
        <v>1.3781512605042016E-2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>
        <v>0.20599999999999999</v>
      </c>
      <c r="AT19" s="183">
        <v>58.3125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5">
      <c r="A20" s="122" t="s">
        <v>74</v>
      </c>
      <c r="B20" s="66"/>
      <c r="C20" s="132" t="s">
        <v>75</v>
      </c>
      <c r="D20" s="66"/>
      <c r="E20" s="123">
        <f>[1]!KMI</f>
        <v>37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15.22633744855967</v>
      </c>
      <c r="N20" s="66"/>
      <c r="O20" s="125"/>
      <c r="P20" s="133"/>
      <c r="Q20" s="126"/>
      <c r="R20" s="66"/>
      <c r="S20" s="127">
        <v>1.17</v>
      </c>
      <c r="T20" s="126">
        <f t="shared" si="1"/>
        <v>31.623931623931625</v>
      </c>
      <c r="U20" s="128"/>
      <c r="V20" s="129"/>
      <c r="W20" s="130"/>
      <c r="X20" s="127">
        <v>1.24</v>
      </c>
      <c r="Y20" s="215"/>
      <c r="Z20" s="126">
        <f t="shared" si="3"/>
        <v>29.838709677419356</v>
      </c>
      <c r="AA20" s="128"/>
      <c r="AB20" s="127">
        <v>1.56</v>
      </c>
      <c r="AC20" s="215"/>
      <c r="AD20" s="126">
        <f t="shared" si="4"/>
        <v>23.717948717948715</v>
      </c>
      <c r="AE20" s="128"/>
      <c r="AF20" s="129">
        <f t="shared" si="5"/>
        <v>5.9829059829059887E-2</v>
      </c>
      <c r="AG20" s="130"/>
      <c r="AH20" s="113">
        <f t="shared" si="6"/>
        <v>3.3898305084745762E-3</v>
      </c>
      <c r="AI20" s="130"/>
      <c r="AJ20" s="130">
        <f t="shared" si="7"/>
        <v>7.1486669679168474E-2</v>
      </c>
      <c r="AK20" s="130"/>
      <c r="AL20" s="131">
        <f t="shared" si="8"/>
        <v>0.84024767801857581</v>
      </c>
      <c r="AM20" s="29"/>
      <c r="AN20" s="134">
        <f t="shared" si="9"/>
        <v>5.4054054054054057E-3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36.875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5">
      <c r="A21" s="66" t="s">
        <v>65</v>
      </c>
      <c r="B21" s="66"/>
      <c r="C21" s="132" t="s">
        <v>66</v>
      </c>
      <c r="D21" s="66"/>
      <c r="E21" s="123">
        <f>[1]!PCG</f>
        <v>28.89453125</v>
      </c>
      <c r="F21" s="66"/>
      <c r="G21" s="125">
        <v>2.88</v>
      </c>
      <c r="H21" s="133" t="s">
        <v>53</v>
      </c>
      <c r="I21" s="126">
        <f>E21/G21</f>
        <v>10.032823350694445</v>
      </c>
      <c r="J21" s="66"/>
      <c r="K21" s="125">
        <v>3.48</v>
      </c>
      <c r="L21" s="67"/>
      <c r="M21" s="126">
        <f>E21/K21</f>
        <v>8.3030262212643677</v>
      </c>
      <c r="N21" s="66"/>
      <c r="O21" s="125">
        <v>2.88</v>
      </c>
      <c r="P21" s="133" t="s">
        <v>53</v>
      </c>
      <c r="Q21" s="126">
        <f>M21/O21</f>
        <v>2.8829952157167944</v>
      </c>
      <c r="R21" s="66"/>
      <c r="S21" s="127">
        <v>1.79</v>
      </c>
      <c r="T21" s="126">
        <f>E21/S21</f>
        <v>16.142196229050278</v>
      </c>
      <c r="U21" s="128"/>
      <c r="V21" s="129">
        <f>(S21-K21)/K21</f>
        <v>-0.48563218390804597</v>
      </c>
      <c r="W21" s="130"/>
      <c r="X21" s="127">
        <v>2.54</v>
      </c>
      <c r="Y21" s="215"/>
      <c r="Z21" s="126">
        <f t="shared" si="3"/>
        <v>11.375799704724409</v>
      </c>
      <c r="AA21" s="128"/>
      <c r="AB21" s="127">
        <v>2.75</v>
      </c>
      <c r="AC21" s="215"/>
      <c r="AD21" s="126">
        <f t="shared" si="4"/>
        <v>10.507102272727273</v>
      </c>
      <c r="AE21" s="128"/>
      <c r="AF21" s="129">
        <f t="shared" si="5"/>
        <v>0.41899441340782123</v>
      </c>
      <c r="AG21" s="130"/>
      <c r="AH21" s="113">
        <f t="shared" si="6"/>
        <v>3.4256152125279639E-2</v>
      </c>
      <c r="AI21" s="130"/>
      <c r="AJ21" s="130">
        <f t="shared" si="7"/>
        <v>0.17338197969543148</v>
      </c>
      <c r="AK21" s="130"/>
      <c r="AL21" s="131">
        <f t="shared" si="8"/>
        <v>0.43875762195121959</v>
      </c>
      <c r="AM21" s="29"/>
      <c r="AN21" s="134">
        <f t="shared" si="9"/>
        <v>4.1530350141949439E-2</v>
      </c>
      <c r="AO21" s="135"/>
      <c r="AP21" s="55">
        <f>[1]!'PCG,DIVIDEND'</f>
        <v>1.2</v>
      </c>
      <c r="AQ21" s="259">
        <v>36690</v>
      </c>
      <c r="AR21" s="206">
        <v>0.3</v>
      </c>
      <c r="AS21" s="43"/>
      <c r="AT21" s="183">
        <v>27.9375</v>
      </c>
      <c r="AU21" s="43"/>
      <c r="AV21" s="183">
        <v>24.625</v>
      </c>
      <c r="AW21" s="43">
        <f>0.3+0.3</f>
        <v>0.6</v>
      </c>
      <c r="AX21" s="183">
        <v>20.5</v>
      </c>
    </row>
    <row r="22" spans="1:50" x14ac:dyDescent="0.25">
      <c r="A22" s="122" t="s">
        <v>61</v>
      </c>
      <c r="B22" s="66"/>
      <c r="C22" s="132" t="s">
        <v>5</v>
      </c>
      <c r="D22" s="66"/>
      <c r="E22" s="123">
        <f>[1]!TRP</f>
        <v>9.8125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8.5326086956521738</v>
      </c>
      <c r="U22" s="128"/>
      <c r="V22" s="129"/>
      <c r="W22" s="130"/>
      <c r="X22" s="127">
        <v>0.77</v>
      </c>
      <c r="Y22" s="215"/>
      <c r="Z22" s="126">
        <f t="shared" si="3"/>
        <v>12.743506493506493</v>
      </c>
      <c r="AA22" s="128"/>
      <c r="AB22" s="127">
        <v>0.82</v>
      </c>
      <c r="AC22" s="215"/>
      <c r="AD22" s="126">
        <f t="shared" si="4"/>
        <v>11.966463414634147</v>
      </c>
      <c r="AE22" s="128"/>
      <c r="AF22" s="129">
        <f t="shared" si="5"/>
        <v>-0.33043478260869558</v>
      </c>
      <c r="AG22" s="130"/>
      <c r="AH22" s="113">
        <f t="shared" si="6"/>
        <v>3.9735099337748346E-2</v>
      </c>
      <c r="AI22" s="130"/>
      <c r="AJ22" s="130">
        <f t="shared" si="7"/>
        <v>0.28688524590163933</v>
      </c>
      <c r="AK22" s="130"/>
      <c r="AL22" s="131">
        <f t="shared" si="8"/>
        <v>0.16714285714285718</v>
      </c>
      <c r="AM22" s="29"/>
      <c r="AN22" s="134">
        <f t="shared" si="9"/>
        <v>8.1528662420382175E-2</v>
      </c>
      <c r="AO22" s="135"/>
      <c r="AP22" s="319">
        <f>AR22*4</f>
        <v>0.8</v>
      </c>
      <c r="AQ22" s="259">
        <v>36705</v>
      </c>
      <c r="AR22" s="206">
        <v>0.2</v>
      </c>
      <c r="AS22" s="43"/>
      <c r="AT22" s="183">
        <v>9.4375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5">
      <c r="A23" s="122" t="s">
        <v>98</v>
      </c>
      <c r="B23" s="66"/>
      <c r="C23" s="132" t="s">
        <v>6</v>
      </c>
      <c r="D23" s="66"/>
      <c r="E23" s="123">
        <f>[1]!WMB</f>
        <v>47.33203125</v>
      </c>
      <c r="F23" s="66"/>
      <c r="G23" s="125">
        <v>2.08</v>
      </c>
      <c r="H23" s="133" t="s">
        <v>53</v>
      </c>
      <c r="I23" s="126">
        <f>E23/G23</f>
        <v>22.75578425480769</v>
      </c>
      <c r="J23" s="66"/>
      <c r="K23" s="125">
        <v>1.04</v>
      </c>
      <c r="L23" s="67"/>
      <c r="M23" s="126">
        <f>E23/K23</f>
        <v>45.51156850961538</v>
      </c>
      <c r="N23" s="66"/>
      <c r="O23" s="125">
        <v>2.08</v>
      </c>
      <c r="P23" s="133" t="s">
        <v>53</v>
      </c>
      <c r="Q23" s="126">
        <f>M23/O23</f>
        <v>21.880561783468931</v>
      </c>
      <c r="R23" s="66"/>
      <c r="S23" s="127">
        <v>0.82</v>
      </c>
      <c r="T23" s="126">
        <f>E23/S23</f>
        <v>57.721989329268297</v>
      </c>
      <c r="U23" s="128"/>
      <c r="V23" s="129">
        <f>(S23-K23)/K23</f>
        <v>-0.21153846153846162</v>
      </c>
      <c r="W23" s="130"/>
      <c r="X23" s="127">
        <v>1.1000000000000001</v>
      </c>
      <c r="Y23" s="215"/>
      <c r="Z23" s="126">
        <f t="shared" si="3"/>
        <v>43.029119318181813</v>
      </c>
      <c r="AA23" s="128"/>
      <c r="AB23" s="127">
        <v>1.17</v>
      </c>
      <c r="AC23" s="215"/>
      <c r="AD23" s="126">
        <f t="shared" si="4"/>
        <v>40.454727564102569</v>
      </c>
      <c r="AE23" s="128"/>
      <c r="AF23" s="129">
        <f t="shared" si="5"/>
        <v>0.34146341463414653</v>
      </c>
      <c r="AG23" s="130"/>
      <c r="AH23" s="113">
        <f t="shared" si="6"/>
        <v>1.2449866310160427E-2</v>
      </c>
      <c r="AI23" s="130"/>
      <c r="AJ23" s="130">
        <f t="shared" si="7"/>
        <v>0.13889253255879319</v>
      </c>
      <c r="AK23" s="130"/>
      <c r="AL23" s="131">
        <f t="shared" si="8"/>
        <v>0.56342024539877311</v>
      </c>
      <c r="AM23" s="29"/>
      <c r="AN23" s="134">
        <f t="shared" si="9"/>
        <v>1.2676405050755136E-2</v>
      </c>
      <c r="AO23" s="135"/>
      <c r="AP23" s="55">
        <f>[1]!'WMB,DIVIDEND'</f>
        <v>0.6</v>
      </c>
      <c r="AQ23" s="259">
        <v>36684</v>
      </c>
      <c r="AR23" s="206">
        <v>0.15</v>
      </c>
      <c r="AS23" s="43"/>
      <c r="AT23" s="183">
        <v>46.75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5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5">
      <c r="A25" s="122" t="s">
        <v>112</v>
      </c>
      <c r="B25" s="66"/>
      <c r="C25" s="114"/>
      <c r="D25" s="66"/>
      <c r="E25" s="123"/>
      <c r="F25" s="66"/>
      <c r="G25" s="138"/>
      <c r="H25" s="139"/>
      <c r="I25" s="140">
        <f>AVERAGE(I13:I23)</f>
        <v>17.626759396873304</v>
      </c>
      <c r="J25" s="67"/>
      <c r="K25" s="138"/>
      <c r="L25" s="139"/>
      <c r="M25" s="140">
        <f>AVERAGE(M13:M23)</f>
        <v>24.294370902146309</v>
      </c>
      <c r="N25" s="66"/>
      <c r="O25" s="138"/>
      <c r="P25" s="139"/>
      <c r="Q25" s="140">
        <f>AVERAGE(Q13:Q23)</f>
        <v>7.0133481259509818</v>
      </c>
      <c r="R25" s="67"/>
      <c r="S25" s="138"/>
      <c r="T25" s="140">
        <f>AVERAGE(T13:T23)</f>
        <v>31.048718888793545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25.095723402428938</v>
      </c>
      <c r="AA25" s="128"/>
      <c r="AB25" s="186"/>
      <c r="AC25" s="216"/>
      <c r="AD25" s="140">
        <f>AVERAGE(AD13:AD23)</f>
        <v>21.491155222419099</v>
      </c>
      <c r="AE25" s="128"/>
      <c r="AF25" s="141">
        <f>AVERAGE(AF13:AF23)</f>
        <v>0.23383400279191163</v>
      </c>
      <c r="AG25" s="130"/>
      <c r="AH25" s="142">
        <f>AVERAGE(AH13:AH23)</f>
        <v>4.1316010546678335E-2</v>
      </c>
      <c r="AI25" s="143"/>
      <c r="AJ25" s="143">
        <f>AVERAGE(AJ13:AJ23)</f>
        <v>0.22534711599078075</v>
      </c>
      <c r="AK25" s="143"/>
      <c r="AL25" s="144">
        <f>AVERAGE(AL13:AL23)</f>
        <v>0.63744410424062137</v>
      </c>
      <c r="AM25" s="29"/>
      <c r="AN25" s="141">
        <f>AVERAGE(AN13:AN23)</f>
        <v>2.3263345470623923E-2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5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5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5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2">
        <v>2000</v>
      </c>
      <c r="Y28" s="333"/>
      <c r="Z28" s="334"/>
      <c r="AA28" s="66"/>
      <c r="AB28" s="332">
        <v>2001</v>
      </c>
      <c r="AC28" s="333"/>
      <c r="AD28" s="334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5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/>
      <c r="AV29" s="322">
        <f>+AV5</f>
        <v>36707</v>
      </c>
      <c r="AX29" s="322" t="str">
        <f>+AX6</f>
        <v xml:space="preserve">12/31/99 Closing </v>
      </c>
    </row>
    <row r="30" spans="1:50" ht="15.6" thickBot="1" x14ac:dyDescent="0.3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5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72.1875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3.0330062444246207E-2</v>
      </c>
      <c r="AI31" s="266"/>
      <c r="AJ31" s="130">
        <f t="shared" ref="AJ31:AJ40" si="11">((+AU31+E31-AV31)/AV31)</f>
        <v>-0.39200286364019205</v>
      </c>
      <c r="AK31" s="12"/>
      <c r="AL31" s="131">
        <f t="shared" ref="AL31:AL40" si="12">((+AW31+E31-AX31)/AX31)</f>
        <v>-0.77966425028615027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70.0625</v>
      </c>
      <c r="AV31" s="1">
        <v>118.73</v>
      </c>
      <c r="AX31" s="183">
        <v>327.625</v>
      </c>
    </row>
    <row r="32" spans="1:50" x14ac:dyDescent="0.25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29.5625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1.284796573875803E-2</v>
      </c>
      <c r="AI32" s="266"/>
      <c r="AJ32" s="130">
        <f t="shared" si="11"/>
        <v>-0.39209335800945921</v>
      </c>
      <c r="AK32" s="12"/>
      <c r="AL32" s="131">
        <f t="shared" si="12"/>
        <v>-0.68922470433639949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29.1875</v>
      </c>
      <c r="AV32" s="1">
        <v>48.63</v>
      </c>
      <c r="AX32" s="183">
        <v>95.125</v>
      </c>
    </row>
    <row r="33" spans="1:50" x14ac:dyDescent="0.25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35.625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0.35071090047393366</v>
      </c>
      <c r="AI33" s="266"/>
      <c r="AJ33" s="130">
        <f t="shared" si="11"/>
        <v>-0.14197976878612723</v>
      </c>
      <c r="AK33" s="12"/>
      <c r="AL33" s="131">
        <f t="shared" si="12"/>
        <v>-0.58815028901734101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26.375</v>
      </c>
      <c r="AV33" s="1">
        <v>41.52</v>
      </c>
      <c r="AX33" s="183">
        <v>86.5</v>
      </c>
    </row>
    <row r="34" spans="1:50" ht="15.6" x14ac:dyDescent="0.25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30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8.5972850678733032E-2</v>
      </c>
      <c r="AI34" s="266"/>
      <c r="AJ34" s="130">
        <f t="shared" si="11"/>
        <v>-9.3381686310063564E-2</v>
      </c>
      <c r="AK34" s="12"/>
      <c r="AL34" s="131">
        <f t="shared" si="12"/>
        <v>3.6717062634989202E-2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27.625</v>
      </c>
      <c r="AV34" s="1">
        <v>33.090000000000003</v>
      </c>
      <c r="AX34" s="183">
        <v>28.9375</v>
      </c>
    </row>
    <row r="35" spans="1:50" ht="15.6" x14ac:dyDescent="0.25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86.0625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9.8086124401913874E-2</v>
      </c>
      <c r="AI35" s="266"/>
      <c r="AJ35" s="130">
        <f t="shared" si="11"/>
        <v>-2.2017045454545456E-2</v>
      </c>
      <c r="AK35" s="12"/>
      <c r="AL35" s="131">
        <f t="shared" si="12"/>
        <v>5.114503816793893E-2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78.375</v>
      </c>
      <c r="AV35" s="1">
        <v>88</v>
      </c>
      <c r="AX35" s="183">
        <v>81.875</v>
      </c>
    </row>
    <row r="36" spans="1:50" ht="15.6" x14ac:dyDescent="0.25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35.125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0.11952191235059761</v>
      </c>
      <c r="AI36" s="266"/>
      <c r="AJ36" s="130">
        <f t="shared" si="11"/>
        <v>0.33504370961611563</v>
      </c>
      <c r="AK36" s="12"/>
      <c r="AL36" s="131">
        <f t="shared" si="12"/>
        <v>-0.29749999999999999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31.375</v>
      </c>
      <c r="AV36" s="1">
        <v>26.31</v>
      </c>
      <c r="AX36" s="183">
        <v>50</v>
      </c>
    </row>
    <row r="37" spans="1:50" ht="15.6" x14ac:dyDescent="0.25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51.875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3.1055900621118012E-2</v>
      </c>
      <c r="AI37" s="266"/>
      <c r="AJ37" s="130">
        <f t="shared" si="11"/>
        <v>4.3972630307909086E-2</v>
      </c>
      <c r="AK37" s="12"/>
      <c r="AL37" s="131">
        <f t="shared" si="12"/>
        <v>0.20639534883720931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50.3125</v>
      </c>
      <c r="AV37" s="1">
        <v>49.69</v>
      </c>
      <c r="AX37" s="183">
        <v>43</v>
      </c>
    </row>
    <row r="38" spans="1:50" x14ac:dyDescent="0.25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166.25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0.12568768514600084</v>
      </c>
      <c r="AI38" s="266"/>
      <c r="AJ38" s="130">
        <f t="shared" si="11"/>
        <v>0.69556348801631829</v>
      </c>
      <c r="AK38" s="12"/>
      <c r="AL38" s="131">
        <f t="shared" si="12"/>
        <v>0.87455954897815358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147.6875</v>
      </c>
      <c r="AV38" s="1">
        <v>98.05</v>
      </c>
      <c r="AX38" s="183">
        <v>88.6875</v>
      </c>
    </row>
    <row r="39" spans="1:50" x14ac:dyDescent="0.25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66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0.22505800464037123</v>
      </c>
      <c r="AI39" s="266"/>
      <c r="AJ39" s="130">
        <f t="shared" si="11"/>
        <v>0.45438519171441155</v>
      </c>
      <c r="AK39" s="12"/>
      <c r="AL39" s="131">
        <f t="shared" si="12"/>
        <v>-0.3282442748091603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53.875</v>
      </c>
      <c r="AV39" s="1">
        <v>45.38</v>
      </c>
      <c r="AX39" s="183">
        <v>98.25</v>
      </c>
    </row>
    <row r="40" spans="1:50" x14ac:dyDescent="0.25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179.25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7.6576576576576572E-2</v>
      </c>
      <c r="AI40" s="266"/>
      <c r="AJ40" s="130">
        <f t="shared" si="11"/>
        <v>0.71909465809916573</v>
      </c>
      <c r="AK40" s="12"/>
      <c r="AL40" s="131">
        <f t="shared" si="12"/>
        <v>0.83846153846153848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166.5</v>
      </c>
      <c r="AV40" s="1">
        <v>104.27</v>
      </c>
      <c r="AX40" s="183">
        <v>97.5</v>
      </c>
    </row>
    <row r="41" spans="1:50" ht="15.6" x14ac:dyDescent="0.25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5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0.1155847983072249</v>
      </c>
      <c r="AI42" s="282"/>
      <c r="AJ42" s="283">
        <f>AVERAGE(AJ31:AJ40)</f>
        <v>0.12065849555535328</v>
      </c>
      <c r="AK42" s="284"/>
      <c r="AL42" s="285">
        <f>AVERAGE(AL31:AL40)</f>
        <v>-6.7550498136922099E-2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5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5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9" t="s">
        <v>106</v>
      </c>
      <c r="Y44" s="330"/>
      <c r="Z44" s="330"/>
      <c r="AA44" s="330"/>
      <c r="AB44" s="331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5.6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104</v>
      </c>
      <c r="Y45" s="156"/>
      <c r="Z45" s="44"/>
      <c r="AA45" s="44"/>
      <c r="AB45" s="306" t="s">
        <v>105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5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AVERAGE(X64:X83)</f>
        <v>1.4129999999999996</v>
      </c>
      <c r="Y46" s="66"/>
      <c r="Z46" s="66"/>
      <c r="AA46" s="66"/>
      <c r="AB46" s="299">
        <f>AVERAGE(AB64:AB83)</f>
        <v>1.6404999999999998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5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MAX(X64:X83)</f>
        <v>1.5</v>
      </c>
      <c r="Y47" s="66"/>
      <c r="Z47" s="66"/>
      <c r="AA47" s="66"/>
      <c r="AB47" s="299">
        <f>MAX(AB64:AB83)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5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MIN(X64:X83)</f>
        <v>1.38</v>
      </c>
      <c r="Y48" s="66"/>
      <c r="Z48" s="66"/>
      <c r="AA48" s="66"/>
      <c r="AB48" s="300">
        <f>MIN(AB64:AB83)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5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5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5">
      <c r="A51" s="301" t="s">
        <v>118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5">
      <c r="A52" s="301" t="s">
        <v>109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5">
      <c r="A53" s="301" t="s">
        <v>116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5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5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5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5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5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5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5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3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6" x14ac:dyDescent="0.3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3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6" x14ac:dyDescent="0.3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6" x14ac:dyDescent="0.3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6" x14ac:dyDescent="0.3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6" x14ac:dyDescent="0.3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6" x14ac:dyDescent="0.3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6" x14ac:dyDescent="0.3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1.45</v>
      </c>
      <c r="Y69" s="190"/>
      <c r="Z69" s="161"/>
      <c r="AA69" s="161"/>
      <c r="AB69" s="236">
        <v>1.7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6" x14ac:dyDescent="0.3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6" x14ac:dyDescent="0.3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6" x14ac:dyDescent="0.3">
      <c r="A72" s="158" t="s">
        <v>103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1.4</v>
      </c>
      <c r="Y72" s="190"/>
      <c r="Z72" s="161"/>
      <c r="AA72" s="161"/>
      <c r="AB72" s="236">
        <v>1.59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s="6" customFormat="1" ht="15.6" x14ac:dyDescent="0.3">
      <c r="A73" s="163" t="s">
        <v>14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4"/>
      <c r="U73" s="165"/>
      <c r="V73" s="165"/>
      <c r="W73" s="165"/>
      <c r="X73" s="190">
        <v>1.4</v>
      </c>
      <c r="Y73" s="190"/>
      <c r="Z73" s="164"/>
      <c r="AA73" s="164"/>
      <c r="AB73" s="236">
        <v>1.65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6" x14ac:dyDescent="0.3">
      <c r="A74" s="163" t="s">
        <v>117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1.43</v>
      </c>
      <c r="Y74" s="190"/>
      <c r="Z74" s="164"/>
      <c r="AA74" s="164"/>
      <c r="AB74" s="236">
        <v>1.53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6" x14ac:dyDescent="0.3">
      <c r="A75" s="163" t="s">
        <v>70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1.69</v>
      </c>
      <c r="AC75" s="190"/>
      <c r="AD75" s="167"/>
      <c r="AE75" s="167"/>
      <c r="AF75" s="166"/>
      <c r="AG75" s="165"/>
      <c r="AH75" s="165"/>
      <c r="AI75" s="45"/>
      <c r="AJ75" s="46"/>
      <c r="AK75" s="45"/>
      <c r="AL75" s="46"/>
      <c r="AM75" s="46"/>
      <c r="AN75" s="46"/>
      <c r="AQ75" s="19"/>
      <c r="AR75" s="211"/>
    </row>
    <row r="76" spans="1:44" s="6" customFormat="1" ht="15.6" x14ac:dyDescent="0.3">
      <c r="A76" s="163" t="s">
        <v>15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/>
      <c r="T76" s="164"/>
      <c r="U76" s="165"/>
      <c r="V76" s="165"/>
      <c r="W76" s="165"/>
      <c r="X76" s="190">
        <v>1.41</v>
      </c>
      <c r="Y76" s="190"/>
      <c r="Z76" s="164"/>
      <c r="AA76" s="164"/>
      <c r="AB76" s="160">
        <v>1.65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s="6" customFormat="1" ht="15.6" x14ac:dyDescent="0.3">
      <c r="A77" s="163" t="s">
        <v>16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2</v>
      </c>
      <c r="T77" s="164"/>
      <c r="U77" s="165"/>
      <c r="V77" s="165"/>
      <c r="W77" s="165"/>
      <c r="X77" s="190">
        <v>1.4</v>
      </c>
      <c r="Y77" s="190"/>
      <c r="Z77" s="164"/>
      <c r="AA77" s="164"/>
      <c r="AB77" s="160">
        <v>1.61</v>
      </c>
      <c r="AC77" s="190"/>
      <c r="AD77" s="167"/>
      <c r="AE77" s="167"/>
      <c r="AF77" s="166"/>
      <c r="AG77" s="165"/>
      <c r="AH77" s="165"/>
      <c r="AI77" s="45"/>
      <c r="AJ77" s="45"/>
      <c r="AK77" s="45"/>
      <c r="AL77" s="46"/>
      <c r="AM77" s="46"/>
      <c r="AN77" s="46"/>
      <c r="AQ77" s="19"/>
      <c r="AR77" s="211"/>
    </row>
    <row r="78" spans="1:44" ht="15.6" x14ac:dyDescent="0.3">
      <c r="A78" s="163" t="s">
        <v>17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1.98</v>
      </c>
      <c r="T78" s="161"/>
      <c r="U78" s="168"/>
      <c r="V78" s="168"/>
      <c r="W78" s="168"/>
      <c r="X78" s="190">
        <v>1.41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6" x14ac:dyDescent="0.3">
      <c r="A79" s="163" t="s">
        <v>100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160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6" x14ac:dyDescent="0.3">
      <c r="A80" s="163" t="s">
        <v>18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>
        <v>2.0099999999999998</v>
      </c>
      <c r="T80" s="161"/>
      <c r="U80" s="168"/>
      <c r="V80" s="168"/>
      <c r="W80" s="168"/>
      <c r="X80" s="190">
        <v>1.4</v>
      </c>
      <c r="Y80" s="190"/>
      <c r="Z80" s="161"/>
      <c r="AA80" s="161"/>
      <c r="AB80" s="236">
        <v>1.65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6" x14ac:dyDescent="0.3">
      <c r="A81" s="163" t="s">
        <v>107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/>
      <c r="T81" s="161"/>
      <c r="U81" s="168"/>
      <c r="V81" s="168"/>
      <c r="W81" s="168"/>
      <c r="X81" s="190">
        <v>1.43</v>
      </c>
      <c r="Y81" s="190"/>
      <c r="Z81" s="161"/>
      <c r="AA81" s="161"/>
      <c r="AB81" s="160">
        <v>1.7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6" x14ac:dyDescent="0.3">
      <c r="A82" s="163" t="s">
        <v>64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>
        <v>2</v>
      </c>
      <c r="T82" s="161"/>
      <c r="U82" s="168"/>
      <c r="V82" s="168"/>
      <c r="W82" s="168"/>
      <c r="X82" s="190">
        <v>1.38</v>
      </c>
      <c r="Y82" s="190"/>
      <c r="Z82" s="161"/>
      <c r="AA82" s="161"/>
      <c r="AB82" s="236">
        <v>1.57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6" x14ac:dyDescent="0.3">
      <c r="A83" s="163" t="s">
        <v>90</v>
      </c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>
        <v>1.4</v>
      </c>
      <c r="Y83" s="190"/>
      <c r="Z83" s="161"/>
      <c r="AA83" s="161"/>
      <c r="AB83" s="160">
        <v>1.62</v>
      </c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"/>
      <c r="AQ83" s="2"/>
      <c r="AR83" s="212"/>
    </row>
    <row r="84" spans="1:44" ht="15.6" x14ac:dyDescent="0.3">
      <c r="A84" s="170"/>
      <c r="B84" s="187"/>
      <c r="C84" s="187"/>
      <c r="D84" s="187"/>
      <c r="E84" s="187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9"/>
      <c r="T84" s="161"/>
      <c r="U84" s="168"/>
      <c r="V84" s="168"/>
      <c r="W84" s="168"/>
      <c r="X84" s="190"/>
      <c r="Y84" s="190"/>
      <c r="Z84" s="161"/>
      <c r="AA84" s="161"/>
      <c r="AB84" s="160"/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6" x14ac:dyDescent="0.3">
      <c r="A85" s="171" t="s">
        <v>19</v>
      </c>
      <c r="B85" s="172"/>
      <c r="C85" s="172"/>
      <c r="D85" s="172"/>
      <c r="E85" s="172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92">
        <f>AVERAGE(S64:S83)</f>
        <v>1.9949999999999999</v>
      </c>
      <c r="T85" s="174"/>
      <c r="U85" s="175"/>
      <c r="V85" s="175"/>
      <c r="W85" s="175"/>
      <c r="X85" s="197">
        <f>AVERAGE(X64:X83)</f>
        <v>1.4129999999999996</v>
      </c>
      <c r="Y85" s="197"/>
      <c r="Z85" s="174"/>
      <c r="AA85" s="174"/>
      <c r="AB85" s="262">
        <f>AVERAGE(AB64:AB83)</f>
        <v>1.6404999999999998</v>
      </c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6" x14ac:dyDescent="0.3"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6" x14ac:dyDescent="0.3">
      <c r="A87" s="4"/>
      <c r="C87" s="1"/>
      <c r="U87" s="1"/>
      <c r="W87" s="1"/>
      <c r="AC87" s="190"/>
      <c r="AD87" s="162"/>
      <c r="AE87" s="162"/>
      <c r="AF87" s="169"/>
      <c r="AG87" s="168"/>
      <c r="AH87" s="168"/>
      <c r="AI87" s="47"/>
      <c r="AJ87" s="47"/>
      <c r="AK87" s="47"/>
      <c r="AL87" s="49"/>
      <c r="AM87" s="49"/>
      <c r="AN87" s="49"/>
      <c r="AP87" s="148"/>
      <c r="AQ87" s="149"/>
      <c r="AR87" s="209"/>
    </row>
    <row r="88" spans="1:44" ht="15.6" x14ac:dyDescent="0.3">
      <c r="A88" s="4"/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  <c r="AP88" s="148"/>
      <c r="AQ88" s="149"/>
      <c r="AR88" s="209"/>
    </row>
    <row r="89" spans="1:44" ht="15.6" hidden="1" x14ac:dyDescent="0.3">
      <c r="A89" s="180" t="s">
        <v>63</v>
      </c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77"/>
      <c r="T89" s="177"/>
      <c r="U89" s="178"/>
      <c r="V89" s="179"/>
      <c r="W89" s="178"/>
      <c r="X89" s="177"/>
      <c r="Y89" s="177"/>
      <c r="Z89" s="177"/>
      <c r="AA89" s="177"/>
      <c r="AB89" s="177"/>
      <c r="AC89" s="177"/>
      <c r="AD89" s="177"/>
      <c r="AE89" s="177"/>
      <c r="AF89" s="179"/>
      <c r="AG89" s="178"/>
      <c r="AH89" s="178"/>
    </row>
    <row r="90" spans="1:44" ht="15.6" x14ac:dyDescent="0.3"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ht="15.6" x14ac:dyDescent="0.3">
      <c r="A91" s="4"/>
      <c r="B91" s="4"/>
      <c r="C91" s="17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78"/>
      <c r="V91" s="179"/>
      <c r="W91" s="178"/>
      <c r="X91" s="4"/>
      <c r="Y91" s="4"/>
      <c r="Z91" s="4"/>
      <c r="AA91" s="4"/>
      <c r="AB91" s="4"/>
      <c r="AC91" s="4"/>
      <c r="AD91" s="4"/>
      <c r="AE91" s="4"/>
      <c r="AF91" s="179"/>
      <c r="AG91" s="178"/>
      <c r="AH91" s="178"/>
    </row>
    <row r="92" spans="1:44" x14ac:dyDescent="0.25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5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5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5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5">
      <c r="C109" s="3"/>
    </row>
    <row r="110" spans="1:31" x14ac:dyDescent="0.25">
      <c r="C110" s="3"/>
    </row>
    <row r="111" spans="1:31" x14ac:dyDescent="0.25">
      <c r="C111" s="3"/>
    </row>
    <row r="112" spans="1:31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6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2000-08-31T21:57:21Z</cp:lastPrinted>
  <dcterms:created xsi:type="dcterms:W3CDTF">1997-07-25T21:14:12Z</dcterms:created>
  <dcterms:modified xsi:type="dcterms:W3CDTF">2023-09-10T15:53:58Z</dcterms:modified>
</cp:coreProperties>
</file>