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028"/>
  </bookViews>
  <sheets>
    <sheet name="Cashflows" sheetId="2" r:id="rId1"/>
  </sheets>
  <externalReferences>
    <externalReference r:id="rId2"/>
  </externalReferences>
  <definedNames>
    <definedName name="count">#REF!</definedName>
    <definedName name="CurveTable">#REF!</definedName>
  </definedNames>
  <calcPr calcId="0" calcMode="manual" iterate="1" calcOnSave="0"/>
</workbook>
</file>

<file path=xl/calcChain.xml><?xml version="1.0" encoding="utf-8"?>
<calcChain xmlns="http://schemas.openxmlformats.org/spreadsheetml/2006/main">
  <c r="A1" i="2" l="1"/>
  <c r="A2" i="2"/>
  <c r="B4" i="2"/>
  <c r="B5" i="2"/>
  <c r="B7" i="2"/>
  <c r="B11" i="2"/>
  <c r="B13" i="2"/>
  <c r="B14" i="2"/>
  <c r="A19" i="2"/>
  <c r="B19" i="2"/>
  <c r="D19" i="2"/>
  <c r="E19" i="2"/>
  <c r="F19" i="2"/>
  <c r="G19" i="2"/>
  <c r="A20" i="2"/>
  <c r="B20" i="2"/>
  <c r="C20" i="2"/>
  <c r="E20" i="2"/>
  <c r="F20" i="2"/>
  <c r="G20" i="2"/>
  <c r="A21" i="2"/>
  <c r="B21" i="2"/>
  <c r="C21" i="2"/>
  <c r="E21" i="2"/>
  <c r="F21" i="2"/>
  <c r="G21" i="2"/>
  <c r="A22" i="2"/>
  <c r="B22" i="2"/>
  <c r="C22" i="2"/>
  <c r="E22" i="2"/>
  <c r="F22" i="2"/>
  <c r="G22" i="2"/>
  <c r="A23" i="2"/>
  <c r="B23" i="2"/>
  <c r="C23" i="2"/>
  <c r="D23" i="2"/>
  <c r="E23" i="2"/>
  <c r="F23" i="2"/>
  <c r="G23" i="2"/>
  <c r="E24" i="2"/>
  <c r="G24" i="2"/>
  <c r="A30" i="2"/>
  <c r="B30" i="2"/>
  <c r="D30" i="2"/>
  <c r="E30" i="2"/>
  <c r="F30" i="2"/>
  <c r="G30" i="2"/>
  <c r="A31" i="2"/>
  <c r="B31" i="2"/>
  <c r="C31" i="2"/>
  <c r="E31" i="2"/>
  <c r="F31" i="2"/>
  <c r="G31" i="2"/>
  <c r="A32" i="2"/>
  <c r="B32" i="2"/>
  <c r="C32" i="2"/>
  <c r="E32" i="2"/>
  <c r="F32" i="2"/>
  <c r="G32" i="2"/>
  <c r="A33" i="2"/>
  <c r="B33" i="2"/>
  <c r="C33" i="2"/>
  <c r="E33" i="2"/>
  <c r="F33" i="2"/>
  <c r="G33" i="2"/>
  <c r="A34" i="2"/>
  <c r="B34" i="2"/>
  <c r="C34" i="2"/>
  <c r="D34" i="2"/>
  <c r="E34" i="2"/>
  <c r="F34" i="2"/>
  <c r="G34" i="2"/>
  <c r="E35" i="2"/>
  <c r="G35" i="2"/>
  <c r="A40" i="2"/>
  <c r="D40" i="2"/>
  <c r="E40" i="2"/>
  <c r="F40" i="2"/>
  <c r="A41" i="2"/>
  <c r="B41" i="2"/>
  <c r="D41" i="2"/>
  <c r="E41" i="2"/>
  <c r="F41" i="2"/>
  <c r="A42" i="2"/>
  <c r="B42" i="2"/>
  <c r="D42" i="2"/>
  <c r="E42" i="2"/>
  <c r="F42" i="2"/>
  <c r="A43" i="2"/>
  <c r="B43" i="2"/>
  <c r="C43" i="2"/>
  <c r="D43" i="2"/>
  <c r="E43" i="2"/>
  <c r="F43" i="2"/>
  <c r="D44" i="2"/>
  <c r="F44" i="2"/>
</calcChain>
</file>

<file path=xl/sharedStrings.xml><?xml version="1.0" encoding="utf-8"?>
<sst xmlns="http://schemas.openxmlformats.org/spreadsheetml/2006/main" count="37" uniqueCount="28">
  <si>
    <t>Interest Rate</t>
  </si>
  <si>
    <t>Discount Factor</t>
  </si>
  <si>
    <t>Principal</t>
  </si>
  <si>
    <t>PV CF</t>
  </si>
  <si>
    <t>Today's Date</t>
  </si>
  <si>
    <t>Principal in Gas</t>
  </si>
  <si>
    <t>Principal in CAD</t>
  </si>
  <si>
    <t>Quarterly Gas Coupon</t>
  </si>
  <si>
    <t>(a/365f : quarterly compounding)</t>
  </si>
  <si>
    <t>Total CF</t>
  </si>
  <si>
    <t>Cashflow Dates</t>
  </si>
  <si>
    <t>Fixed Interest</t>
  </si>
  <si>
    <t>Market Index Price</t>
  </si>
  <si>
    <t>Roll Dates</t>
  </si>
  <si>
    <t>Gas Coupon Rate</t>
  </si>
  <si>
    <t>Gas Coupon</t>
  </si>
  <si>
    <t>Funding Spread</t>
  </si>
  <si>
    <t>(March 02 AECO)</t>
  </si>
  <si>
    <t>Quarter</t>
  </si>
  <si>
    <t>Interest</t>
  </si>
  <si>
    <t>Notional CF</t>
  </si>
  <si>
    <t>Interest Rate Swap Cashflows</t>
  </si>
  <si>
    <t>Gas Swap Cashflows</t>
  </si>
  <si>
    <t>Gas Coupon Calculator</t>
  </si>
  <si>
    <t>Spread Adjusted</t>
  </si>
  <si>
    <t>Mar 2002 Nymex Gas</t>
  </si>
  <si>
    <t>BOC Noon Rate</t>
  </si>
  <si>
    <t>Mmbtu / GJ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</si>
</sst>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  <numFmt numFmtId="168" formatCode="_(* #,##0.000000_);_(* \(#,##0.000000\);_(* &quot;-&quot;??_);_(@_)"/>
    <numFmt numFmtId="174" formatCode="_(* #,##0.0000_);_(* \(#,##0.0000\);_(* &quot;-&quot;??_);_(@_)"/>
    <numFmt numFmtId="184" formatCode="m/d/yy\ h:mm"/>
    <numFmt numFmtId="185" formatCode="0.0000"/>
  </numFmts>
  <fonts count="4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5" fontId="0" fillId="0" borderId="0" xfId="1" applyNumberFormat="1" applyFont="1"/>
    <xf numFmtId="8" fontId="0" fillId="0" borderId="0" xfId="0" applyNumberFormat="1"/>
    <xf numFmtId="165" fontId="0" fillId="0" borderId="0" xfId="0" applyNumberFormat="1"/>
    <xf numFmtId="43" fontId="0" fillId="0" borderId="0" xfId="0" applyNumberFormat="1"/>
    <xf numFmtId="168" fontId="0" fillId="0" borderId="0" xfId="1" applyNumberFormat="1" applyFont="1"/>
    <xf numFmtId="165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/>
    <xf numFmtId="165" fontId="0" fillId="0" borderId="0" xfId="1" applyNumberFormat="1" applyFont="1" applyBorder="1"/>
    <xf numFmtId="1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43" fontId="0" fillId="0" borderId="0" xfId="0" applyNumberFormat="1" applyBorder="1"/>
    <xf numFmtId="0" fontId="0" fillId="0" borderId="0" xfId="0" applyAlignment="1">
      <alignment horizontal="right"/>
    </xf>
    <xf numFmtId="10" fontId="2" fillId="0" borderId="0" xfId="0" applyNumberFormat="1" applyFont="1"/>
    <xf numFmtId="43" fontId="2" fillId="0" borderId="0" xfId="1" applyFont="1"/>
    <xf numFmtId="184" fontId="0" fillId="0" borderId="0" xfId="0" applyNumberFormat="1"/>
    <xf numFmtId="43" fontId="0" fillId="0" borderId="0" xfId="0" applyNumberFormat="1" applyAlignment="1">
      <alignment horizontal="center"/>
    </xf>
    <xf numFmtId="10" fontId="0" fillId="0" borderId="0" xfId="2" applyNumberFormat="1" applyFont="1" applyBorder="1"/>
    <xf numFmtId="15" fontId="0" fillId="0" borderId="0" xfId="0" applyNumberFormat="1"/>
    <xf numFmtId="168" fontId="0" fillId="0" borderId="1" xfId="0" applyNumberFormat="1" applyBorder="1"/>
    <xf numFmtId="0" fontId="3" fillId="0" borderId="0" xfId="0" applyFont="1"/>
    <xf numFmtId="174" fontId="2" fillId="0" borderId="0" xfId="1" applyNumberFormat="1" applyFont="1" applyAlignment="1">
      <alignment horizontal="right"/>
    </xf>
    <xf numFmtId="185" fontId="2" fillId="0" borderId="0" xfId="0" applyNumberFormat="1" applyFont="1" applyAlignment="1">
      <alignment horizontal="right"/>
    </xf>
    <xf numFmtId="174" fontId="2" fillId="0" borderId="0" xfId="1" applyNumberFormat="1" applyFont="1" applyAlignment="1"/>
    <xf numFmtId="168" fontId="2" fillId="0" borderId="0" xfId="1" applyNumberFormat="1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sg/csgnx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G Public"/>
      <sheetName val="Sheet1"/>
    </sheetNames>
    <definedNames>
      <definedName name="checkdate"/>
      <definedName name="df"/>
      <definedName name="swap_rate"/>
      <definedName name="upload_curve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B14" sqref="B14"/>
    </sheetView>
  </sheetViews>
  <sheetFormatPr defaultRowHeight="13.2" x14ac:dyDescent="0.25"/>
  <cols>
    <col min="1" max="1" width="20.109375" customWidth="1"/>
    <col min="2" max="2" width="14.88671875" customWidth="1"/>
    <col min="3" max="3" width="15.44140625" customWidth="1"/>
    <col min="4" max="4" width="15.44140625" bestFit="1" customWidth="1"/>
    <col min="5" max="5" width="14.109375" customWidth="1"/>
    <col min="6" max="6" width="14.109375" bestFit="1" customWidth="1"/>
    <col min="7" max="7" width="20.33203125" customWidth="1"/>
    <col min="8" max="8" width="25.33203125" customWidth="1"/>
    <col min="9" max="9" width="13.88671875" customWidth="1"/>
    <col min="10" max="10" width="14.88671875" customWidth="1"/>
    <col min="11" max="11" width="12.33203125" customWidth="1"/>
    <col min="12" max="12" width="14.109375" customWidth="1"/>
    <col min="13" max="13" width="13.88671875" customWidth="1"/>
  </cols>
  <sheetData>
    <row r="1" spans="1:3" x14ac:dyDescent="0.25">
      <c r="A1" s="19">
        <f>[1]!upload_curve("g:\csg\rates\csgc0.crv")</f>
        <v>36797.398240740738</v>
      </c>
    </row>
    <row r="2" spans="1:3" x14ac:dyDescent="0.25">
      <c r="A2" s="19">
        <f>[1]!upload_curve("g:\csg\rates\aec.crv",2)</f>
        <v>36796.705069444448</v>
      </c>
    </row>
    <row r="3" spans="1:3" x14ac:dyDescent="0.25">
      <c r="A3" s="19"/>
    </row>
    <row r="4" spans="1:3" x14ac:dyDescent="0.25">
      <c r="A4" t="s">
        <v>4</v>
      </c>
      <c r="B4" s="22">
        <f ca="1">TODAY()</f>
        <v>36797</v>
      </c>
    </row>
    <row r="5" spans="1:3" x14ac:dyDescent="0.25">
      <c r="A5" t="s">
        <v>0</v>
      </c>
      <c r="B5" s="17">
        <f ca="1">INT([1]!swap_rate(B19,B23,,,3)*10000)/10000+0.0003</f>
        <v>5.8200000000000002E-2</v>
      </c>
      <c r="C5" t="s">
        <v>8</v>
      </c>
    </row>
    <row r="6" spans="1:3" x14ac:dyDescent="0.25">
      <c r="A6" t="s">
        <v>16</v>
      </c>
      <c r="B6" s="17">
        <v>1.0500000000000001E-2</v>
      </c>
    </row>
    <row r="7" spans="1:3" x14ac:dyDescent="0.25">
      <c r="A7" t="s">
        <v>14</v>
      </c>
      <c r="B7" s="17">
        <f ca="1">B6+B5</f>
        <v>6.8699999999999997E-2</v>
      </c>
    </row>
    <row r="8" spans="1:3" x14ac:dyDescent="0.25">
      <c r="A8" t="s">
        <v>25</v>
      </c>
      <c r="B8" s="25">
        <v>4.2</v>
      </c>
    </row>
    <row r="9" spans="1:3" x14ac:dyDescent="0.25">
      <c r="A9" t="s">
        <v>26</v>
      </c>
      <c r="B9" s="27">
        <v>1.5029999999999999</v>
      </c>
    </row>
    <row r="10" spans="1:3" x14ac:dyDescent="0.25">
      <c r="A10" t="s">
        <v>27</v>
      </c>
      <c r="B10" s="28">
        <v>1.055056</v>
      </c>
    </row>
    <row r="11" spans="1:3" x14ac:dyDescent="0.25">
      <c r="A11" t="s">
        <v>12</v>
      </c>
      <c r="B11" s="26">
        <f>ROUND(B8*B9/B10,3)</f>
        <v>5.9829999999999997</v>
      </c>
      <c r="C11" t="s">
        <v>17</v>
      </c>
    </row>
    <row r="12" spans="1:3" x14ac:dyDescent="0.25">
      <c r="A12" t="s">
        <v>6</v>
      </c>
      <c r="B12" s="18">
        <v>147400000</v>
      </c>
    </row>
    <row r="13" spans="1:3" x14ac:dyDescent="0.25">
      <c r="A13" t="s">
        <v>5</v>
      </c>
      <c r="B13" s="4">
        <f>B12/B11</f>
        <v>24636469.9983286</v>
      </c>
    </row>
    <row r="14" spans="1:3" x14ac:dyDescent="0.25">
      <c r="A14" t="s">
        <v>7</v>
      </c>
      <c r="B14" s="4">
        <f>B40/B11</f>
        <v>422001.94467664184</v>
      </c>
    </row>
    <row r="15" spans="1:3" x14ac:dyDescent="0.25">
      <c r="B15" s="4"/>
    </row>
    <row r="16" spans="1:3" x14ac:dyDescent="0.25">
      <c r="A16" s="24" t="s">
        <v>21</v>
      </c>
      <c r="B16" s="4"/>
    </row>
    <row r="17" spans="1:9" x14ac:dyDescent="0.25">
      <c r="E17" s="2"/>
    </row>
    <row r="18" spans="1:9" x14ac:dyDescent="0.25">
      <c r="A18" t="s">
        <v>13</v>
      </c>
      <c r="B18" s="16" t="s">
        <v>10</v>
      </c>
      <c r="C18" s="6" t="s">
        <v>11</v>
      </c>
      <c r="D18" s="7" t="s">
        <v>2</v>
      </c>
      <c r="E18" s="8" t="s">
        <v>9</v>
      </c>
      <c r="F18" s="8" t="s">
        <v>1</v>
      </c>
      <c r="G18" s="8" t="s">
        <v>3</v>
      </c>
    </row>
    <row r="19" spans="1:9" x14ac:dyDescent="0.25">
      <c r="A19" s="22">
        <f ca="1">B4+1</f>
        <v>36798</v>
      </c>
      <c r="B19" s="22">
        <f ca="1">[1]!checkdate(A19,"t",TRUE)</f>
        <v>36798</v>
      </c>
      <c r="C19" s="6"/>
      <c r="D19" s="20">
        <f>-B12</f>
        <v>-147400000</v>
      </c>
      <c r="E19" s="3">
        <f>C19+D19</f>
        <v>-147400000</v>
      </c>
      <c r="F19" s="5">
        <f ca="1">[1]!df(B19-TODAY())</f>
        <v>0.99984221668026874</v>
      </c>
      <c r="G19" s="1">
        <f ca="1">E19*F19</f>
        <v>-147376742.7386716</v>
      </c>
    </row>
    <row r="20" spans="1:9" x14ac:dyDescent="0.25">
      <c r="A20" s="22">
        <f ca="1">EDATE(A19,3)</f>
        <v>36889</v>
      </c>
      <c r="B20" s="22">
        <f ca="1">[1]!checkdate(A20,"t",TRUE)</f>
        <v>36889</v>
      </c>
      <c r="C20" s="1">
        <f ca="1">(B20-B19)/365*$B$5*$B$12</f>
        <v>2138794.1917808219</v>
      </c>
      <c r="D20" s="4"/>
      <c r="E20" s="3">
        <f ca="1">C20+D20</f>
        <v>2138794.1917808219</v>
      </c>
      <c r="F20" s="5">
        <f ca="1">[1]!df(B20-TODAY())</f>
        <v>0.98549306559351413</v>
      </c>
      <c r="G20" s="1">
        <f ca="1">E20*F20</f>
        <v>2107766.8447316843</v>
      </c>
      <c r="I20" s="4"/>
    </row>
    <row r="21" spans="1:9" x14ac:dyDescent="0.25">
      <c r="A21" s="22">
        <f ca="1">EDATE(A20,3)</f>
        <v>36979</v>
      </c>
      <c r="B21" s="22">
        <f ca="1">[1]!checkdate(A21,"t",TRUE)</f>
        <v>36979</v>
      </c>
      <c r="C21" s="1">
        <f ca="1">(B21-B20)/365*$B$5*$B$12</f>
        <v>2115290.9589041094</v>
      </c>
      <c r="E21" s="3">
        <f ca="1">C21+D21</f>
        <v>2115290.9589041094</v>
      </c>
      <c r="F21" s="5">
        <f ca="1">[1]!df(B21-TODAY())</f>
        <v>0.97161642032538664</v>
      </c>
      <c r="G21" s="1">
        <f ca="1">E21*F21</f>
        <v>2055251.4294370653</v>
      </c>
      <c r="I21" s="4"/>
    </row>
    <row r="22" spans="1:9" x14ac:dyDescent="0.25">
      <c r="A22" s="22">
        <f ca="1">EDATE(A21,3)</f>
        <v>37071</v>
      </c>
      <c r="B22" s="22">
        <f ca="1">[1]!checkdate(A22,"t",TRUE)</f>
        <v>37071</v>
      </c>
      <c r="C22" s="1">
        <f ca="1">(B22-B21)/365*$B$5*$B$12</f>
        <v>2162297.4246575343</v>
      </c>
      <c r="E22" s="3">
        <f ca="1">C22+D22</f>
        <v>2162297.4246575343</v>
      </c>
      <c r="F22" s="5">
        <f ca="1">[1]!df(B22-TODAY())</f>
        <v>0.95766600694091764</v>
      </c>
      <c r="G22" s="1">
        <f ca="1">E22*F22</f>
        <v>2070758.7404904107</v>
      </c>
      <c r="I22" s="4"/>
    </row>
    <row r="23" spans="1:9" x14ac:dyDescent="0.25">
      <c r="A23" s="22">
        <f>DATE(2001,9,27)</f>
        <v>37161</v>
      </c>
      <c r="B23" s="22">
        <f ca="1">[1]!checkdate(A23,"t",TRUE)</f>
        <v>37161</v>
      </c>
      <c r="C23" s="9">
        <f ca="1">(B23-B22)/365*$B$5*$B$12</f>
        <v>2115290.9589041094</v>
      </c>
      <c r="D23" s="9">
        <f>B12</f>
        <v>147400000</v>
      </c>
      <c r="E23" s="10">
        <f ca="1">C23+D23</f>
        <v>149515290.95890412</v>
      </c>
      <c r="F23" s="23">
        <f ca="1">[1]!df(B23-TODAY())</f>
        <v>0.9442057516333785</v>
      </c>
      <c r="G23" s="9">
        <f ca="1">E23*F23</f>
        <v>141173197.68053535</v>
      </c>
    </row>
    <row r="24" spans="1:9" x14ac:dyDescent="0.25">
      <c r="B24" s="12"/>
      <c r="C24" s="11"/>
      <c r="D24" s="13"/>
      <c r="E24" s="14">
        <f ca="1">SUM(E20:E23)</f>
        <v>155931673.53424659</v>
      </c>
      <c r="F24" s="5"/>
      <c r="G24" s="1">
        <f ca="1">SUM(G20:G23)</f>
        <v>147406974.69519451</v>
      </c>
    </row>
    <row r="25" spans="1:9" x14ac:dyDescent="0.25">
      <c r="B25" s="12"/>
      <c r="C25" s="11"/>
      <c r="D25" s="13"/>
      <c r="E25" s="14"/>
      <c r="F25" s="5"/>
      <c r="G25" s="1"/>
    </row>
    <row r="26" spans="1:9" x14ac:dyDescent="0.25">
      <c r="B26" s="21"/>
      <c r="C26" s="11"/>
      <c r="D26" s="13"/>
      <c r="E26" s="14"/>
      <c r="F26" s="5"/>
      <c r="G26" s="1"/>
      <c r="H26" s="4"/>
    </row>
    <row r="27" spans="1:9" x14ac:dyDescent="0.25">
      <c r="A27" s="24" t="s">
        <v>22</v>
      </c>
      <c r="B27" s="21"/>
      <c r="C27" s="11"/>
      <c r="D27" s="13"/>
      <c r="E27" s="14"/>
      <c r="F27" s="5"/>
      <c r="G27" s="1"/>
      <c r="H27" s="4"/>
    </row>
    <row r="28" spans="1:9" x14ac:dyDescent="0.25">
      <c r="A28" s="12"/>
      <c r="B28" s="11"/>
      <c r="C28" s="13"/>
      <c r="D28" s="14"/>
      <c r="E28" s="5"/>
      <c r="F28" s="1"/>
      <c r="H28" s="4"/>
    </row>
    <row r="29" spans="1:9" x14ac:dyDescent="0.25">
      <c r="A29" t="s">
        <v>13</v>
      </c>
      <c r="B29" s="16" t="s">
        <v>10</v>
      </c>
      <c r="C29" s="6" t="s">
        <v>15</v>
      </c>
      <c r="D29" s="7" t="s">
        <v>2</v>
      </c>
      <c r="E29" s="8" t="s">
        <v>9</v>
      </c>
      <c r="F29" s="8" t="s">
        <v>1</v>
      </c>
      <c r="G29" s="8" t="s">
        <v>3</v>
      </c>
      <c r="H29" s="4"/>
    </row>
    <row r="30" spans="1:9" x14ac:dyDescent="0.25">
      <c r="A30" s="22">
        <f ca="1">B4+1</f>
        <v>36798</v>
      </c>
      <c r="B30" s="22">
        <f ca="1">[1]!checkdate(A30,"t",TRUE)</f>
        <v>36798</v>
      </c>
      <c r="C30" s="6"/>
      <c r="D30" s="20">
        <f>-B12</f>
        <v>-147400000</v>
      </c>
      <c r="E30" s="3">
        <f>C30+D30</f>
        <v>-147400000</v>
      </c>
      <c r="F30" s="5">
        <f ca="1">[1]!df(B30-TODAY())</f>
        <v>0.99984221668026874</v>
      </c>
      <c r="G30" s="1">
        <f ca="1">E30*F30</f>
        <v>-147376742.7386716</v>
      </c>
      <c r="H30" s="4"/>
    </row>
    <row r="31" spans="1:9" x14ac:dyDescent="0.25">
      <c r="A31" s="22">
        <f ca="1">EDATE(A30,3)</f>
        <v>36889</v>
      </c>
      <c r="B31" s="22">
        <f ca="1">[1]!checkdate(A31,"t",TRUE)</f>
        <v>36889</v>
      </c>
      <c r="C31" s="1">
        <f>B14*B11</f>
        <v>2524837.6350003481</v>
      </c>
      <c r="D31" s="4"/>
      <c r="E31" s="3">
        <f>C31+D31</f>
        <v>2524837.6350003481</v>
      </c>
      <c r="F31" s="5">
        <f ca="1">[1]!df(B31-TODAY())</f>
        <v>0.98549306559351413</v>
      </c>
      <c r="G31" s="1">
        <f ca="1">E31*F31</f>
        <v>2488209.9810423711</v>
      </c>
      <c r="H31" s="15"/>
    </row>
    <row r="32" spans="1:9" x14ac:dyDescent="0.25">
      <c r="A32" s="22">
        <f ca="1">EDATE(A31,3)</f>
        <v>36979</v>
      </c>
      <c r="B32" s="22">
        <f ca="1">[1]!checkdate(A32,"t",TRUE)</f>
        <v>36979</v>
      </c>
      <c r="C32" s="1">
        <f>C31</f>
        <v>2524837.6350003481</v>
      </c>
      <c r="E32" s="3">
        <f>C32+D32</f>
        <v>2524837.6350003481</v>
      </c>
      <c r="F32" s="5">
        <f ca="1">[1]!df(B32-TODAY())</f>
        <v>0.97161642032538664</v>
      </c>
      <c r="G32" s="1">
        <f ca="1">E32*F32</f>
        <v>2453173.7048218534</v>
      </c>
      <c r="H32" s="15"/>
    </row>
    <row r="33" spans="1:8" x14ac:dyDescent="0.25">
      <c r="A33" s="22">
        <f ca="1">EDATE(A32,3)</f>
        <v>37071</v>
      </c>
      <c r="B33" s="22">
        <f ca="1">[1]!checkdate(A33,"t",TRUE)</f>
        <v>37071</v>
      </c>
      <c r="C33" s="1">
        <f>C32</f>
        <v>2524837.6350003481</v>
      </c>
      <c r="E33" s="3">
        <f>C33+D33</f>
        <v>2524837.6350003481</v>
      </c>
      <c r="F33" s="5">
        <f ca="1">[1]!df(B33-TODAY())</f>
        <v>0.95766600694091764</v>
      </c>
      <c r="G33" s="1">
        <f ca="1">E33*F33</f>
        <v>2417951.1760849333</v>
      </c>
      <c r="H33" s="1"/>
    </row>
    <row r="34" spans="1:8" x14ac:dyDescent="0.25">
      <c r="A34" s="22">
        <f>DATE(2001,9,27)</f>
        <v>37161</v>
      </c>
      <c r="B34" s="22">
        <f ca="1">[1]!checkdate(A34,"t",TRUE)</f>
        <v>37161</v>
      </c>
      <c r="C34" s="9">
        <f>C33</f>
        <v>2524837.6350003481</v>
      </c>
      <c r="D34" s="9">
        <f>B12</f>
        <v>147400000</v>
      </c>
      <c r="E34" s="10">
        <f>C34+D34</f>
        <v>149924837.63500035</v>
      </c>
      <c r="F34" s="23">
        <f ca="1">[1]!df(B34-TODAY())</f>
        <v>0.9442057516333785</v>
      </c>
      <c r="G34" s="9">
        <f ca="1">E34*F34</f>
        <v>141559894.00766775</v>
      </c>
    </row>
    <row r="35" spans="1:8" x14ac:dyDescent="0.25">
      <c r="B35" s="12"/>
      <c r="C35" s="11"/>
      <c r="D35" s="13"/>
      <c r="E35" s="14">
        <f>SUM(E31:E34)</f>
        <v>157499350.54000139</v>
      </c>
      <c r="F35" s="5"/>
      <c r="G35" s="1">
        <f ca="1">SUM(G31:G34)</f>
        <v>148919228.8696169</v>
      </c>
    </row>
    <row r="36" spans="1:8" x14ac:dyDescent="0.25">
      <c r="B36" s="12"/>
      <c r="C36" s="11"/>
      <c r="D36" s="13"/>
      <c r="E36" s="14"/>
      <c r="F36" s="5"/>
      <c r="G36" s="1"/>
    </row>
    <row r="37" spans="1:8" x14ac:dyDescent="0.25">
      <c r="A37" s="24" t="s">
        <v>23</v>
      </c>
      <c r="B37" s="12"/>
      <c r="C37" s="11"/>
      <c r="D37" s="13"/>
      <c r="E37" s="14"/>
      <c r="F37" s="5"/>
      <c r="G37" s="1"/>
    </row>
    <row r="38" spans="1:8" x14ac:dyDescent="0.25">
      <c r="E38" s="2" t="s">
        <v>24</v>
      </c>
    </row>
    <row r="39" spans="1:8" x14ac:dyDescent="0.25">
      <c r="A39" s="16" t="s">
        <v>18</v>
      </c>
      <c r="B39" s="6" t="s">
        <v>19</v>
      </c>
      <c r="C39" s="7" t="s">
        <v>2</v>
      </c>
      <c r="D39" s="8" t="s">
        <v>20</v>
      </c>
      <c r="E39" s="8" t="s">
        <v>1</v>
      </c>
      <c r="F39" s="8" t="s">
        <v>3</v>
      </c>
    </row>
    <row r="40" spans="1:8" x14ac:dyDescent="0.25">
      <c r="A40" s="22">
        <f ca="1">A31</f>
        <v>36889</v>
      </c>
      <c r="B40" s="1">
        <v>2524837.6350003481</v>
      </c>
      <c r="D40" s="3">
        <f>B40+C40</f>
        <v>2524837.6350003481</v>
      </c>
      <c r="E40" s="5">
        <f ca="1">(1+$B$7/4)^(-4*(A40-$B$4)/365)</f>
        <v>0.98297740699138636</v>
      </c>
      <c r="F40" s="1">
        <f ca="1">D40*E40</f>
        <v>2481858.3515269067</v>
      </c>
    </row>
    <row r="41" spans="1:8" x14ac:dyDescent="0.25">
      <c r="A41" s="22">
        <f ca="1">A32</f>
        <v>36979</v>
      </c>
      <c r="B41" s="1">
        <f>B40</f>
        <v>2524837.6350003481</v>
      </c>
      <c r="D41" s="3">
        <f>B41+C41</f>
        <v>2524837.6350003481</v>
      </c>
      <c r="E41" s="5">
        <f ca="1">(1+$B$7/4)^(-4*(A41-$B$4)/365)</f>
        <v>0.9666052932555691</v>
      </c>
      <c r="F41" s="1">
        <f ca="1">D41*E41</f>
        <v>2440521.4226022088</v>
      </c>
    </row>
    <row r="42" spans="1:8" x14ac:dyDescent="0.25">
      <c r="A42" s="22">
        <f ca="1">A33</f>
        <v>37071</v>
      </c>
      <c r="B42" s="1">
        <f>B41</f>
        <v>2524837.6350003481</v>
      </c>
      <c r="D42" s="3">
        <f>B42+C42</f>
        <v>2524837.6350003481</v>
      </c>
      <c r="E42" s="5">
        <f ca="1">(1+$B$7/4)^(-4*(A42-$B$4)/365)</f>
        <v>0.95015116474850791</v>
      </c>
      <c r="F42" s="1">
        <f ca="1">D42*E42</f>
        <v>2398977.4196964488</v>
      </c>
    </row>
    <row r="43" spans="1:8" x14ac:dyDescent="0.25">
      <c r="A43" s="22">
        <f>A34</f>
        <v>37161</v>
      </c>
      <c r="B43" s="9">
        <f>B42</f>
        <v>2524837.6350003481</v>
      </c>
      <c r="C43" s="9">
        <f>B12</f>
        <v>147400000</v>
      </c>
      <c r="D43" s="10">
        <f>B43+C43</f>
        <v>149924837.63500035</v>
      </c>
      <c r="E43" s="23">
        <f ca="1">(1+$B$7/4)^(-4*(A43-$B$4)/365)</f>
        <v>0.93432579294968476</v>
      </c>
      <c r="F43" s="9">
        <f ca="1">D43*E43</f>
        <v>140078642.80617443</v>
      </c>
    </row>
    <row r="44" spans="1:8" x14ac:dyDescent="0.25">
      <c r="A44" s="12"/>
      <c r="B44" s="11"/>
      <c r="C44" s="13"/>
      <c r="D44" s="14">
        <f>SUM(D40:D43)</f>
        <v>157499350.54000139</v>
      </c>
      <c r="E44" s="5"/>
      <c r="F44" s="1">
        <f ca="1">SUM(F40:F43)</f>
        <v>147400000</v>
      </c>
    </row>
  </sheetData>
  <pageMargins left="0.75" right="0.75" top="1" bottom="1" header="0.5" footer="0.5"/>
  <pageSetup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Cashflows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Clark</dc:creator>
  <cp:lastModifiedBy>Havlíček Jan</cp:lastModifiedBy>
  <cp:lastPrinted>2000-09-18T16:00:12Z</cp:lastPrinted>
  <dcterms:created xsi:type="dcterms:W3CDTF">2000-09-18T14:44:56Z</dcterms:created>
  <dcterms:modified xsi:type="dcterms:W3CDTF">2023-09-10T15:56:53Z</dcterms:modified>
</cp:coreProperties>
</file>