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</sheets>
  <definedNames>
    <definedName name="_xlnm._FilterDatabase" localSheetId="2" hidden="1">'Stock Prices'!#REF!</definedName>
    <definedName name="Amort">Amort!$A$10:$G$20</definedName>
    <definedName name="ene">'Stock Prices'!$A$5:$B$340</definedName>
    <definedName name="Loan">Amort!$A$42:$I$52</definedName>
    <definedName name="LoanPeriod">Amort!$B$42:$I$52</definedName>
    <definedName name="MPRR">#REF!</definedName>
    <definedName name="Note">Amort!$A$10:$I$20</definedName>
    <definedName name="NotePeriod">Amort!$B$10:$I$20</definedName>
    <definedName name="_xlnm.Print_Area" localSheetId="0">Summary!$A$1:$F$25</definedName>
    <definedName name="Privates">#REF!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2" i="6"/>
  <c r="B43" i="6"/>
  <c r="B44" i="6"/>
  <c r="F45" i="6"/>
  <c r="B47" i="6"/>
  <c r="B49" i="6"/>
  <c r="B53" i="6"/>
  <c r="B54" i="6"/>
  <c r="B55" i="6"/>
  <c r="B56" i="6"/>
  <c r="B60" i="6"/>
  <c r="D61" i="6"/>
  <c r="D62" i="6"/>
  <c r="B63" i="6"/>
  <c r="D63" i="6"/>
  <c r="D64" i="6"/>
  <c r="K6" i="3"/>
  <c r="N6" i="3"/>
  <c r="P6" i="3"/>
  <c r="E8" i="3"/>
  <c r="I8" i="3"/>
  <c r="L8" i="3"/>
  <c r="M8" i="3"/>
  <c r="N8" i="3"/>
  <c r="O8" i="3"/>
  <c r="P8" i="3"/>
  <c r="S8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P18" i="4"/>
  <c r="I19" i="4"/>
  <c r="M19" i="4"/>
  <c r="O19" i="4"/>
  <c r="P19" i="4"/>
  <c r="I20" i="4"/>
  <c r="P20" i="4"/>
  <c r="E21" i="4"/>
  <c r="I21" i="4"/>
  <c r="P21" i="4"/>
  <c r="P22" i="4"/>
  <c r="E23" i="4"/>
  <c r="I23" i="4"/>
  <c r="P23" i="4"/>
  <c r="E24" i="4"/>
  <c r="P24" i="4"/>
  <c r="E25" i="4"/>
  <c r="P25" i="4"/>
  <c r="E26" i="4"/>
  <c r="P26" i="4"/>
  <c r="I27" i="4"/>
  <c r="E28" i="4"/>
  <c r="I28" i="4"/>
  <c r="E29" i="4"/>
  <c r="I29" i="4"/>
  <c r="E30" i="4"/>
  <c r="M30" i="4"/>
  <c r="I31" i="4"/>
  <c r="M31" i="4"/>
  <c r="I32" i="4"/>
  <c r="M32" i="4"/>
  <c r="I33" i="4"/>
  <c r="M33" i="4"/>
  <c r="I34" i="4"/>
  <c r="M34" i="4"/>
  <c r="D35" i="4"/>
  <c r="I35" i="4"/>
  <c r="M35" i="4"/>
  <c r="D36" i="4"/>
  <c r="I36" i="4"/>
  <c r="M36" i="4"/>
  <c r="M37" i="4"/>
  <c r="M38" i="4"/>
  <c r="N38" i="4"/>
  <c r="M39" i="4"/>
  <c r="N39" i="4"/>
  <c r="B42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<sst xmlns="http://schemas.openxmlformats.org/spreadsheetml/2006/main" count="282" uniqueCount="208">
  <si>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</si>
  <si>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</si>
  <si>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</si>
  <si>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</si>
  <si>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</si>
  <si>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</si>
  <si>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</si>
  <si>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</si>
  <si>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</si>
  <si>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</si>
  <si>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</si>
  <si>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</si>
  <si>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</si>
  <si>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</si>
  <si>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</si>
  <si>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</si>
  <si>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</si>
  <si>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</si>
  <si>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</si>
  <si>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</si>
  <si>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</si>
  <si>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</si>
  <si>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</si>
  <si>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</si>
  <si>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</si>
  <si>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</si>
  <si>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</si>
  <si>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</si>
  <si>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</si>
  <si>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</si>
  <si>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</si>
  <si>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</si>
  <si>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</si>
  <si>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</si>
  <si>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</si>
  <si>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</si>
  <si>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</si>
  <si>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</si>
  <si>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</si>
  <si>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</si>
  <si>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</si>
  <si>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</si>
  <si>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</si>
  <si>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</si>
  <si>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</si>
  <si>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</si>
  <si>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</si>
  <si>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</si>
  <si>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</si>
  <si>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</si>
  <si>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</si>
  <si>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</si>
  <si>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</si>
  <si>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</si>
  <si>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</si>
  <si>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</si>
  <si>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</si>
  <si>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</si>
  <si>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</si>
  <si>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</si>
  <si>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</si>
  <si>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</si>
  <si>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</si>
  <si>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</si>
  <si>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</si>
  <si>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</si>
  <si>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</si>
  <si>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</si>
  <si>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</si>
  <si>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</si>
  <si>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</si>
  <si>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</si>
  <si>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</si>
  <si>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</si>
  <si>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</si>
  <si>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</si>
  <si>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</si>
  <si>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</si>
  <si>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</si>
  <si>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</si>
  <si>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</si>
  <si>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</si>
  <si>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</si>
  <si>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</si>
  <si>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</si>
  <si>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</si>
  <si>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</si>
  <si>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</si>
  <si>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</si>
  <si>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</si>
  <si>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</si>
  <si>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</si>
  <si>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</si>
  <si>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</si>
  <si>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</si>
  <si>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</si>
  <si>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</si>
  <si>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</si>
  <si>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</si>
  <si>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</si>
  <si>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</si>
  <si>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</si>
  <si>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</si>
  <si>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</si>
  <si>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</si>
  <si>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</si>
  <si>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</si>
  <si>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</si>
  <si>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</si>
  <si>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</si>
  <si>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</si>
  <si>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</si>
  <si>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</si>
  <si>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</si>
  <si>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</si>
  <si>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</si>
  <si>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</si>
  <si>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</si>
  <si>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</si>
  <si>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</si>
  <si>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</si>
  <si>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</si>
  <si>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</si>
  <si>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</si>
  <si>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</si>
  <si>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</si>
  <si>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</si>
  <si>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</si>
  <si>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</si>
  <si>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</si>
  <si>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</si>
  <si>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</si>
  <si>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</si>
  <si>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</si>
  <si>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</si>
  <si>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</si>
  <si>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</si>
  <si>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</si>
  <si>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</si>
  <si>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</si>
  <si>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</si>
  <si>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</si>
  <si>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</si>
  <si>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</si>
  <si>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</si>
  <si>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Plus:  Talon Earnings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</si>
  <si>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</si>
  <si>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</si>
  <si>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</si>
  <si>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</si>
  <si>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</si>
  <si>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</si>
  <si>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</si>
  <si>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</si>
  <si>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</si>
  <si>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</si>
  <si>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</si>
  <si>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</si>
  <si>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</si>
  <si>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</si>
  <si>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</si>
  <si>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</si>
  <si>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</si>
  <si>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</si>
  <si>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PRIVATES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</si>
  <si>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</si>
  <si>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</si>
  <si>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</si>
  <si>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</si>
  <si>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</si>
  <si>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</si>
  <si>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</si>
  <si>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</si>
  <si>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</si>
  <si>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</si>
  <si>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</si>
  <si>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</si>
  <si>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</si>
  <si>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</si>
  <si>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</si>
  <si>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</si>
  <si>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</si>
  <si>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</si>
  <si>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</si>
  <si>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</si>
  <si>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</si>
  <si>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</si>
  <si>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</si>
  <si>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</si>
  <si>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</si>
  <si>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</si>
  <si>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</si>
  <si>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</si>
  <si>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</si>
  <si>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</si>
  <si>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</si>
  <si>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</si>
  <si>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</si>
  <si>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</si>
  <si>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</si>
  <si>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</si>
  <si>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</si>
  <si>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</si>
  <si>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</si>
  <si>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</si>
  <si>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</si>
  <si>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</si>
  <si>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 xml:space="preserve">          ENE share gain (loss) from $68.75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</si>
</sst>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156" t="s">
        <v>200</v>
      </c>
      <c r="C2" s="156"/>
      <c r="D2" s="156"/>
      <c r="E2" s="156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5" t="s">
        <v>0</v>
      </c>
      <c r="C4" s="64"/>
      <c r="D4" s="64"/>
      <c r="E4" s="64"/>
      <c r="F4" s="63"/>
    </row>
    <row r="5" spans="1:6" x14ac:dyDescent="0.3">
      <c r="A5" s="62"/>
      <c r="B5" s="64" t="s">
        <v>13</v>
      </c>
      <c r="C5" s="66">
        <v>36861</v>
      </c>
      <c r="D5" s="67" t="s">
        <v>18</v>
      </c>
      <c r="E5" s="68">
        <f>+C5-1</f>
        <v>36860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5" t="s">
        <v>118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69"/>
      <c r="D11" s="69"/>
      <c r="E11" s="69"/>
      <c r="F11" s="63"/>
    </row>
    <row r="12" spans="1:6" x14ac:dyDescent="0.3">
      <c r="A12" s="62"/>
      <c r="B12" s="64" t="s">
        <v>9</v>
      </c>
      <c r="C12" s="70">
        <f>+'Daily Position'!P8</f>
        <v>0</v>
      </c>
      <c r="D12" s="70">
        <f>+'Daily Position'!O8</f>
        <v>0</v>
      </c>
      <c r="E12" s="70">
        <f>+C12-D12</f>
        <v>0</v>
      </c>
      <c r="F12" s="63"/>
    </row>
    <row r="13" spans="1:6" x14ac:dyDescent="0.3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3">
      <c r="A14" s="62"/>
      <c r="B14" s="64"/>
      <c r="C14" s="70"/>
      <c r="D14" s="70"/>
      <c r="E14" s="70"/>
      <c r="F14" s="63"/>
    </row>
    <row r="15" spans="1:6" ht="16.2" thickBot="1" x14ac:dyDescent="0.35">
      <c r="A15" s="62"/>
      <c r="B15" s="64" t="s">
        <v>11</v>
      </c>
      <c r="C15" s="57">
        <f>+'Daily Position'!N8</f>
        <v>0</v>
      </c>
      <c r="D15" s="57">
        <f>+'Daily Position'!M8</f>
        <v>0</v>
      </c>
      <c r="E15" s="57">
        <f>+C15-D15</f>
        <v>0</v>
      </c>
      <c r="F15" s="63"/>
    </row>
    <row r="16" spans="1:6" ht="16.2" thickTop="1" x14ac:dyDescent="0.3">
      <c r="A16" s="62"/>
      <c r="B16" s="64"/>
      <c r="C16" s="70"/>
      <c r="D16" s="70"/>
      <c r="E16" s="70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0">
        <f>IF(+Financials!P26=0,"No Capacity Available",+Financials!P26)</f>
        <v>109190055.70410831</v>
      </c>
      <c r="D18" s="64"/>
      <c r="E18" s="64"/>
      <c r="F18" s="63"/>
    </row>
    <row r="19" spans="1:6" x14ac:dyDescent="0.3">
      <c r="A19" s="62"/>
      <c r="B19" s="64"/>
      <c r="C19" s="70"/>
      <c r="D19" s="64"/>
      <c r="E19" s="64"/>
      <c r="F19" s="63"/>
    </row>
    <row r="20" spans="1:6" x14ac:dyDescent="0.3">
      <c r="A20" s="62"/>
      <c r="B20" s="64"/>
      <c r="C20" s="70"/>
      <c r="D20" s="64"/>
      <c r="E20" s="64"/>
      <c r="F20" s="63"/>
    </row>
    <row r="21" spans="1:6" x14ac:dyDescent="0.3">
      <c r="A21" s="62"/>
      <c r="B21" s="64" t="s">
        <v>2</v>
      </c>
      <c r="C21" s="70">
        <f>+Financials!I36</f>
        <v>282105477.22833335</v>
      </c>
      <c r="D21" s="64"/>
      <c r="E21" s="64"/>
      <c r="F21" s="63"/>
    </row>
    <row r="22" spans="1:6" x14ac:dyDescent="0.3">
      <c r="A22" s="62"/>
      <c r="B22" s="64"/>
      <c r="C22" s="70"/>
      <c r="D22" s="64"/>
      <c r="E22" s="64"/>
      <c r="F22" s="63"/>
    </row>
    <row r="23" spans="1:6" x14ac:dyDescent="0.3">
      <c r="A23" s="62"/>
      <c r="B23" s="64"/>
      <c r="C23" s="70"/>
      <c r="D23" s="64"/>
      <c r="E23" s="64"/>
      <c r="F23" s="63"/>
    </row>
    <row r="24" spans="1:6" x14ac:dyDescent="0.3">
      <c r="A24" s="62"/>
      <c r="B24" s="71" t="s">
        <v>123</v>
      </c>
      <c r="C24" s="70">
        <f>1500000000-'Daily Position'!I8</f>
        <v>1040000000</v>
      </c>
      <c r="D24" s="64"/>
      <c r="E24" s="64"/>
      <c r="F24" s="63"/>
    </row>
    <row r="25" spans="1:6" ht="16.2" thickBot="1" x14ac:dyDescent="0.35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152" customWidth="1"/>
    <col min="3" max="3" width="10.8984375" style="152" customWidth="1"/>
    <col min="4" max="4" width="6.5" style="76" customWidth="1"/>
    <col min="5" max="5" width="12.09765625" style="4" bestFit="1" customWidth="1"/>
    <col min="6" max="6" width="5.8984375" style="76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147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19" s="78" customFormat="1" x14ac:dyDescent="0.3">
      <c r="A1" s="78" t="s">
        <v>125</v>
      </c>
      <c r="B1" s="150" t="s">
        <v>126</v>
      </c>
      <c r="C1" s="150" t="s">
        <v>127</v>
      </c>
      <c r="D1" s="78" t="s">
        <v>129</v>
      </c>
      <c r="E1" s="80"/>
      <c r="F1" s="78" t="s">
        <v>131</v>
      </c>
      <c r="G1" s="81" t="s">
        <v>132</v>
      </c>
      <c r="H1" s="159" t="s">
        <v>133</v>
      </c>
      <c r="I1" s="160"/>
      <c r="J1" s="78" t="s">
        <v>134</v>
      </c>
      <c r="K1" s="150"/>
      <c r="L1" s="85" t="s">
        <v>136</v>
      </c>
      <c r="M1" s="89" t="s">
        <v>137</v>
      </c>
      <c r="N1" s="86" t="s">
        <v>138</v>
      </c>
      <c r="O1" s="157" t="s">
        <v>139</v>
      </c>
      <c r="P1" s="158"/>
      <c r="Q1" s="85" t="s">
        <v>139</v>
      </c>
      <c r="R1" s="89"/>
      <c r="S1" s="86"/>
    </row>
    <row r="2" spans="1:19" s="79" customFormat="1" ht="15" customHeight="1" thickBot="1" x14ac:dyDescent="0.35">
      <c r="A2" s="82" t="s">
        <v>140</v>
      </c>
      <c r="B2" s="151" t="s">
        <v>1</v>
      </c>
      <c r="C2" s="151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162</v>
      </c>
      <c r="I2" s="145" t="s">
        <v>135</v>
      </c>
      <c r="J2" s="82" t="s">
        <v>176</v>
      </c>
      <c r="K2" s="151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176</v>
      </c>
      <c r="R2" s="82" t="s">
        <v>189</v>
      </c>
      <c r="S2" s="88" t="s">
        <v>165</v>
      </c>
    </row>
    <row r="3" spans="1:19" x14ac:dyDescent="0.3">
      <c r="A3" s="130" t="s">
        <v>164</v>
      </c>
      <c r="J3" s="2"/>
      <c r="L3" s="4"/>
      <c r="M3" s="4"/>
      <c r="N3" s="5"/>
      <c r="P3" s="4"/>
      <c r="Q3" s="4"/>
      <c r="R3" s="4"/>
    </row>
    <row r="4" spans="1:19" x14ac:dyDescent="0.3">
      <c r="A4" s="132" t="s">
        <v>203</v>
      </c>
      <c r="J4" s="4"/>
      <c r="L4" s="4"/>
      <c r="M4" s="4"/>
      <c r="N4" s="5"/>
      <c r="P4" s="4"/>
      <c r="Q4" s="4"/>
      <c r="R4" s="140"/>
      <c r="S4" s="133"/>
    </row>
    <row r="5" spans="1:19" x14ac:dyDescent="0.3">
      <c r="A5" s="132" t="s">
        <v>205</v>
      </c>
      <c r="J5" s="4"/>
      <c r="L5" s="4"/>
      <c r="M5" s="4"/>
      <c r="N5" s="5"/>
      <c r="P5" s="4"/>
      <c r="Q5" s="4"/>
      <c r="R5" s="140"/>
      <c r="S5" s="133"/>
    </row>
    <row r="6" spans="1:19" x14ac:dyDescent="0.3">
      <c r="A6" s="132" t="s">
        <v>204</v>
      </c>
      <c r="B6" s="152">
        <v>36791</v>
      </c>
      <c r="C6" s="152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7">
        <f>+Summary!C5</f>
        <v>36861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40"/>
      <c r="S6" s="133"/>
    </row>
    <row r="7" spans="1:19" x14ac:dyDescent="0.3">
      <c r="A7" t="s">
        <v>199</v>
      </c>
    </row>
    <row r="8" spans="1:19" ht="16.2" thickBot="1" x14ac:dyDescent="0.35">
      <c r="B8" s="153" t="s">
        <v>17</v>
      </c>
      <c r="E8" s="77">
        <f>SUM(E3:E7)</f>
        <v>0</v>
      </c>
      <c r="I8" s="146">
        <f>SUM(I3:I7)</f>
        <v>460000000</v>
      </c>
      <c r="L8" s="77">
        <f>SUM(L3:L7)</f>
        <v>0</v>
      </c>
      <c r="M8" s="77">
        <f>SUM(M3:M7)</f>
        <v>0</v>
      </c>
      <c r="N8" s="77">
        <f>SUM(N3:N7)</f>
        <v>0</v>
      </c>
      <c r="O8" s="77">
        <f>SUM(O3:O7)</f>
        <v>0</v>
      </c>
      <c r="P8" s="77">
        <f>SUM(P3:P7)</f>
        <v>0</v>
      </c>
      <c r="Q8" s="134"/>
      <c r="R8" s="134"/>
      <c r="S8" s="77">
        <f>SUM(S3:S7)</f>
        <v>0</v>
      </c>
    </row>
    <row r="9" spans="1:19" ht="16.2" thickTop="1" x14ac:dyDescent="0.3"/>
    <row r="10" spans="1:19" x14ac:dyDescent="0.3">
      <c r="S10" s="5"/>
    </row>
    <row r="11" spans="1:19" x14ac:dyDescent="0.3">
      <c r="S11" s="138"/>
    </row>
    <row r="12" spans="1:19" x14ac:dyDescent="0.3">
      <c r="S12" s="139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83"/>
  <sheetViews>
    <sheetView workbookViewId="0">
      <pane ySplit="4" topLeftCell="A39" activePane="bottomLeft" state="frozen"/>
      <selection pane="bottomLeft" activeCell="A56" sqref="A56:B56"/>
    </sheetView>
  </sheetViews>
  <sheetFormatPr defaultRowHeight="15.6" x14ac:dyDescent="0.3"/>
  <cols>
    <col min="1" max="1" width="10" style="1" bestFit="1" customWidth="1"/>
    <col min="2" max="2" width="9.69921875" style="128" bestFit="1" customWidth="1"/>
  </cols>
  <sheetData>
    <row r="1" spans="1:2" x14ac:dyDescent="0.3">
      <c r="A1" s="148" t="s">
        <v>157</v>
      </c>
      <c r="B1" s="125"/>
    </row>
    <row r="2" spans="1:2" x14ac:dyDescent="0.3">
      <c r="B2" s="126"/>
    </row>
    <row r="3" spans="1:2" x14ac:dyDescent="0.3">
      <c r="A3" s="161" t="s">
        <v>4</v>
      </c>
      <c r="B3" s="162"/>
    </row>
    <row r="4" spans="1:2" x14ac:dyDescent="0.3">
      <c r="A4" s="149" t="s">
        <v>1</v>
      </c>
      <c r="B4" s="127" t="s">
        <v>12</v>
      </c>
    </row>
    <row r="5" spans="1:2" x14ac:dyDescent="0.3">
      <c r="A5" s="1">
        <v>36789</v>
      </c>
      <c r="B5" s="128">
        <v>82.171999999999997</v>
      </c>
    </row>
    <row r="6" spans="1:2" x14ac:dyDescent="0.3">
      <c r="A6" s="1">
        <v>36790</v>
      </c>
      <c r="B6" s="128">
        <v>80.75</v>
      </c>
    </row>
    <row r="7" spans="1:2" x14ac:dyDescent="0.3">
      <c r="A7" s="1">
        <v>36791</v>
      </c>
      <c r="B7" s="128">
        <v>83</v>
      </c>
    </row>
    <row r="8" spans="1:2" x14ac:dyDescent="0.3">
      <c r="A8" s="1">
        <v>36794</v>
      </c>
      <c r="B8" s="128">
        <v>84.438000000000002</v>
      </c>
    </row>
    <row r="9" spans="1:2" x14ac:dyDescent="0.3">
      <c r="A9" s="1">
        <v>36795</v>
      </c>
      <c r="B9" s="128">
        <v>85.5</v>
      </c>
    </row>
    <row r="10" spans="1:2" x14ac:dyDescent="0.3">
      <c r="A10" s="1">
        <v>36796</v>
      </c>
      <c r="B10" s="128">
        <v>87.453000000000003</v>
      </c>
    </row>
    <row r="11" spans="1:2" x14ac:dyDescent="0.3">
      <c r="A11" s="1">
        <v>36797</v>
      </c>
      <c r="B11" s="128">
        <v>89.25</v>
      </c>
    </row>
    <row r="12" spans="1:2" x14ac:dyDescent="0.3">
      <c r="A12" s="1">
        <v>36798</v>
      </c>
      <c r="B12" s="128">
        <v>87.641000000000005</v>
      </c>
    </row>
    <row r="13" spans="1:2" x14ac:dyDescent="0.3">
      <c r="A13" s="1">
        <v>36801</v>
      </c>
      <c r="B13" s="128">
        <v>86.438000000000002</v>
      </c>
    </row>
    <row r="14" spans="1:2" x14ac:dyDescent="0.3">
      <c r="A14" s="1">
        <v>36802</v>
      </c>
      <c r="B14" s="128">
        <v>85.563000000000002</v>
      </c>
    </row>
    <row r="15" spans="1:2" x14ac:dyDescent="0.3">
      <c r="A15" s="1">
        <v>36803</v>
      </c>
      <c r="B15" s="128">
        <v>83.063000000000002</v>
      </c>
    </row>
    <row r="16" spans="1:2" x14ac:dyDescent="0.3">
      <c r="A16" s="1">
        <v>36804</v>
      </c>
      <c r="B16" s="128">
        <v>83</v>
      </c>
    </row>
    <row r="17" spans="1:2" x14ac:dyDescent="0.3">
      <c r="A17" s="1">
        <v>36805</v>
      </c>
      <c r="B17" s="128">
        <v>81.625</v>
      </c>
    </row>
    <row r="18" spans="1:2" x14ac:dyDescent="0.3">
      <c r="A18" s="1">
        <v>36808</v>
      </c>
      <c r="B18" s="128">
        <v>83</v>
      </c>
    </row>
    <row r="19" spans="1:2" x14ac:dyDescent="0.3">
      <c r="A19" s="1">
        <v>36809</v>
      </c>
      <c r="B19" s="128">
        <v>81.688000000000002</v>
      </c>
    </row>
    <row r="20" spans="1:2" x14ac:dyDescent="0.3">
      <c r="A20" s="1">
        <v>36810</v>
      </c>
      <c r="B20" s="128">
        <v>82.813000000000002</v>
      </c>
    </row>
    <row r="21" spans="1:2" x14ac:dyDescent="0.3">
      <c r="A21" s="1">
        <v>36811</v>
      </c>
      <c r="B21" s="128">
        <v>79.875</v>
      </c>
    </row>
    <row r="22" spans="1:2" x14ac:dyDescent="0.3">
      <c r="A22" s="1">
        <v>36812</v>
      </c>
      <c r="B22" s="128">
        <v>79.5</v>
      </c>
    </row>
    <row r="23" spans="1:2" x14ac:dyDescent="0.3">
      <c r="A23" s="147">
        <v>36815</v>
      </c>
      <c r="B23" s="128">
        <v>80</v>
      </c>
    </row>
    <row r="24" spans="1:2" x14ac:dyDescent="0.3">
      <c r="A24" s="147">
        <v>36816</v>
      </c>
      <c r="B24" s="128">
        <v>79.188000000000002</v>
      </c>
    </row>
    <row r="25" spans="1:2" x14ac:dyDescent="0.3">
      <c r="A25" s="147">
        <v>36817</v>
      </c>
      <c r="B25" s="128">
        <v>78.75</v>
      </c>
    </row>
    <row r="26" spans="1:2" x14ac:dyDescent="0.3">
      <c r="A26" s="147">
        <v>36818</v>
      </c>
      <c r="B26" s="128">
        <v>79</v>
      </c>
    </row>
    <row r="27" spans="1:2" x14ac:dyDescent="0.3">
      <c r="A27" s="147">
        <v>36819</v>
      </c>
      <c r="B27" s="128">
        <v>80.5</v>
      </c>
    </row>
    <row r="28" spans="1:2" x14ac:dyDescent="0.3">
      <c r="A28" s="147">
        <v>36822</v>
      </c>
      <c r="B28" s="128">
        <v>82</v>
      </c>
    </row>
    <row r="29" spans="1:2" x14ac:dyDescent="0.3">
      <c r="A29" s="147">
        <v>36823</v>
      </c>
      <c r="B29" s="128">
        <v>80.1875</v>
      </c>
    </row>
    <row r="30" spans="1:2" x14ac:dyDescent="0.3">
      <c r="A30" s="147">
        <v>36824</v>
      </c>
      <c r="B30" s="128">
        <v>76.125</v>
      </c>
    </row>
    <row r="31" spans="1:2" x14ac:dyDescent="0.3">
      <c r="A31" s="147">
        <v>36825</v>
      </c>
      <c r="B31" s="128">
        <v>77.5</v>
      </c>
    </row>
    <row r="32" spans="1:2" x14ac:dyDescent="0.3">
      <c r="A32" s="147">
        <v>36826</v>
      </c>
      <c r="B32" s="128">
        <v>78.875</v>
      </c>
    </row>
    <row r="33" spans="1:2" x14ac:dyDescent="0.3">
      <c r="A33" s="147">
        <v>36829</v>
      </c>
      <c r="B33" s="128">
        <v>80.688000000000002</v>
      </c>
    </row>
    <row r="34" spans="1:2" x14ac:dyDescent="0.3">
      <c r="A34" s="147">
        <v>36830</v>
      </c>
      <c r="B34" s="128">
        <v>82.063000000000002</v>
      </c>
    </row>
    <row r="35" spans="1:2" x14ac:dyDescent="0.3">
      <c r="A35" s="147">
        <v>36831</v>
      </c>
      <c r="B35" s="128">
        <v>83.25</v>
      </c>
    </row>
    <row r="36" spans="1:2" x14ac:dyDescent="0.3">
      <c r="A36" s="147">
        <v>36832</v>
      </c>
      <c r="B36" s="128">
        <v>81.75</v>
      </c>
    </row>
    <row r="37" spans="1:2" x14ac:dyDescent="0.3">
      <c r="A37" s="147">
        <v>36833</v>
      </c>
      <c r="B37" s="128">
        <v>77.375</v>
      </c>
    </row>
    <row r="38" spans="1:2" x14ac:dyDescent="0.3">
      <c r="A38" s="147">
        <v>36836</v>
      </c>
      <c r="B38" s="128">
        <v>81.563000000000002</v>
      </c>
    </row>
    <row r="39" spans="1:2" x14ac:dyDescent="0.3">
      <c r="A39" s="147">
        <v>36837</v>
      </c>
      <c r="B39" s="128">
        <v>81.813000000000002</v>
      </c>
    </row>
    <row r="40" spans="1:2" x14ac:dyDescent="0.3">
      <c r="A40" s="147">
        <v>36838</v>
      </c>
      <c r="B40" s="128">
        <v>82.125</v>
      </c>
    </row>
    <row r="41" spans="1:2" x14ac:dyDescent="0.3">
      <c r="A41" s="147">
        <v>36839</v>
      </c>
      <c r="B41" s="128">
        <v>82.938000000000002</v>
      </c>
    </row>
    <row r="42" spans="1:2" x14ac:dyDescent="0.3">
      <c r="A42" s="147">
        <v>36840</v>
      </c>
      <c r="B42" s="128">
        <f>82+0.9375</f>
        <v>82.9375</v>
      </c>
    </row>
    <row r="43" spans="1:2" x14ac:dyDescent="0.3">
      <c r="A43" s="147">
        <v>36843</v>
      </c>
      <c r="B43" s="128">
        <v>79.438000000000002</v>
      </c>
    </row>
    <row r="44" spans="1:2" x14ac:dyDescent="0.3">
      <c r="A44" s="147">
        <v>36844</v>
      </c>
      <c r="B44" s="128">
        <v>79.563000000000002</v>
      </c>
    </row>
    <row r="45" spans="1:2" x14ac:dyDescent="0.3">
      <c r="A45" s="147">
        <v>36845</v>
      </c>
      <c r="B45" s="128">
        <v>80.375</v>
      </c>
    </row>
    <row r="46" spans="1:2" x14ac:dyDescent="0.3">
      <c r="A46" s="147">
        <v>36846</v>
      </c>
      <c r="B46" s="128">
        <v>81.25</v>
      </c>
    </row>
    <row r="47" spans="1:2" x14ac:dyDescent="0.3">
      <c r="A47" s="147">
        <v>36847</v>
      </c>
      <c r="B47" s="128">
        <v>81.5</v>
      </c>
    </row>
    <row r="48" spans="1:2" x14ac:dyDescent="0.3">
      <c r="A48" s="147">
        <v>36850</v>
      </c>
      <c r="B48" s="128">
        <v>80.25</v>
      </c>
    </row>
    <row r="49" spans="1:2" x14ac:dyDescent="0.3">
      <c r="A49" s="147">
        <v>36851</v>
      </c>
      <c r="B49" s="128">
        <v>80.375</v>
      </c>
    </row>
    <row r="50" spans="1:2" x14ac:dyDescent="0.3">
      <c r="A50" s="147">
        <v>36852</v>
      </c>
      <c r="B50" s="128">
        <v>75.563000000000002</v>
      </c>
    </row>
    <row r="51" spans="1:2" x14ac:dyDescent="0.3">
      <c r="A51" s="147">
        <v>36854</v>
      </c>
      <c r="B51" s="128">
        <v>77.75</v>
      </c>
    </row>
    <row r="52" spans="1:2" x14ac:dyDescent="0.3">
      <c r="A52" s="147">
        <v>36857</v>
      </c>
      <c r="B52" s="128">
        <v>78.875</v>
      </c>
    </row>
    <row r="53" spans="1:2" x14ac:dyDescent="0.3">
      <c r="A53" s="147">
        <v>36858</v>
      </c>
      <c r="B53" s="128">
        <v>78.438000000000002</v>
      </c>
    </row>
    <row r="54" spans="1:2" x14ac:dyDescent="0.3">
      <c r="A54" s="147">
        <v>36859</v>
      </c>
      <c r="B54" s="128">
        <v>70.25</v>
      </c>
    </row>
    <row r="55" spans="1:2" x14ac:dyDescent="0.3">
      <c r="A55" s="147">
        <v>36860</v>
      </c>
      <c r="B55" s="128">
        <v>64.75</v>
      </c>
    </row>
    <row r="56" spans="1:2" x14ac:dyDescent="0.3">
      <c r="A56" s="147">
        <v>36861</v>
      </c>
      <c r="B56" s="128">
        <v>65.5</v>
      </c>
    </row>
    <row r="223" ht="14.25" customHeight="1" x14ac:dyDescent="0.3"/>
    <row r="340" spans="1:2" x14ac:dyDescent="0.3">
      <c r="A340" s="1" t="s">
        <v>163</v>
      </c>
    </row>
    <row r="342" spans="1:2" x14ac:dyDescent="0.3">
      <c r="A342" s="147"/>
    </row>
    <row r="343" spans="1:2" x14ac:dyDescent="0.3">
      <c r="B343"/>
    </row>
    <row r="344" spans="1:2" x14ac:dyDescent="0.3">
      <c r="B344"/>
    </row>
    <row r="345" spans="1:2" x14ac:dyDescent="0.3">
      <c r="B345"/>
    </row>
    <row r="346" spans="1:2" x14ac:dyDescent="0.3">
      <c r="B346"/>
    </row>
    <row r="347" spans="1:2" x14ac:dyDescent="0.3">
      <c r="B347"/>
    </row>
    <row r="348" spans="1:2" x14ac:dyDescent="0.3">
      <c r="B348"/>
    </row>
    <row r="349" spans="1:2" x14ac:dyDescent="0.3">
      <c r="B349"/>
    </row>
    <row r="350" spans="1:2" x14ac:dyDescent="0.3">
      <c r="B350"/>
    </row>
    <row r="351" spans="1:2" x14ac:dyDescent="0.3">
      <c r="B351"/>
    </row>
    <row r="352" spans="1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C15" workbookViewId="0">
      <selection activeCell="H32" sqref="H32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84</v>
      </c>
    </row>
    <row r="2" spans="1:18" x14ac:dyDescent="0.3">
      <c r="A2" s="7" t="s">
        <v>201</v>
      </c>
      <c r="H2" s="168">
        <f>+Summary!C5</f>
        <v>36861</v>
      </c>
      <c r="I2" s="168"/>
      <c r="J2" s="96"/>
      <c r="L2" s="168">
        <f>H2</f>
        <v>36861</v>
      </c>
      <c r="M2" s="168"/>
      <c r="N2" s="168"/>
      <c r="O2" s="168"/>
      <c r="P2" s="168"/>
    </row>
    <row r="3" spans="1:18" ht="16.2" thickBot="1" x14ac:dyDescent="0.35">
      <c r="H3" s="169" t="s">
        <v>97</v>
      </c>
      <c r="I3" s="169"/>
      <c r="J3" s="97"/>
      <c r="L3" s="169" t="s">
        <v>97</v>
      </c>
      <c r="M3" s="169"/>
      <c r="N3" s="169"/>
      <c r="O3" s="169"/>
      <c r="P3" s="169"/>
    </row>
    <row r="4" spans="1:18" x14ac:dyDescent="0.3">
      <c r="A4" s="163" t="s">
        <v>202</v>
      </c>
      <c r="B4" s="163"/>
      <c r="C4" s="163"/>
      <c r="D4" s="163"/>
      <c r="E4" s="163"/>
      <c r="F4" s="163"/>
      <c r="H4" s="119" t="s">
        <v>98</v>
      </c>
      <c r="I4" s="120"/>
      <c r="J4" s="13"/>
    </row>
    <row r="5" spans="1:18" ht="16.2" thickBot="1" x14ac:dyDescent="0.35">
      <c r="A5" s="164" t="s">
        <v>30</v>
      </c>
      <c r="B5" s="164"/>
      <c r="D5" s="164" t="s">
        <v>31</v>
      </c>
      <c r="E5" s="164"/>
      <c r="H5" s="121" t="s">
        <v>99</v>
      </c>
      <c r="I5" s="129">
        <f>+VLOOKUP(+Summary!C5,ene,2)</f>
        <v>65.5</v>
      </c>
      <c r="J5" s="13"/>
      <c r="L5" s="163" t="s">
        <v>119</v>
      </c>
      <c r="M5" s="163"/>
      <c r="N5" s="163"/>
      <c r="O5" s="163"/>
      <c r="P5" s="163"/>
      <c r="Q5" s="97"/>
    </row>
    <row r="6" spans="1:18" x14ac:dyDescent="0.3">
      <c r="A6" s="7" t="s">
        <v>32</v>
      </c>
      <c r="B6" s="7">
        <f>E6+E9+E10-B35</f>
        <v>71001000</v>
      </c>
      <c r="D6" s="7" t="s">
        <v>33</v>
      </c>
      <c r="E6" s="7">
        <v>41000000</v>
      </c>
      <c r="F6" s="15" t="s">
        <v>34</v>
      </c>
      <c r="H6" s="121" t="s">
        <v>100</v>
      </c>
      <c r="I6" s="122">
        <f>+'Cash-Int-Trans'!F45</f>
        <v>7.2925000000000004E-2</v>
      </c>
      <c r="J6" s="13"/>
      <c r="L6" s="93" t="s">
        <v>142</v>
      </c>
      <c r="M6" s="98">
        <f>H2</f>
        <v>36861</v>
      </c>
      <c r="N6" s="99"/>
      <c r="O6" s="99"/>
      <c r="P6" s="99"/>
      <c r="Q6" s="100"/>
    </row>
    <row r="7" spans="1:18" ht="16.2" thickBot="1" x14ac:dyDescent="0.35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170" t="s">
        <v>158</v>
      </c>
      <c r="I7" s="171"/>
      <c r="J7" s="13"/>
      <c r="L7" s="164" t="s">
        <v>30</v>
      </c>
      <c r="M7" s="164"/>
      <c r="O7" s="164" t="s">
        <v>31</v>
      </c>
      <c r="P7" s="164"/>
    </row>
    <row r="8" spans="1:18" x14ac:dyDescent="0.3">
      <c r="A8" s="7" t="s">
        <v>38</v>
      </c>
      <c r="B8" s="7">
        <f>B18</f>
        <v>350000000</v>
      </c>
      <c r="C8" s="18" t="s">
        <v>39</v>
      </c>
      <c r="H8" s="123" t="s">
        <v>159</v>
      </c>
      <c r="I8" s="124"/>
      <c r="J8" s="13"/>
      <c r="L8" s="7" t="s">
        <v>37</v>
      </c>
      <c r="M8" s="7">
        <f>+'Cash-Int-Trans'!B35</f>
        <v>33483142.717499986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3">
      <c r="D10" s="7" t="s">
        <v>4</v>
      </c>
      <c r="E10" s="7">
        <v>1000</v>
      </c>
      <c r="H10" s="167" t="s">
        <v>101</v>
      </c>
      <c r="I10" s="167"/>
      <c r="J10" s="13"/>
      <c r="L10" s="7" t="s">
        <v>38</v>
      </c>
      <c r="M10" s="7">
        <f>B8+I15</f>
        <v>376459428.93835616</v>
      </c>
      <c r="N10" s="18"/>
      <c r="O10" s="7" t="s">
        <v>117</v>
      </c>
      <c r="P10" s="7">
        <f>IF(I19&gt;0,0,-I19)</f>
        <v>0</v>
      </c>
    </row>
    <row r="11" spans="1:18" ht="16.2" thickBot="1" x14ac:dyDescent="0.35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36861</v>
      </c>
      <c r="J11" s="13"/>
      <c r="L11" s="7" t="s">
        <v>42</v>
      </c>
      <c r="M11" s="7">
        <f>+Amort!B28</f>
        <v>1506944.4444444447</v>
      </c>
      <c r="O11" s="7" t="s">
        <v>36</v>
      </c>
      <c r="P11" s="7">
        <f>E7-I16+'Cash-Int-Trans'!B9</f>
        <v>418880796.18361109</v>
      </c>
      <c r="R11" s="3"/>
    </row>
    <row r="12" spans="1:18" ht="16.2" thickTop="1" x14ac:dyDescent="0.3">
      <c r="H12" s="13" t="s">
        <v>113</v>
      </c>
      <c r="I12" s="16">
        <f>+'Cash-Int-Trans'!B6</f>
        <v>34266411</v>
      </c>
      <c r="J12" s="29" t="s">
        <v>87</v>
      </c>
      <c r="O12" s="7" t="s">
        <v>40</v>
      </c>
      <c r="P12" s="7">
        <f>IF(+I23+I35+'Cash-Int-Trans'!D64-'Cash-Int-Trans'!D63&gt;'Cash-Int-Trans'!D64,'Cash-Int-Trans'!D64,IF(+I23+I35+'Cash-Int-Trans'!D64&lt;0,0,+I23+I35+'Cash-Int-Trans'!D64-'Cash-Int-Trans'!D63))</f>
        <v>31125315.06849315</v>
      </c>
      <c r="Q12" s="109" t="s">
        <v>152</v>
      </c>
    </row>
    <row r="13" spans="1:18" x14ac:dyDescent="0.3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2382142.7175000003</v>
      </c>
      <c r="J13" s="29"/>
      <c r="L13" s="7" t="s">
        <v>122</v>
      </c>
      <c r="M13" s="7">
        <f>IF(I19&gt;0,I19,0)</f>
        <v>0</v>
      </c>
      <c r="O13" s="7" t="s">
        <v>4</v>
      </c>
      <c r="P13" s="7">
        <f>M14-SUM(P8:P12)</f>
        <v>11443404.848196328</v>
      </c>
    </row>
    <row r="14" spans="1:18" ht="16.2" thickBot="1" x14ac:dyDescent="0.35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192</v>
      </c>
      <c r="I14" s="16">
        <f>+Amort!B29</f>
        <v>1506944.4444444447</v>
      </c>
      <c r="J14" s="13"/>
      <c r="L14" s="91" t="s">
        <v>7</v>
      </c>
      <c r="M14" s="12">
        <f>SUM(M8:M13)</f>
        <v>461449516.10030055</v>
      </c>
      <c r="N14" s="20"/>
      <c r="O14" s="91" t="s">
        <v>7</v>
      </c>
      <c r="P14" s="12">
        <f>SUM(P8:P13)</f>
        <v>461449516.10030055</v>
      </c>
      <c r="Q14" s="108" t="s">
        <v>151</v>
      </c>
    </row>
    <row r="15" spans="1:18" ht="16.2" thickTop="1" x14ac:dyDescent="0.3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191</v>
      </c>
      <c r="I15" s="16">
        <f>-B17*D36/(3*365)</f>
        <v>26459428.938356165</v>
      </c>
      <c r="J15" s="33" t="s">
        <v>56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3">
      <c r="A16" s="7" t="s">
        <v>50</v>
      </c>
      <c r="B16" s="7">
        <f>SUM(B14:B15)</f>
        <v>536923062.5</v>
      </c>
      <c r="H16" s="13" t="s">
        <v>183</v>
      </c>
      <c r="I16" s="40">
        <f>-'Cash-Int-Trans'!B47</f>
        <v>-12147207.183611114</v>
      </c>
      <c r="J16" s="13"/>
      <c r="L16" s="142" t="s">
        <v>47</v>
      </c>
      <c r="M16" s="141"/>
      <c r="N16" s="141"/>
      <c r="O16" s="141"/>
      <c r="P16" s="141"/>
      <c r="Q16" s="16"/>
    </row>
    <row r="17" spans="1:20" x14ac:dyDescent="0.3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52467719.9166895</v>
      </c>
      <c r="L17" s="143" t="s">
        <v>49</v>
      </c>
      <c r="M17" s="143"/>
      <c r="P17" s="7">
        <f>M14</f>
        <v>461449516.10030055</v>
      </c>
      <c r="Q17" s="108" t="s">
        <v>151</v>
      </c>
    </row>
    <row r="18" spans="1:20" ht="16.2" thickBot="1" x14ac:dyDescent="0.35">
      <c r="A18" s="7" t="s">
        <v>55</v>
      </c>
      <c r="B18" s="12">
        <f>B16+B17</f>
        <v>350000000</v>
      </c>
      <c r="C18" s="18" t="s">
        <v>39</v>
      </c>
      <c r="I18" s="7"/>
      <c r="L18" s="7" t="s">
        <v>190</v>
      </c>
      <c r="M18" s="92"/>
      <c r="N18" s="92"/>
      <c r="O18" s="92"/>
      <c r="P18" s="7">
        <f>+M18+O18</f>
        <v>0</v>
      </c>
    </row>
    <row r="19" spans="1:20" ht="16.2" thickTop="1" x14ac:dyDescent="0.3">
      <c r="H19" s="7" t="s">
        <v>115</v>
      </c>
      <c r="I19" s="7">
        <f>+'Daily Position'!L8</f>
        <v>0</v>
      </c>
      <c r="J19" s="13"/>
      <c r="L19" s="7" t="s">
        <v>150</v>
      </c>
      <c r="M19" s="92">
        <f>+'Daily Position'!I8-M18</f>
        <v>460000000</v>
      </c>
      <c r="N19" s="92"/>
      <c r="O19" s="92">
        <f>-P10</f>
        <v>0</v>
      </c>
      <c r="P19" s="27">
        <f>+M19+O19</f>
        <v>460000000</v>
      </c>
      <c r="T19" s="144"/>
    </row>
    <row r="20" spans="1:20" ht="16.2" thickBot="1" x14ac:dyDescent="0.35">
      <c r="A20" s="165" t="s">
        <v>59</v>
      </c>
      <c r="B20" s="165"/>
      <c r="C20" s="165"/>
      <c r="D20" s="165"/>
      <c r="E20" s="165"/>
      <c r="H20" s="7" t="s">
        <v>116</v>
      </c>
      <c r="I20" s="27">
        <f>+'Daily Position'!M8</f>
        <v>0</v>
      </c>
      <c r="L20" s="7" t="s">
        <v>149</v>
      </c>
      <c r="P20" s="7">
        <f>+P17+P18+P19</f>
        <v>921449516.10030055</v>
      </c>
    </row>
    <row r="21" spans="1:20" x14ac:dyDescent="0.3">
      <c r="A21" s="166" t="s">
        <v>49</v>
      </c>
      <c r="B21" s="166"/>
      <c r="E21" s="7">
        <f>B11</f>
        <v>471001000</v>
      </c>
      <c r="F21" s="34" t="s">
        <v>43</v>
      </c>
      <c r="H21"/>
      <c r="I21" s="36">
        <f>SUM(I19:I20)</f>
        <v>0</v>
      </c>
      <c r="J21" s="13"/>
      <c r="K21" s="7"/>
      <c r="L21" s="7" t="s">
        <v>51</v>
      </c>
      <c r="P21" s="30">
        <f>E27</f>
        <v>3.0200000000000001E-2</v>
      </c>
    </row>
    <row r="22" spans="1:20" x14ac:dyDescent="0.3">
      <c r="A22" s="7" t="s">
        <v>61</v>
      </c>
      <c r="B22" s="7" t="s">
        <v>14</v>
      </c>
      <c r="D22" s="7">
        <v>7427536</v>
      </c>
      <c r="H22" s="104"/>
      <c r="I22" s="105"/>
      <c r="J22" s="13"/>
      <c r="K22" s="7"/>
      <c r="L22" s="7" t="s">
        <v>54</v>
      </c>
      <c r="P22" s="7">
        <f>P20*P21</f>
        <v>27827775.386229079</v>
      </c>
    </row>
    <row r="23" spans="1:20" ht="16.2" thickBot="1" x14ac:dyDescent="0.35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I21+I17</f>
        <v>52467719.9166895</v>
      </c>
      <c r="J23" s="39" t="s">
        <v>63</v>
      </c>
      <c r="L23" s="7" t="s">
        <v>57</v>
      </c>
      <c r="P23" s="7">
        <f>P12</f>
        <v>31125315.06849315</v>
      </c>
      <c r="Q23" s="109" t="s">
        <v>152</v>
      </c>
    </row>
    <row r="24" spans="1:20" ht="16.2" thickTop="1" x14ac:dyDescent="0.3">
      <c r="A24" s="7" t="s">
        <v>67</v>
      </c>
      <c r="E24" s="7">
        <f>SUM(E21:E23)</f>
        <v>898084320</v>
      </c>
      <c r="H24" s="13"/>
      <c r="I24" s="16"/>
      <c r="J24" s="13"/>
      <c r="L24" s="35" t="s">
        <v>58</v>
      </c>
      <c r="M24" s="36"/>
      <c r="N24" s="36"/>
      <c r="O24" s="36"/>
      <c r="P24" s="110" t="str">
        <f>IF(P23&gt;=P22,"Test Passed","Test Failed")</f>
        <v>Test Passed</v>
      </c>
      <c r="Q24" s="109"/>
    </row>
    <row r="25" spans="1:20" x14ac:dyDescent="0.3">
      <c r="A25" s="7" t="s">
        <v>68</v>
      </c>
      <c r="E25" s="27">
        <f>E6</f>
        <v>41000000</v>
      </c>
      <c r="F25" s="15" t="s">
        <v>34</v>
      </c>
      <c r="H25" s="167" t="s">
        <v>102</v>
      </c>
      <c r="I25" s="167"/>
      <c r="J25" s="13"/>
      <c r="L25" s="13" t="s">
        <v>60</v>
      </c>
      <c r="M25" s="13"/>
      <c r="N25" s="13"/>
      <c r="O25" s="13"/>
      <c r="P25" s="13">
        <f>P23-P22</f>
        <v>3297539.682264071</v>
      </c>
    </row>
    <row r="26" spans="1:20" x14ac:dyDescent="0.3">
      <c r="E26" s="7">
        <f>E24-E25</f>
        <v>857084320</v>
      </c>
      <c r="H26" s="13" t="s">
        <v>69</v>
      </c>
      <c r="I26" s="16"/>
      <c r="J26" s="13"/>
      <c r="K26" s="7"/>
      <c r="L26" s="37" t="s">
        <v>112</v>
      </c>
      <c r="M26" s="37"/>
      <c r="N26" s="37"/>
      <c r="O26" s="37"/>
      <c r="P26" s="37">
        <f>IF(P25&lt;0,0,P25/P21)</f>
        <v>109190055.70410831</v>
      </c>
    </row>
    <row r="27" spans="1:20" x14ac:dyDescent="0.3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</row>
    <row r="28" spans="1:20" x14ac:dyDescent="0.3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  <c r="L28" s="55" t="s">
        <v>66</v>
      </c>
      <c r="M28" s="55"/>
    </row>
    <row r="29" spans="1:20" x14ac:dyDescent="0.3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7" t="s">
        <v>161</v>
      </c>
    </row>
    <row r="30" spans="1:20" x14ac:dyDescent="0.3">
      <c r="A30" s="35" t="s">
        <v>58</v>
      </c>
      <c r="B30" s="36"/>
      <c r="C30" s="36"/>
      <c r="D30" s="36"/>
      <c r="E30" s="110" t="str">
        <f>IF(E29&gt;=E28,"Test Passed","Test Failed")</f>
        <v>Test Passed</v>
      </c>
      <c r="H30" s="13"/>
      <c r="I30" s="16"/>
      <c r="J30" s="13"/>
      <c r="L30" s="7" t="s">
        <v>70</v>
      </c>
      <c r="M30" s="7">
        <f>E9+'Cash-Int-Trans'!B13</f>
        <v>31100000</v>
      </c>
    </row>
    <row r="31" spans="1:20" x14ac:dyDescent="0.3">
      <c r="H31" s="13" t="s">
        <v>145</v>
      </c>
      <c r="I31" s="16">
        <f>I23</f>
        <v>52467719.9166895</v>
      </c>
      <c r="J31" s="39" t="s">
        <v>63</v>
      </c>
      <c r="L31" s="7" t="s">
        <v>72</v>
      </c>
      <c r="M31" s="27">
        <f>E10</f>
        <v>1000</v>
      </c>
    </row>
    <row r="32" spans="1:20" x14ac:dyDescent="0.3">
      <c r="H32" s="13" t="s">
        <v>207</v>
      </c>
      <c r="I32" s="16">
        <f>IF(I5&lt;78.875,D15*(78.875-E15),IF(I5&gt;111.8633,D15*(111.8633-E15),D15*(I5-E15)))</f>
        <v>79074123.75</v>
      </c>
      <c r="J32" s="39"/>
      <c r="M32" s="7">
        <f>SUM(M30:M31)</f>
        <v>31101000</v>
      </c>
    </row>
    <row r="33" spans="1:14" ht="16.2" thickBot="1" x14ac:dyDescent="0.35">
      <c r="A33"/>
      <c r="D33" s="44" t="s">
        <v>144</v>
      </c>
      <c r="E33" s="45"/>
      <c r="H33" s="7" t="s">
        <v>160</v>
      </c>
      <c r="I33" s="14">
        <f>+'Cash-Int-Trans'!B13</f>
        <v>1100000</v>
      </c>
      <c r="L33" s="7" t="s">
        <v>75</v>
      </c>
      <c r="M33" s="7">
        <f>I23</f>
        <v>52467719.9166895</v>
      </c>
    </row>
    <row r="34" spans="1:14" x14ac:dyDescent="0.3">
      <c r="A34"/>
      <c r="B34"/>
      <c r="C34"/>
      <c r="D34" s="46">
        <v>36706</v>
      </c>
      <c r="E34" s="13" t="s">
        <v>80</v>
      </c>
      <c r="H34" s="13" t="s">
        <v>146</v>
      </c>
      <c r="I34" s="16">
        <f>-I15</f>
        <v>-26459428.938356165</v>
      </c>
      <c r="J34" s="33" t="s">
        <v>56</v>
      </c>
      <c r="L34" s="7" t="s">
        <v>76</v>
      </c>
      <c r="M34" s="27">
        <f>I35</f>
        <v>-41000000</v>
      </c>
    </row>
    <row r="35" spans="1:14" x14ac:dyDescent="0.3">
      <c r="A35"/>
      <c r="B35"/>
      <c r="C35"/>
      <c r="D35" s="49">
        <f>+Summary!C5</f>
        <v>36861</v>
      </c>
      <c r="E35" s="13" t="s">
        <v>81</v>
      </c>
      <c r="H35" s="13" t="s">
        <v>147</v>
      </c>
      <c r="I35" s="16">
        <f>+'Cash-Int-Trans'!B12</f>
        <v>-41000000</v>
      </c>
      <c r="J35" s="42"/>
      <c r="L35" s="7" t="s">
        <v>77</v>
      </c>
      <c r="M35" s="7">
        <f>SUM(M32:M34)</f>
        <v>42568719.9166895</v>
      </c>
    </row>
    <row r="36" spans="1:14" ht="16.2" thickBot="1" x14ac:dyDescent="0.35">
      <c r="A36"/>
      <c r="B36"/>
      <c r="C36"/>
      <c r="D36" s="50">
        <f>D35-D34</f>
        <v>155</v>
      </c>
      <c r="E36" s="13" t="s">
        <v>82</v>
      </c>
      <c r="H36" s="37" t="s">
        <v>103</v>
      </c>
      <c r="I36" s="38">
        <f>SUM(I29:I35)</f>
        <v>282105477.22833335</v>
      </c>
      <c r="J36" s="13"/>
      <c r="L36" s="7" t="s">
        <v>153</v>
      </c>
      <c r="M36" s="7">
        <f>P12</f>
        <v>31125315.06849315</v>
      </c>
    </row>
    <row r="37" spans="1:14" ht="16.5" customHeight="1" x14ac:dyDescent="0.3">
      <c r="A37"/>
      <c r="B37"/>
      <c r="C37"/>
      <c r="D37"/>
      <c r="E37"/>
      <c r="H37" s="7" t="s">
        <v>206</v>
      </c>
      <c r="K37" s="7"/>
      <c r="L37" s="7" t="s">
        <v>154</v>
      </c>
      <c r="M37" s="27">
        <f>P13</f>
        <v>11443404.848196328</v>
      </c>
    </row>
    <row r="38" spans="1:14" ht="15.75" customHeight="1" x14ac:dyDescent="0.3">
      <c r="A38"/>
      <c r="B38"/>
      <c r="C38"/>
      <c r="D38"/>
      <c r="E38"/>
      <c r="K38" s="7"/>
      <c r="M38" s="7">
        <f>M35-M36-M37</f>
        <v>2.2351741790771484E-8</v>
      </c>
      <c r="N38" s="43" t="str">
        <f>IF(ROUND(M38,0)=0,"OK","Not OK")</f>
        <v>OK</v>
      </c>
    </row>
    <row r="39" spans="1:14" ht="15.75" customHeight="1" x14ac:dyDescent="0.3">
      <c r="A39"/>
      <c r="B39"/>
      <c r="C39"/>
      <c r="D39"/>
      <c r="E39"/>
      <c r="K39" s="7"/>
      <c r="L39" s="7" t="s">
        <v>148</v>
      </c>
      <c r="M39" s="7">
        <f>ROUND(M35-SUM(M36:M37),0)</f>
        <v>0</v>
      </c>
      <c r="N39" s="107" t="str">
        <f>IF(M39=0,"OK","Not OK")</f>
        <v>OK</v>
      </c>
    </row>
    <row r="40" spans="1:14" ht="16.5" customHeight="1" x14ac:dyDescent="0.3">
      <c r="A40"/>
      <c r="B40"/>
      <c r="C40"/>
      <c r="D40"/>
      <c r="E40"/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  <c r="L43" s="47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64"/>
  <sheetViews>
    <sheetView showGridLines="0" topLeftCell="A44" workbookViewId="0">
      <selection activeCell="B54" sqref="B54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7" ht="16.2" thickBot="1" x14ac:dyDescent="0.35">
      <c r="A1" s="172" t="s">
        <v>109</v>
      </c>
      <c r="B1" s="172"/>
    </row>
    <row r="3" spans="1:7" x14ac:dyDescent="0.3">
      <c r="A3" s="13" t="s">
        <v>121</v>
      </c>
      <c r="B3" s="14"/>
      <c r="C3" s="7"/>
    </row>
    <row r="4" spans="1:7" x14ac:dyDescent="0.3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3">
      <c r="A5" s="7"/>
      <c r="B5" s="14"/>
      <c r="C5" s="7"/>
    </row>
    <row r="6" spans="1:7" ht="16.2" thickBot="1" x14ac:dyDescent="0.35">
      <c r="A6" s="7" t="s">
        <v>86</v>
      </c>
      <c r="B6" s="154">
        <f>SUM(B3:B5)</f>
        <v>34266411</v>
      </c>
      <c r="C6" s="29" t="s">
        <v>87</v>
      </c>
    </row>
    <row r="7" spans="1:7" ht="16.2" thickTop="1" x14ac:dyDescent="0.3">
      <c r="A7" s="7"/>
      <c r="B7" s="14"/>
      <c r="C7" s="7"/>
    </row>
    <row r="8" spans="1:7" x14ac:dyDescent="0.3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3">
      <c r="A9" s="7" t="s">
        <v>193</v>
      </c>
      <c r="B9" s="14">
        <f>-B8</f>
        <v>6733589</v>
      </c>
      <c r="C9" s="7"/>
      <c r="D9" s="1">
        <f>+D8</f>
        <v>36791</v>
      </c>
    </row>
    <row r="10" spans="1:7" x14ac:dyDescent="0.3">
      <c r="A10" s="7"/>
      <c r="B10" s="7"/>
      <c r="C10" s="7"/>
    </row>
    <row r="11" spans="1:7" x14ac:dyDescent="0.3">
      <c r="A11" s="7" t="s">
        <v>96</v>
      </c>
      <c r="B11" s="14"/>
      <c r="C11" s="7"/>
    </row>
    <row r="12" spans="1:7" x14ac:dyDescent="0.3">
      <c r="A12" s="7" t="s">
        <v>194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3">
      <c r="A13" s="7" t="s">
        <v>195</v>
      </c>
      <c r="B13" s="14">
        <v>1100000</v>
      </c>
      <c r="C13" s="7"/>
      <c r="D13" s="1">
        <v>36791</v>
      </c>
    </row>
    <row r="14" spans="1:7" x14ac:dyDescent="0.3">
      <c r="A14" s="7"/>
      <c r="B14" s="14"/>
      <c r="C14" s="7"/>
      <c r="D14" s="1"/>
    </row>
    <row r="15" spans="1:7" x14ac:dyDescent="0.3">
      <c r="A15" s="7" t="s">
        <v>198</v>
      </c>
      <c r="B15" s="14">
        <f>IF(Summary!$C$5&lt;'Cash-Int-Trans'!D15,0,-Amort!D11)</f>
        <v>-1779166.6666666667</v>
      </c>
      <c r="C15" s="7"/>
      <c r="D15" s="1">
        <v>36800</v>
      </c>
    </row>
    <row r="16" spans="1:7" x14ac:dyDescent="0.3">
      <c r="A16" s="7" t="s">
        <v>197</v>
      </c>
      <c r="B16" s="14">
        <f>-B15</f>
        <v>1779166.6666666667</v>
      </c>
      <c r="C16" s="7"/>
      <c r="D16" s="1">
        <f>+D15</f>
        <v>36800</v>
      </c>
    </row>
    <row r="17" spans="1:5" x14ac:dyDescent="0.3">
      <c r="A17" s="7"/>
      <c r="B17" s="14"/>
      <c r="C17" s="7"/>
    </row>
    <row r="18" spans="1:5" ht="16.2" thickBot="1" x14ac:dyDescent="0.35">
      <c r="A18" s="172" t="s">
        <v>104</v>
      </c>
      <c r="B18" s="172"/>
    </row>
    <row r="20" spans="1:5" x14ac:dyDescent="0.3">
      <c r="A20" t="s">
        <v>25</v>
      </c>
      <c r="B20" s="7">
        <f>+Financials!B6</f>
        <v>71001000</v>
      </c>
      <c r="D20" s="1">
        <v>36634</v>
      </c>
    </row>
    <row r="22" spans="1:5" x14ac:dyDescent="0.3">
      <c r="A22" t="s">
        <v>105</v>
      </c>
      <c r="B22" s="7">
        <f>+Financials!I23</f>
        <v>52467719.9166895</v>
      </c>
    </row>
    <row r="23" spans="1:5" x14ac:dyDescent="0.3">
      <c r="A23" t="s">
        <v>106</v>
      </c>
      <c r="B23" s="7">
        <f>-Financials!I15</f>
        <v>-26459428.938356165</v>
      </c>
    </row>
    <row r="24" spans="1:5" x14ac:dyDescent="0.3">
      <c r="A24" s="7" t="str">
        <f>+Financials!H19</f>
        <v>Unrealized Gains / (Losses)</v>
      </c>
      <c r="B24" s="7">
        <f>-Financials!I19</f>
        <v>0</v>
      </c>
    </row>
    <row r="26" spans="1:5" x14ac:dyDescent="0.3">
      <c r="A26" t="s">
        <v>108</v>
      </c>
    </row>
    <row r="27" spans="1:5" x14ac:dyDescent="0.3">
      <c r="A27" t="s">
        <v>110</v>
      </c>
      <c r="B27" s="7">
        <f>+Financials!B7-Financials!M9</f>
        <v>0</v>
      </c>
    </row>
    <row r="28" spans="1:5" x14ac:dyDescent="0.3">
      <c r="A28" t="s">
        <v>42</v>
      </c>
      <c r="B28" s="7">
        <f>0-Financials!M11</f>
        <v>-1506944.4444444447</v>
      </c>
    </row>
    <row r="29" spans="1:5" x14ac:dyDescent="0.3">
      <c r="A29" t="s">
        <v>111</v>
      </c>
      <c r="B29" s="7">
        <f>-Financials!E7+Financials!P11</f>
        <v>18880796.183611095</v>
      </c>
    </row>
    <row r="30" spans="1:5" x14ac:dyDescent="0.3">
      <c r="A30" t="s">
        <v>196</v>
      </c>
      <c r="B30" s="7">
        <f>-Financials!E6+Financials!P8+Financials!P9</f>
        <v>-41000000</v>
      </c>
      <c r="E30" s="7"/>
    </row>
    <row r="32" spans="1:5" x14ac:dyDescent="0.3">
      <c r="A32" t="s">
        <v>96</v>
      </c>
      <c r="B32" s="7">
        <f>+B12</f>
        <v>-41000000</v>
      </c>
    </row>
    <row r="33" spans="1:6" x14ac:dyDescent="0.3">
      <c r="A33" t="s">
        <v>120</v>
      </c>
      <c r="B33" s="7">
        <f>+B13</f>
        <v>1100000</v>
      </c>
    </row>
    <row r="35" spans="1:6" ht="16.2" thickBot="1" x14ac:dyDescent="0.35">
      <c r="A35" t="s">
        <v>27</v>
      </c>
      <c r="B35" s="12">
        <f>SUM(B20:B34)</f>
        <v>33483142.717499986</v>
      </c>
      <c r="D35" s="7">
        <f>+B20+B12+B13+B38+B16</f>
        <v>35262309.384166665</v>
      </c>
    </row>
    <row r="36" spans="1:6" ht="16.2" thickTop="1" x14ac:dyDescent="0.3"/>
    <row r="37" spans="1:6" ht="16.2" thickBot="1" x14ac:dyDescent="0.35">
      <c r="A37" s="172" t="s">
        <v>155</v>
      </c>
      <c r="B37" s="172"/>
      <c r="C37" s="172"/>
      <c r="D37" s="172"/>
      <c r="E37" s="172"/>
      <c r="F37" s="172"/>
    </row>
    <row r="38" spans="1:6" x14ac:dyDescent="0.3">
      <c r="A38" s="111" t="s">
        <v>114</v>
      </c>
      <c r="B38" s="112">
        <f>+B44</f>
        <v>2382142.7175000003</v>
      </c>
    </row>
    <row r="39" spans="1:6" x14ac:dyDescent="0.3">
      <c r="A39" s="53"/>
      <c r="E39" s="135" t="s">
        <v>79</v>
      </c>
      <c r="F39" s="136"/>
    </row>
    <row r="40" spans="1:6" x14ac:dyDescent="0.3">
      <c r="A40" t="s">
        <v>1</v>
      </c>
      <c r="B40" s="1">
        <v>36705</v>
      </c>
      <c r="E40" s="1">
        <v>36692</v>
      </c>
      <c r="F40" s="48">
        <v>7.3999999999999996E-2</v>
      </c>
    </row>
    <row r="41" spans="1:6" x14ac:dyDescent="0.3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6" x14ac:dyDescent="0.3">
      <c r="A42" t="s">
        <v>1</v>
      </c>
      <c r="B42" s="1">
        <f>IF(Summary!$C$5&lt;'Cash-Int-Trans'!B40,+'Cash-Int-Trans'!B40,Summary!$C$5)</f>
        <v>36861</v>
      </c>
      <c r="E42" s="1">
        <v>36753</v>
      </c>
      <c r="F42" s="48">
        <v>7.2400000000000006E-2</v>
      </c>
    </row>
    <row r="43" spans="1:6" x14ac:dyDescent="0.3">
      <c r="A43" t="s">
        <v>78</v>
      </c>
      <c r="B43" s="3">
        <f>+B42-B40</f>
        <v>156</v>
      </c>
      <c r="E43" s="1">
        <v>36784</v>
      </c>
      <c r="F43" s="48">
        <v>7.1999999999999995E-2</v>
      </c>
    </row>
    <row r="44" spans="1:6" x14ac:dyDescent="0.3">
      <c r="A44" t="s">
        <v>26</v>
      </c>
      <c r="B44" s="54">
        <f>+B41*(F45+0.0045)/360*B43</f>
        <v>2382142.7175000003</v>
      </c>
      <c r="E44" s="1">
        <v>36814</v>
      </c>
      <c r="F44" s="48"/>
    </row>
    <row r="45" spans="1:6" x14ac:dyDescent="0.3">
      <c r="E45" s="51" t="s">
        <v>83</v>
      </c>
      <c r="F45" s="52">
        <f>AVERAGE(F40:F44)</f>
        <v>7.2925000000000004E-2</v>
      </c>
    </row>
    <row r="46" spans="1:6" ht="16.2" thickBot="1" x14ac:dyDescent="0.35">
      <c r="A46" s="172" t="s">
        <v>172</v>
      </c>
      <c r="B46" s="172"/>
      <c r="C46" s="172"/>
      <c r="D46" s="172"/>
      <c r="E46" s="172"/>
      <c r="F46" s="172"/>
    </row>
    <row r="47" spans="1:6" x14ac:dyDescent="0.3">
      <c r="A47" s="111" t="s">
        <v>169</v>
      </c>
      <c r="B47" s="112">
        <f>+B49+B56</f>
        <v>12147207.183611114</v>
      </c>
    </row>
    <row r="48" spans="1:6" x14ac:dyDescent="0.3">
      <c r="A48" s="53"/>
    </row>
    <row r="49" spans="1:6" x14ac:dyDescent="0.3">
      <c r="A49" t="s">
        <v>173</v>
      </c>
      <c r="B49" s="3">
        <f>+Amort!B61</f>
        <v>12055555.555555558</v>
      </c>
      <c r="E49" s="173"/>
      <c r="F49" s="174"/>
    </row>
    <row r="50" spans="1:6" x14ac:dyDescent="0.3">
      <c r="B50" s="3"/>
      <c r="E50" s="135"/>
      <c r="F50" s="136"/>
    </row>
    <row r="51" spans="1:6" x14ac:dyDescent="0.3">
      <c r="A51" t="s">
        <v>180</v>
      </c>
      <c r="B51" s="7"/>
      <c r="E51" s="47"/>
      <c r="F51" s="48"/>
    </row>
    <row r="52" spans="1:6" x14ac:dyDescent="0.3">
      <c r="A52" t="s">
        <v>174</v>
      </c>
      <c r="B52" s="1">
        <v>36791</v>
      </c>
      <c r="E52" s="47"/>
      <c r="F52" s="48"/>
    </row>
    <row r="53" spans="1:6" x14ac:dyDescent="0.3">
      <c r="A53" t="s">
        <v>175</v>
      </c>
      <c r="B53" s="3">
        <f>+B9</f>
        <v>6733589</v>
      </c>
      <c r="E53" s="47"/>
      <c r="F53" s="48"/>
    </row>
    <row r="54" spans="1:6" x14ac:dyDescent="0.3">
      <c r="A54" t="s">
        <v>1</v>
      </c>
      <c r="B54" s="1">
        <f>IF(+Summary!C5&gt;Amort!A43,Amort!A43,Summary!C5)</f>
        <v>36861</v>
      </c>
    </row>
    <row r="55" spans="1:6" x14ac:dyDescent="0.3">
      <c r="A55" t="s">
        <v>78</v>
      </c>
      <c r="B55" s="3">
        <f>+B54-B52</f>
        <v>70</v>
      </c>
    </row>
    <row r="56" spans="1:6" x14ac:dyDescent="0.3">
      <c r="A56" t="s">
        <v>179</v>
      </c>
      <c r="B56" s="54">
        <f>+B53*0.07/360*B55</f>
        <v>91651.628055555557</v>
      </c>
    </row>
    <row r="58" spans="1:6" ht="16.2" thickBot="1" x14ac:dyDescent="0.35">
      <c r="A58" s="172" t="s">
        <v>184</v>
      </c>
      <c r="B58" s="172"/>
      <c r="C58" s="172"/>
      <c r="D58" s="172"/>
      <c r="E58" s="172"/>
      <c r="F58" s="172"/>
    </row>
    <row r="60" spans="1:6" x14ac:dyDescent="0.3">
      <c r="A60" t="s">
        <v>124</v>
      </c>
      <c r="B60" s="1">
        <f>+Summary!C5</f>
        <v>36861</v>
      </c>
    </row>
    <row r="61" spans="1:6" x14ac:dyDescent="0.3">
      <c r="A61" t="s">
        <v>185</v>
      </c>
      <c r="B61" s="1">
        <v>36706</v>
      </c>
      <c r="D61" s="4">
        <f>IF(B60&gt;(B61-1),30000000,0)</f>
        <v>30000000</v>
      </c>
    </row>
    <row r="62" spans="1:6" x14ac:dyDescent="0.3">
      <c r="A62" t="s">
        <v>186</v>
      </c>
      <c r="B62" s="1">
        <v>36791</v>
      </c>
      <c r="D62" s="4">
        <f>IF(B60&gt;(B62-1),1100000,0)</f>
        <v>1100000</v>
      </c>
    </row>
    <row r="63" spans="1:6" ht="17.399999999999999" x14ac:dyDescent="0.45">
      <c r="A63" t="s">
        <v>187</v>
      </c>
      <c r="B63" s="1">
        <f>+Summary!C5</f>
        <v>36861</v>
      </c>
      <c r="D63" s="137">
        <f>IF(B63&gt;B62,+(+B63-B62)/365*0.12*D62,0)</f>
        <v>25315.06849315068</v>
      </c>
    </row>
    <row r="64" spans="1:6" x14ac:dyDescent="0.3">
      <c r="A64" t="s">
        <v>188</v>
      </c>
      <c r="D64" s="5">
        <f>SUM(D61:D63)</f>
        <v>31125315.06849315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workbookViewId="0">
      <selection activeCell="D11" sqref="D11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3">
      <c r="A1" s="6" t="s">
        <v>166</v>
      </c>
      <c r="B1" s="6"/>
      <c r="G1" s="8"/>
      <c r="H1" s="8"/>
    </row>
    <row r="2" spans="1:9" x14ac:dyDescent="0.3">
      <c r="B2" s="113" t="s">
        <v>156</v>
      </c>
    </row>
    <row r="3" spans="1:9" x14ac:dyDescent="0.3">
      <c r="A3" s="7" t="s">
        <v>20</v>
      </c>
      <c r="B3" s="114">
        <v>50000000</v>
      </c>
    </row>
    <row r="4" spans="1:9" x14ac:dyDescent="0.3">
      <c r="A4" s="7" t="s">
        <v>21</v>
      </c>
      <c r="B4" s="115">
        <v>7.0000000000000007E-2</v>
      </c>
    </row>
    <row r="5" spans="1:9" x14ac:dyDescent="0.3">
      <c r="A5" s="7" t="s">
        <v>22</v>
      </c>
      <c r="B5" s="116">
        <f>5*12</f>
        <v>60</v>
      </c>
    </row>
    <row r="6" spans="1:9" x14ac:dyDescent="0.3">
      <c r="A6" s="7" t="s">
        <v>23</v>
      </c>
      <c r="B6" s="117">
        <v>2</v>
      </c>
    </row>
    <row r="7" spans="1:9" x14ac:dyDescent="0.3">
      <c r="A7" s="7" t="s">
        <v>24</v>
      </c>
      <c r="B7" s="7">
        <v>0</v>
      </c>
    </row>
    <row r="9" spans="1:9" s="9" customFormat="1" ht="26.4" x14ac:dyDescent="0.25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170</v>
      </c>
    </row>
    <row r="10" spans="1:9" x14ac:dyDescent="0.3">
      <c r="A10" s="1">
        <v>36706</v>
      </c>
      <c r="B10" s="106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3">
      <c r="A11" s="1">
        <v>36889</v>
      </c>
      <c r="B11" s="106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3">
      <c r="A12" s="1">
        <v>37071</v>
      </c>
      <c r="B12" s="106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3">
      <c r="A13" s="1">
        <v>37254</v>
      </c>
      <c r="B13" s="106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3">
      <c r="A14" s="1">
        <v>37436</v>
      </c>
      <c r="B14" s="106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3">
      <c r="A15" s="1">
        <v>37619</v>
      </c>
      <c r="B15" s="106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3">
      <c r="A16" s="1">
        <v>37801</v>
      </c>
      <c r="B16" s="106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3">
      <c r="A17" s="1">
        <v>37984</v>
      </c>
      <c r="B17" s="106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3">
      <c r="A18" s="1">
        <v>38167</v>
      </c>
      <c r="B18" s="106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3">
      <c r="A19" s="1">
        <v>38350</v>
      </c>
      <c r="B19" s="106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3">
      <c r="A20" s="1">
        <v>38532</v>
      </c>
      <c r="B20" s="106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2" thickTop="1" x14ac:dyDescent="0.3">
      <c r="A22" s="118"/>
      <c r="B22" s="118"/>
    </row>
    <row r="23" spans="1:9" s="103" customFormat="1" x14ac:dyDescent="0.3">
      <c r="A23" s="175">
        <f>+Summary!C5</f>
        <v>36861</v>
      </c>
      <c r="B23" s="175"/>
      <c r="E23" s="103" t="s">
        <v>91</v>
      </c>
      <c r="F23" s="103">
        <f>VLOOKUP(+A23,Amort,2)</f>
        <v>0</v>
      </c>
    </row>
    <row r="24" spans="1:9" s="103" customFormat="1" x14ac:dyDescent="0.3">
      <c r="A24" s="103" t="s">
        <v>88</v>
      </c>
      <c r="B24" s="103">
        <v>0</v>
      </c>
      <c r="E24" s="103" t="s">
        <v>1</v>
      </c>
      <c r="F24" s="118">
        <f>VLOOKUP(+A23,Amort,1)</f>
        <v>36706</v>
      </c>
    </row>
    <row r="25" spans="1:9" s="103" customFormat="1" x14ac:dyDescent="0.3">
      <c r="A25" s="103" t="s">
        <v>89</v>
      </c>
      <c r="B25" s="131">
        <f>VLOOKUP(+A23,Note,8)</f>
        <v>0</v>
      </c>
      <c r="E25" s="103" t="s">
        <v>92</v>
      </c>
      <c r="F25" s="103">
        <f>VLOOKUP(+F23+1,NotePeriod,5)</f>
        <v>1779166.6666666667</v>
      </c>
    </row>
    <row r="26" spans="1:9" s="103" customFormat="1" x14ac:dyDescent="0.3">
      <c r="A26" s="118" t="s">
        <v>90</v>
      </c>
      <c r="B26" s="103">
        <f>+B24+B25</f>
        <v>0</v>
      </c>
      <c r="E26" s="103" t="s">
        <v>93</v>
      </c>
      <c r="F26" s="118">
        <f>VLOOKUP(+F23+1,NotePeriod,8)</f>
        <v>36889</v>
      </c>
    </row>
    <row r="27" spans="1:9" s="103" customFormat="1" x14ac:dyDescent="0.3">
      <c r="A27" s="118" t="s">
        <v>94</v>
      </c>
      <c r="B27" s="103">
        <f>A23-F24</f>
        <v>155</v>
      </c>
      <c r="E27" s="118"/>
    </row>
    <row r="28" spans="1:9" s="103" customFormat="1" x14ac:dyDescent="0.3">
      <c r="A28" s="118" t="s">
        <v>28</v>
      </c>
      <c r="B28" s="103">
        <f>F25*B27/(F26-F24)</f>
        <v>1506944.4444444447</v>
      </c>
    </row>
    <row r="29" spans="1:9" s="103" customFormat="1" x14ac:dyDescent="0.3">
      <c r="A29" s="118" t="s">
        <v>29</v>
      </c>
      <c r="B29" s="103">
        <f>+B25+B28</f>
        <v>1506944.4444444447</v>
      </c>
    </row>
    <row r="30" spans="1:9" s="103" customFormat="1" x14ac:dyDescent="0.3"/>
    <row r="31" spans="1:9" s="103" customFormat="1" x14ac:dyDescent="0.3"/>
    <row r="32" spans="1:9" s="103" customFormat="1" x14ac:dyDescent="0.3"/>
    <row r="33" spans="1:9" s="103" customFormat="1" x14ac:dyDescent="0.3"/>
    <row r="34" spans="1:9" s="103" customFormat="1" x14ac:dyDescent="0.3"/>
    <row r="35" spans="1:9" s="103" customFormat="1" x14ac:dyDescent="0.3">
      <c r="A35" s="6" t="s">
        <v>167</v>
      </c>
      <c r="B35" s="6"/>
      <c r="C35" s="7"/>
      <c r="D35" s="7"/>
      <c r="E35" s="7"/>
      <c r="F35" s="7"/>
      <c r="G35" s="8"/>
      <c r="H35" s="102"/>
    </row>
    <row r="36" spans="1:9" s="103" customFormat="1" x14ac:dyDescent="0.3">
      <c r="A36" s="7"/>
      <c r="B36" s="113" t="s">
        <v>156</v>
      </c>
      <c r="C36" s="7"/>
      <c r="D36" s="7"/>
      <c r="E36" s="7"/>
      <c r="F36" s="7"/>
      <c r="G36" s="7"/>
      <c r="H36" s="102"/>
    </row>
    <row r="37" spans="1:9" s="103" customFormat="1" x14ac:dyDescent="0.3">
      <c r="A37" s="7" t="s">
        <v>20</v>
      </c>
      <c r="B37" s="114">
        <v>400000000</v>
      </c>
      <c r="C37" s="7"/>
      <c r="D37" s="7"/>
      <c r="E37" s="7"/>
      <c r="F37" s="7"/>
      <c r="G37" s="7"/>
      <c r="H37" s="102"/>
    </row>
    <row r="38" spans="1:9" s="103" customFormat="1" x14ac:dyDescent="0.3">
      <c r="A38" s="7" t="s">
        <v>21</v>
      </c>
      <c r="B38" s="115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3">
      <c r="A39" s="7" t="s">
        <v>23</v>
      </c>
      <c r="B39" s="117">
        <v>2</v>
      </c>
      <c r="C39" s="7"/>
      <c r="D39" s="7"/>
      <c r="E39" s="7"/>
      <c r="F39" s="7"/>
      <c r="G39" s="7"/>
      <c r="H39" s="102"/>
    </row>
    <row r="40" spans="1:9" s="103" customFormat="1" x14ac:dyDescent="0.3">
      <c r="A40" s="7"/>
      <c r="B40" s="7"/>
      <c r="C40" s="7"/>
      <c r="D40" s="7"/>
      <c r="E40" s="7"/>
      <c r="F40" s="7"/>
      <c r="G40" s="7"/>
      <c r="H40" s="102"/>
    </row>
    <row r="41" spans="1:9" s="103" customFormat="1" ht="27" x14ac:dyDescent="0.3">
      <c r="A41" s="9"/>
      <c r="B41" s="11" t="s">
        <v>91</v>
      </c>
      <c r="C41" s="10" t="s">
        <v>25</v>
      </c>
      <c r="D41" s="10" t="s">
        <v>177</v>
      </c>
      <c r="E41" s="10" t="s">
        <v>20</v>
      </c>
      <c r="F41" s="10" t="s">
        <v>26</v>
      </c>
      <c r="G41" s="10" t="s">
        <v>27</v>
      </c>
      <c r="H41" s="10" t="s">
        <v>170</v>
      </c>
    </row>
    <row r="42" spans="1:9" s="103" customFormat="1" x14ac:dyDescent="0.3">
      <c r="A42" s="1">
        <v>36706</v>
      </c>
      <c r="B42" s="106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3">
      <c r="A43" s="1">
        <v>36889</v>
      </c>
      <c r="B43" s="106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3">
      <c r="A44" s="1">
        <v>37071</v>
      </c>
      <c r="B44" s="106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3">
      <c r="A45" s="1">
        <v>37254</v>
      </c>
      <c r="B45" s="106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3">
      <c r="A46" s="1">
        <v>37436</v>
      </c>
      <c r="B46" s="106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3">
      <c r="A47" s="1">
        <v>37619</v>
      </c>
      <c r="B47" s="106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3">
      <c r="A48" s="1">
        <v>37801</v>
      </c>
      <c r="B48" s="106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3">
      <c r="A49" s="1">
        <v>37984</v>
      </c>
      <c r="B49" s="106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3">
      <c r="A50" s="1">
        <v>38167</v>
      </c>
      <c r="B50" s="106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3">
      <c r="A51" s="1">
        <v>38350</v>
      </c>
      <c r="B51" s="106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3">
      <c r="A52" s="1">
        <v>38532</v>
      </c>
      <c r="B52" s="106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2" thickBot="1" x14ac:dyDescent="0.35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2" thickTop="1" x14ac:dyDescent="0.3">
      <c r="A54" s="118"/>
      <c r="B54" s="118"/>
    </row>
    <row r="55" spans="1:9" s="103" customFormat="1" x14ac:dyDescent="0.3">
      <c r="A55" s="175">
        <f>+Summary!C5</f>
        <v>36861</v>
      </c>
      <c r="B55" s="175"/>
      <c r="E55" s="103" t="s">
        <v>91</v>
      </c>
      <c r="F55" s="103">
        <f>VLOOKUP(+A55,Note,2)</f>
        <v>0</v>
      </c>
    </row>
    <row r="56" spans="1:9" x14ac:dyDescent="0.3">
      <c r="A56" s="103"/>
      <c r="B56" s="103"/>
      <c r="C56" s="103"/>
      <c r="D56" s="103"/>
      <c r="E56" s="103" t="s">
        <v>1</v>
      </c>
      <c r="F56" s="118">
        <f>VLOOKUP(+A55,Note,1)</f>
        <v>36706</v>
      </c>
      <c r="G56" s="103"/>
    </row>
    <row r="57" spans="1:9" x14ac:dyDescent="0.3">
      <c r="A57" s="103" t="s">
        <v>171</v>
      </c>
      <c r="B57" s="131">
        <f>VLOOKUP(+A55,Loan,8)</f>
        <v>0</v>
      </c>
      <c r="C57" s="103"/>
      <c r="D57" s="103"/>
      <c r="E57" s="103" t="s">
        <v>92</v>
      </c>
      <c r="F57" s="103">
        <f>VLOOKUP(+F55+1,LoanPeriod,5)</f>
        <v>14233333.333333334</v>
      </c>
      <c r="G57" s="103"/>
    </row>
    <row r="58" spans="1:9" x14ac:dyDescent="0.3">
      <c r="A58" s="118" t="s">
        <v>7</v>
      </c>
      <c r="B58" s="103">
        <f>+B56+B57</f>
        <v>0</v>
      </c>
      <c r="C58" s="103"/>
      <c r="D58" s="103"/>
      <c r="E58" s="103" t="s">
        <v>93</v>
      </c>
      <c r="F58" s="118">
        <f>VLOOKUP(+F55+1,NotePeriod,8)</f>
        <v>36889</v>
      </c>
      <c r="G58" s="103"/>
    </row>
    <row r="59" spans="1:9" x14ac:dyDescent="0.3">
      <c r="A59" s="118" t="s">
        <v>94</v>
      </c>
      <c r="B59" s="103">
        <f>A55-F56</f>
        <v>155</v>
      </c>
      <c r="C59" s="103"/>
      <c r="D59" s="103"/>
      <c r="E59" s="118"/>
      <c r="F59" s="103"/>
      <c r="G59" s="103"/>
    </row>
    <row r="60" spans="1:9" x14ac:dyDescent="0.3">
      <c r="A60" s="118" t="s">
        <v>168</v>
      </c>
      <c r="B60" s="103">
        <f>F57*B59/(F58-F56)</f>
        <v>12055555.555555558</v>
      </c>
      <c r="C60" s="103"/>
      <c r="D60" s="103"/>
      <c r="E60" s="103"/>
      <c r="F60" s="103"/>
      <c r="G60" s="103"/>
    </row>
    <row r="61" spans="1:9" x14ac:dyDescent="0.3">
      <c r="A61" s="118" t="s">
        <v>169</v>
      </c>
      <c r="B61" s="103">
        <f>+B57+B60</f>
        <v>12055555.555555558</v>
      </c>
      <c r="C61" s="103"/>
      <c r="D61" s="103"/>
      <c r="E61" s="103"/>
      <c r="F61" s="103"/>
      <c r="G61" s="103"/>
    </row>
    <row r="63" spans="1:9" x14ac:dyDescent="0.3">
      <c r="A63" s="7" t="s">
        <v>181</v>
      </c>
    </row>
    <row r="64" spans="1:9" x14ac:dyDescent="0.3">
      <c r="A64" s="1">
        <f>+'Cash-Int-Trans'!B52</f>
        <v>36791</v>
      </c>
      <c r="B64" s="7" t="s">
        <v>178</v>
      </c>
      <c r="E64" s="7">
        <f>+'Cash-Int-Trans'!B53</f>
        <v>6733589</v>
      </c>
    </row>
    <row r="65" spans="1:5" x14ac:dyDescent="0.3">
      <c r="A65" s="1">
        <f>+A64</f>
        <v>36791</v>
      </c>
      <c r="B65" s="7" t="s">
        <v>182</v>
      </c>
      <c r="C65" s="1"/>
      <c r="D65" s="1">
        <f>+'Cash-Int-Trans'!B54</f>
        <v>36861</v>
      </c>
      <c r="E65" s="155">
        <f>+'Cash-Int-Trans'!B56</f>
        <v>91651.628055555557</v>
      </c>
    </row>
    <row r="66" spans="1:5" x14ac:dyDescent="0.3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Summary</vt:lpstr>
      <vt:lpstr>Daily Position</vt:lpstr>
      <vt:lpstr>Stock Prices</vt:lpstr>
      <vt:lpstr>Financials</vt:lpstr>
      <vt:lpstr>Cash-Int-Trans</vt:lpstr>
      <vt:lpstr>Amort</vt:lpstr>
      <vt:lpstr>Amort</vt:lpstr>
      <vt:lpstr>ene</vt:lpstr>
      <vt:lpstr>Loan</vt:lpstr>
      <vt:lpstr>LoanPeriod</vt:lpstr>
      <vt:lpstr>Note</vt:lpstr>
      <vt:lpstr>NotePeriod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2000-11-07T19:45:10Z</cp:lastPrinted>
  <dcterms:created xsi:type="dcterms:W3CDTF">2000-08-10T21:11:42Z</dcterms:created>
  <dcterms:modified xsi:type="dcterms:W3CDTF">2023-09-10T15:59:03Z</dcterms:modified>
</cp:coreProperties>
</file>