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<sst xmlns="http://schemas.openxmlformats.org/spreadsheetml/2006/main" count="285" uniqueCount="211">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</sst>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4" t="s">
        <v>199</v>
      </c>
      <c r="C2" s="154"/>
      <c r="D2" s="154"/>
      <c r="E2" s="1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36889</v>
      </c>
      <c r="D5" s="67" t="s">
        <v>18</v>
      </c>
      <c r="E5" s="68">
        <f>+C5-1</f>
        <v>36888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IF(+Financials!P27=0,"No Capacity Available",+Financials!P27)</f>
        <v>104045800.51660599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313782432.59905553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0" customWidth="1"/>
    <col min="3" max="3" width="10.8984375" style="150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5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3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3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3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3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3">
      <c r="A7" t="s">
        <v>198</v>
      </c>
    </row>
    <row r="8" spans="1:19" ht="16.2" thickBot="1" x14ac:dyDescent="0.35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6"/>
    </row>
    <row r="12" spans="1:19" x14ac:dyDescent="0.3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54" activePane="bottomLeft" state="frozen"/>
      <selection pane="bottomLeft" activeCell="A75" sqref="A75:B75"/>
    </sheetView>
  </sheetViews>
  <sheetFormatPr defaultRowHeight="15.6" x14ac:dyDescent="0.3"/>
  <cols>
    <col min="1" max="1" width="10" style="1" bestFit="1" customWidth="1"/>
    <col min="2" max="2" width="9.69921875" style="126" bestFit="1" customWidth="1"/>
  </cols>
  <sheetData>
    <row r="1" spans="1:2" x14ac:dyDescent="0.3">
      <c r="A1" s="146" t="s">
        <v>156</v>
      </c>
      <c r="B1" s="123"/>
    </row>
    <row r="2" spans="1:2" x14ac:dyDescent="0.3">
      <c r="B2" s="124"/>
    </row>
    <row r="3" spans="1:2" x14ac:dyDescent="0.3">
      <c r="A3" s="159" t="s">
        <v>4</v>
      </c>
      <c r="B3" s="160"/>
    </row>
    <row r="4" spans="1:2" x14ac:dyDescent="0.3">
      <c r="A4" s="147" t="s">
        <v>1</v>
      </c>
      <c r="B4" s="125" t="s">
        <v>12</v>
      </c>
    </row>
    <row r="5" spans="1:2" x14ac:dyDescent="0.3">
      <c r="A5" s="1">
        <v>36789</v>
      </c>
      <c r="B5" s="126">
        <v>82.171999999999997</v>
      </c>
    </row>
    <row r="6" spans="1:2" x14ac:dyDescent="0.3">
      <c r="A6" s="1">
        <v>36790</v>
      </c>
      <c r="B6" s="126">
        <v>80.75</v>
      </c>
    </row>
    <row r="7" spans="1:2" x14ac:dyDescent="0.3">
      <c r="A7" s="1">
        <v>36791</v>
      </c>
      <c r="B7" s="126">
        <v>83</v>
      </c>
    </row>
    <row r="8" spans="1:2" x14ac:dyDescent="0.3">
      <c r="A8" s="1">
        <v>36794</v>
      </c>
      <c r="B8" s="126">
        <v>84.438000000000002</v>
      </c>
    </row>
    <row r="9" spans="1:2" x14ac:dyDescent="0.3">
      <c r="A9" s="1">
        <v>36795</v>
      </c>
      <c r="B9" s="126">
        <v>85.5</v>
      </c>
    </row>
    <row r="10" spans="1:2" x14ac:dyDescent="0.3">
      <c r="A10" s="1">
        <v>36796</v>
      </c>
      <c r="B10" s="126">
        <v>87.453000000000003</v>
      </c>
    </row>
    <row r="11" spans="1:2" x14ac:dyDescent="0.3">
      <c r="A11" s="1">
        <v>36797</v>
      </c>
      <c r="B11" s="126">
        <v>89.25</v>
      </c>
    </row>
    <row r="12" spans="1:2" x14ac:dyDescent="0.3">
      <c r="A12" s="1">
        <v>36798</v>
      </c>
      <c r="B12" s="126">
        <v>87.641000000000005</v>
      </c>
    </row>
    <row r="13" spans="1:2" x14ac:dyDescent="0.3">
      <c r="A13" s="1">
        <v>36801</v>
      </c>
      <c r="B13" s="126">
        <v>86.438000000000002</v>
      </c>
    </row>
    <row r="14" spans="1:2" x14ac:dyDescent="0.3">
      <c r="A14" s="1">
        <v>36802</v>
      </c>
      <c r="B14" s="126">
        <v>85.563000000000002</v>
      </c>
    </row>
    <row r="15" spans="1:2" x14ac:dyDescent="0.3">
      <c r="A15" s="1">
        <v>36803</v>
      </c>
      <c r="B15" s="126">
        <v>83.063000000000002</v>
      </c>
    </row>
    <row r="16" spans="1:2" x14ac:dyDescent="0.3">
      <c r="A16" s="1">
        <v>36804</v>
      </c>
      <c r="B16" s="126">
        <v>83</v>
      </c>
    </row>
    <row r="17" spans="1:2" x14ac:dyDescent="0.3">
      <c r="A17" s="1">
        <v>36805</v>
      </c>
      <c r="B17" s="126">
        <v>81.625</v>
      </c>
    </row>
    <row r="18" spans="1:2" x14ac:dyDescent="0.3">
      <c r="A18" s="1">
        <v>36808</v>
      </c>
      <c r="B18" s="126">
        <v>83</v>
      </c>
    </row>
    <row r="19" spans="1:2" x14ac:dyDescent="0.3">
      <c r="A19" s="1">
        <v>36809</v>
      </c>
      <c r="B19" s="126">
        <v>81.688000000000002</v>
      </c>
    </row>
    <row r="20" spans="1:2" x14ac:dyDescent="0.3">
      <c r="A20" s="1">
        <v>36810</v>
      </c>
      <c r="B20" s="126">
        <v>82.813000000000002</v>
      </c>
    </row>
    <row r="21" spans="1:2" x14ac:dyDescent="0.3">
      <c r="A21" s="1">
        <v>36811</v>
      </c>
      <c r="B21" s="126">
        <v>79.875</v>
      </c>
    </row>
    <row r="22" spans="1:2" x14ac:dyDescent="0.3">
      <c r="A22" s="1">
        <v>36812</v>
      </c>
      <c r="B22" s="126">
        <v>79.5</v>
      </c>
    </row>
    <row r="23" spans="1:2" x14ac:dyDescent="0.3">
      <c r="A23" s="145">
        <v>36815</v>
      </c>
      <c r="B23" s="126">
        <v>80</v>
      </c>
    </row>
    <row r="24" spans="1:2" x14ac:dyDescent="0.3">
      <c r="A24" s="145">
        <v>36816</v>
      </c>
      <c r="B24" s="126">
        <v>79.188000000000002</v>
      </c>
    </row>
    <row r="25" spans="1:2" x14ac:dyDescent="0.3">
      <c r="A25" s="145">
        <v>36817</v>
      </c>
      <c r="B25" s="126">
        <v>78.75</v>
      </c>
    </row>
    <row r="26" spans="1:2" x14ac:dyDescent="0.3">
      <c r="A26" s="145">
        <v>36818</v>
      </c>
      <c r="B26" s="126">
        <v>79</v>
      </c>
    </row>
    <row r="27" spans="1:2" x14ac:dyDescent="0.3">
      <c r="A27" s="145">
        <v>36819</v>
      </c>
      <c r="B27" s="126">
        <v>80.5</v>
      </c>
    </row>
    <row r="28" spans="1:2" x14ac:dyDescent="0.3">
      <c r="A28" s="145">
        <v>36822</v>
      </c>
      <c r="B28" s="126">
        <v>82</v>
      </c>
    </row>
    <row r="29" spans="1:2" x14ac:dyDescent="0.3">
      <c r="A29" s="145">
        <v>36823</v>
      </c>
      <c r="B29" s="126">
        <v>80.1875</v>
      </c>
    </row>
    <row r="30" spans="1:2" x14ac:dyDescent="0.3">
      <c r="A30" s="145">
        <v>36824</v>
      </c>
      <c r="B30" s="126">
        <v>76.125</v>
      </c>
    </row>
    <row r="31" spans="1:2" x14ac:dyDescent="0.3">
      <c r="A31" s="145">
        <v>36825</v>
      </c>
      <c r="B31" s="126">
        <v>77.5</v>
      </c>
    </row>
    <row r="32" spans="1:2" x14ac:dyDescent="0.3">
      <c r="A32" s="145">
        <v>36826</v>
      </c>
      <c r="B32" s="126">
        <v>78.875</v>
      </c>
    </row>
    <row r="33" spans="1:2" x14ac:dyDescent="0.3">
      <c r="A33" s="145">
        <v>36829</v>
      </c>
      <c r="B33" s="126">
        <v>80.688000000000002</v>
      </c>
    </row>
    <row r="34" spans="1:2" x14ac:dyDescent="0.3">
      <c r="A34" s="145">
        <v>36830</v>
      </c>
      <c r="B34" s="126">
        <v>82.063000000000002</v>
      </c>
    </row>
    <row r="35" spans="1:2" x14ac:dyDescent="0.3">
      <c r="A35" s="145">
        <v>36831</v>
      </c>
      <c r="B35" s="126">
        <v>83.25</v>
      </c>
    </row>
    <row r="36" spans="1:2" x14ac:dyDescent="0.3">
      <c r="A36" s="145">
        <v>36832</v>
      </c>
      <c r="B36" s="126">
        <v>81.75</v>
      </c>
    </row>
    <row r="37" spans="1:2" x14ac:dyDescent="0.3">
      <c r="A37" s="145">
        <v>36833</v>
      </c>
      <c r="B37" s="126">
        <v>77.375</v>
      </c>
    </row>
    <row r="38" spans="1:2" x14ac:dyDescent="0.3">
      <c r="A38" s="145">
        <v>36836</v>
      </c>
      <c r="B38" s="126">
        <v>81.563000000000002</v>
      </c>
    </row>
    <row r="39" spans="1:2" x14ac:dyDescent="0.3">
      <c r="A39" s="145">
        <v>36837</v>
      </c>
      <c r="B39" s="126">
        <v>81.813000000000002</v>
      </c>
    </row>
    <row r="40" spans="1:2" x14ac:dyDescent="0.3">
      <c r="A40" s="145">
        <v>36838</v>
      </c>
      <c r="B40" s="126">
        <v>82.125</v>
      </c>
    </row>
    <row r="41" spans="1:2" x14ac:dyDescent="0.3">
      <c r="A41" s="145">
        <v>36839</v>
      </c>
      <c r="B41" s="126">
        <v>82.938000000000002</v>
      </c>
    </row>
    <row r="42" spans="1:2" x14ac:dyDescent="0.3">
      <c r="A42" s="145">
        <v>36840</v>
      </c>
      <c r="B42" s="126">
        <f>82+0.9375</f>
        <v>82.9375</v>
      </c>
    </row>
    <row r="43" spans="1:2" x14ac:dyDescent="0.3">
      <c r="A43" s="145">
        <v>36843</v>
      </c>
      <c r="B43" s="126">
        <v>79.438000000000002</v>
      </c>
    </row>
    <row r="44" spans="1:2" x14ac:dyDescent="0.3">
      <c r="A44" s="145">
        <v>36844</v>
      </c>
      <c r="B44" s="126">
        <v>79.563000000000002</v>
      </c>
    </row>
    <row r="45" spans="1:2" x14ac:dyDescent="0.3">
      <c r="A45" s="145">
        <v>36845</v>
      </c>
      <c r="B45" s="126">
        <v>80.375</v>
      </c>
    </row>
    <row r="46" spans="1:2" x14ac:dyDescent="0.3">
      <c r="A46" s="145">
        <v>36846</v>
      </c>
      <c r="B46" s="126">
        <v>81.25</v>
      </c>
    </row>
    <row r="47" spans="1:2" x14ac:dyDescent="0.3">
      <c r="A47" s="145">
        <v>36847</v>
      </c>
      <c r="B47" s="126">
        <v>81.5</v>
      </c>
    </row>
    <row r="48" spans="1:2" x14ac:dyDescent="0.3">
      <c r="A48" s="145">
        <v>36850</v>
      </c>
      <c r="B48" s="126">
        <v>80.25</v>
      </c>
    </row>
    <row r="49" spans="1:2" x14ac:dyDescent="0.3">
      <c r="A49" s="145">
        <v>36851</v>
      </c>
      <c r="B49" s="126">
        <v>80.375</v>
      </c>
    </row>
    <row r="50" spans="1:2" x14ac:dyDescent="0.3">
      <c r="A50" s="145">
        <v>36852</v>
      </c>
      <c r="B50" s="126">
        <v>75.563000000000002</v>
      </c>
    </row>
    <row r="51" spans="1:2" x14ac:dyDescent="0.3">
      <c r="A51" s="145">
        <v>36854</v>
      </c>
      <c r="B51" s="126">
        <v>77.75</v>
      </c>
    </row>
    <row r="52" spans="1:2" x14ac:dyDescent="0.3">
      <c r="A52" s="145">
        <v>36857</v>
      </c>
      <c r="B52" s="126">
        <v>78.875</v>
      </c>
    </row>
    <row r="53" spans="1:2" x14ac:dyDescent="0.3">
      <c r="A53" s="145">
        <v>36858</v>
      </c>
      <c r="B53" s="126">
        <v>78.438000000000002</v>
      </c>
    </row>
    <row r="54" spans="1:2" x14ac:dyDescent="0.3">
      <c r="A54" s="145">
        <v>36859</v>
      </c>
      <c r="B54" s="126">
        <v>70.25</v>
      </c>
    </row>
    <row r="55" spans="1:2" x14ac:dyDescent="0.3">
      <c r="A55" s="145">
        <v>36860</v>
      </c>
      <c r="B55" s="126">
        <v>64.75</v>
      </c>
    </row>
    <row r="56" spans="1:2" x14ac:dyDescent="0.3">
      <c r="A56" s="145">
        <v>36861</v>
      </c>
      <c r="B56" s="126">
        <v>65.5</v>
      </c>
    </row>
    <row r="57" spans="1:2" x14ac:dyDescent="0.3">
      <c r="A57" s="145">
        <v>36864</v>
      </c>
      <c r="B57" s="126">
        <v>65.938000000000002</v>
      </c>
    </row>
    <row r="58" spans="1:2" x14ac:dyDescent="0.3">
      <c r="A58" s="145">
        <v>36865</v>
      </c>
      <c r="B58" s="126">
        <v>68.25</v>
      </c>
    </row>
    <row r="59" spans="1:2" x14ac:dyDescent="0.3">
      <c r="A59" s="145">
        <v>36866</v>
      </c>
      <c r="B59" s="126">
        <v>71.938000000000002</v>
      </c>
    </row>
    <row r="60" spans="1:2" x14ac:dyDescent="0.3">
      <c r="A60" s="145">
        <v>36867</v>
      </c>
      <c r="B60" s="126">
        <v>72.875</v>
      </c>
    </row>
    <row r="61" spans="1:2" x14ac:dyDescent="0.3">
      <c r="A61" s="145">
        <v>36868</v>
      </c>
      <c r="B61" s="126">
        <v>73.063000000000002</v>
      </c>
    </row>
    <row r="62" spans="1:2" x14ac:dyDescent="0.3">
      <c r="A62" s="145">
        <v>36871</v>
      </c>
      <c r="B62" s="126">
        <v>76.5</v>
      </c>
    </row>
    <row r="63" spans="1:2" x14ac:dyDescent="0.3">
      <c r="A63" s="145">
        <v>36872</v>
      </c>
      <c r="B63" s="126">
        <v>77.188000000000002</v>
      </c>
    </row>
    <row r="64" spans="1:2" x14ac:dyDescent="0.3">
      <c r="A64" s="145">
        <v>36873</v>
      </c>
      <c r="B64" s="126">
        <v>74.5</v>
      </c>
    </row>
    <row r="65" spans="1:2" x14ac:dyDescent="0.3">
      <c r="A65" s="145">
        <v>36874</v>
      </c>
      <c r="B65" s="126">
        <v>76.5</v>
      </c>
    </row>
    <row r="66" spans="1:2" x14ac:dyDescent="0.3">
      <c r="A66" s="145">
        <v>36875</v>
      </c>
      <c r="B66" s="126">
        <v>77.563000000000002</v>
      </c>
    </row>
    <row r="67" spans="1:2" x14ac:dyDescent="0.3">
      <c r="A67" s="145">
        <v>36878</v>
      </c>
      <c r="B67" s="126">
        <v>79.563000000000002</v>
      </c>
    </row>
    <row r="68" spans="1:2" x14ac:dyDescent="0.3">
      <c r="A68" s="145">
        <v>36879</v>
      </c>
      <c r="B68" s="126">
        <v>79.75</v>
      </c>
    </row>
    <row r="69" spans="1:2" x14ac:dyDescent="0.3">
      <c r="A69" s="145">
        <v>36880</v>
      </c>
      <c r="B69" s="126">
        <v>79.75</v>
      </c>
    </row>
    <row r="70" spans="1:2" x14ac:dyDescent="0.3">
      <c r="A70" s="145">
        <v>36881</v>
      </c>
      <c r="B70" s="126">
        <v>79.313000000000002</v>
      </c>
    </row>
    <row r="71" spans="1:2" x14ac:dyDescent="0.3">
      <c r="A71" s="145">
        <v>36882</v>
      </c>
      <c r="B71" s="126">
        <v>81.188000000000002</v>
      </c>
    </row>
    <row r="72" spans="1:2" x14ac:dyDescent="0.3">
      <c r="A72" s="145">
        <v>36886</v>
      </c>
      <c r="B72" s="126">
        <v>83.5</v>
      </c>
    </row>
    <row r="73" spans="1:2" x14ac:dyDescent="0.3">
      <c r="A73" s="145">
        <v>36887</v>
      </c>
      <c r="B73" s="126">
        <v>82.813000000000002</v>
      </c>
    </row>
    <row r="74" spans="1:2" x14ac:dyDescent="0.3">
      <c r="A74" s="145">
        <v>36888</v>
      </c>
      <c r="B74" s="126">
        <v>84.625</v>
      </c>
    </row>
    <row r="75" spans="1:2" x14ac:dyDescent="0.3">
      <c r="A75" s="145">
        <v>36889</v>
      </c>
      <c r="B75" s="126">
        <v>83.125</v>
      </c>
    </row>
    <row r="223" ht="14.25" customHeight="1" x14ac:dyDescent="0.3"/>
    <row r="340" spans="1:2" x14ac:dyDescent="0.3">
      <c r="A340" s="1" t="s">
        <v>162</v>
      </c>
    </row>
    <row r="342" spans="1:2" x14ac:dyDescent="0.3">
      <c r="A342" s="145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/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200</v>
      </c>
      <c r="H2" s="168">
        <f>+Summary!C5</f>
        <v>36889</v>
      </c>
      <c r="I2" s="168"/>
      <c r="J2" s="96"/>
      <c r="L2" s="168">
        <f>H2</f>
        <v>36889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1" t="s">
        <v>201</v>
      </c>
      <c r="B4" s="161"/>
      <c r="C4" s="161"/>
      <c r="D4" s="161"/>
      <c r="E4" s="161"/>
      <c r="F4" s="161"/>
      <c r="H4" s="117" t="s">
        <v>98</v>
      </c>
      <c r="I4" s="118"/>
      <c r="J4" s="13"/>
    </row>
    <row r="5" spans="1:18" ht="16.2" thickBot="1" x14ac:dyDescent="0.35">
      <c r="A5" s="162" t="s">
        <v>30</v>
      </c>
      <c r="B5" s="162"/>
      <c r="D5" s="162" t="s">
        <v>31</v>
      </c>
      <c r="E5" s="162"/>
      <c r="H5" s="119" t="s">
        <v>99</v>
      </c>
      <c r="I5" s="127">
        <f>+VLOOKUP(+Summary!C5,ene,2)</f>
        <v>83.125</v>
      </c>
      <c r="J5" s="13"/>
      <c r="L5" s="161" t="s">
        <v>119</v>
      </c>
      <c r="M5" s="161"/>
      <c r="N5" s="161"/>
      <c r="O5" s="161"/>
      <c r="P5" s="161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36889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2" t="s">
        <v>30</v>
      </c>
      <c r="M7" s="162"/>
      <c r="O7" s="162" t="s">
        <v>31</v>
      </c>
      <c r="P7" s="162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35689873.461666659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381239196.74657536</v>
      </c>
      <c r="N10" s="18"/>
      <c r="O10" s="7" t="s">
        <v>117</v>
      </c>
      <c r="P10" s="7">
        <f>IF(I20&gt;0,0,-I20)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36889</v>
      </c>
      <c r="J11" s="13"/>
      <c r="L11" s="7" t="s">
        <v>42</v>
      </c>
      <c r="M11" s="7">
        <f>+Amort!B28</f>
        <v>0</v>
      </c>
      <c r="O11" s="7" t="s">
        <v>210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421095234.61261111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2809706.7950000004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31135441.09589041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1779166.6666666667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14698394.499740481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31239196.746575341</v>
      </c>
      <c r="J15" s="33" t="s">
        <v>56</v>
      </c>
      <c r="L15" s="91" t="s">
        <v>7</v>
      </c>
      <c r="M15" s="12">
        <f>SUM(M8:M14)</f>
        <v>466929070.208242</v>
      </c>
      <c r="N15" s="20"/>
      <c r="O15" s="91" t="s">
        <v>7</v>
      </c>
      <c r="P15" s="12">
        <f>SUM(P8:P14)</f>
        <v>466929070.208242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-14361645.612611111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55732835.595630884</v>
      </c>
      <c r="L17" s="140" t="s">
        <v>47</v>
      </c>
      <c r="M17" s="139"/>
      <c r="N17" s="139"/>
      <c r="O17" s="139"/>
      <c r="P17" s="139"/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466929070.208242</v>
      </c>
      <c r="Q18" s="106" t="s">
        <v>150</v>
      </c>
    </row>
    <row r="19" spans="1:20" ht="16.2" thickTop="1" x14ac:dyDescent="0.3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2" thickBot="1" x14ac:dyDescent="0.35">
      <c r="A20" s="163" t="s">
        <v>59</v>
      </c>
      <c r="B20" s="163"/>
      <c r="C20" s="163"/>
      <c r="D20" s="163"/>
      <c r="E20" s="163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926929070.20824194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55732835.595630884</v>
      </c>
      <c r="J23" s="39" t="s">
        <v>63</v>
      </c>
      <c r="K23" s="7"/>
      <c r="L23" s="7" t="s">
        <v>54</v>
      </c>
      <c r="P23" s="7">
        <f>P21*P22</f>
        <v>27993257.920288909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31135441.09589041</v>
      </c>
      <c r="Q24" s="107" t="s">
        <v>151</v>
      </c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3142183.175601501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104045800.51660599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207</v>
      </c>
      <c r="I31" s="16">
        <f>I23</f>
        <v>55732835.595630884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208</v>
      </c>
      <c r="I32" s="16">
        <f>(D14+D15)*(I5-E15)</f>
        <v>112265731.25</v>
      </c>
      <c r="J32" s="39"/>
      <c r="L32" s="7" t="s">
        <v>72</v>
      </c>
      <c r="M32" s="27">
        <f>E10</f>
        <v>1000</v>
      </c>
    </row>
    <row r="33" spans="1:14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3">
      <c r="A34" s="49">
        <f>+Summary!C5</f>
        <v>36889</v>
      </c>
      <c r="B34" s="13" t="s">
        <v>81</v>
      </c>
      <c r="C34"/>
      <c r="H34" s="13" t="s">
        <v>145</v>
      </c>
      <c r="I34" s="16">
        <f>-I15</f>
        <v>-31239196.746575341</v>
      </c>
      <c r="J34" s="33" t="s">
        <v>56</v>
      </c>
      <c r="L34" s="7" t="s">
        <v>75</v>
      </c>
      <c r="M34" s="7">
        <f>I23</f>
        <v>55732835.595630884</v>
      </c>
    </row>
    <row r="35" spans="1:14" ht="16.2" thickBot="1" x14ac:dyDescent="0.35">
      <c r="A35" s="50">
        <f>A34-A33</f>
        <v>183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2" thickBot="1" x14ac:dyDescent="0.35">
      <c r="A36"/>
      <c r="B36"/>
      <c r="C36"/>
      <c r="H36" s="37" t="s">
        <v>103</v>
      </c>
      <c r="I36" s="38">
        <f>SUM(I29:I35)</f>
        <v>313782432.59905553</v>
      </c>
      <c r="J36" s="13"/>
      <c r="L36" s="7" t="s">
        <v>77</v>
      </c>
      <c r="M36" s="7">
        <f>SUM(M33:M35)</f>
        <v>45833835.595630884</v>
      </c>
    </row>
    <row r="37" spans="1:14" ht="16.5" customHeight="1" thickTop="1" x14ac:dyDescent="0.3">
      <c r="A37"/>
      <c r="B37"/>
      <c r="C37"/>
      <c r="D37"/>
      <c r="E37"/>
      <c r="H37" s="7" t="s">
        <v>205</v>
      </c>
      <c r="L37" s="7" t="s">
        <v>152</v>
      </c>
      <c r="M37" s="7">
        <f>P13</f>
        <v>31135441.09589041</v>
      </c>
    </row>
    <row r="38" spans="1:14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14698394.499740481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workbookViewId="0">
      <selection activeCell="D48" sqref="D4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0" t="s">
        <v>109</v>
      </c>
      <c r="B1" s="170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2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194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197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196</v>
      </c>
      <c r="B16" s="14">
        <f>-B15</f>
        <v>1779166.6666666667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170" t="s">
        <v>104</v>
      </c>
      <c r="B18" s="170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55732835.595630884</v>
      </c>
    </row>
    <row r="23" spans="1:5" x14ac:dyDescent="0.3">
      <c r="A23" t="s">
        <v>106</v>
      </c>
      <c r="B23" s="7">
        <f>-Financials!I15</f>
        <v>-31239196.746575341</v>
      </c>
    </row>
    <row r="24" spans="1:5" x14ac:dyDescent="0.3">
      <c r="A24" s="7" t="str">
        <f>+Financials!H20</f>
        <v>Unrealized Gains / (Losses)</v>
      </c>
      <c r="B24" s="7">
        <f>-Financials!I20-Financials!I19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0</v>
      </c>
    </row>
    <row r="29" spans="1:5" x14ac:dyDescent="0.3">
      <c r="A29" t="s">
        <v>111</v>
      </c>
      <c r="B29" s="7">
        <f>-Financials!E7+Financials!P12</f>
        <v>21095234.612611115</v>
      </c>
    </row>
    <row r="30" spans="1:5" x14ac:dyDescent="0.3">
      <c r="A30" t="s">
        <v>195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35689873.461666659</v>
      </c>
      <c r="D35" s="7">
        <f>+B20+B12+B13+B38+B16</f>
        <v>35689873.461666666</v>
      </c>
      <c r="E35" s="7"/>
    </row>
    <row r="36" spans="1:6" ht="16.2" thickTop="1" x14ac:dyDescent="0.3"/>
    <row r="37" spans="1:6" ht="16.2" thickBot="1" x14ac:dyDescent="0.35">
      <c r="A37" s="170" t="s">
        <v>154</v>
      </c>
      <c r="B37" s="170"/>
      <c r="C37" s="170"/>
      <c r="D37" s="170"/>
      <c r="E37" s="170"/>
      <c r="F37" s="170"/>
    </row>
    <row r="38" spans="1:6" x14ac:dyDescent="0.3">
      <c r="A38" s="109" t="s">
        <v>114</v>
      </c>
      <c r="B38" s="110">
        <f>+B44</f>
        <v>2809706.7950000004</v>
      </c>
    </row>
    <row r="39" spans="1:6" x14ac:dyDescent="0.3">
      <c r="A39" s="53"/>
      <c r="E39" s="133" t="s">
        <v>79</v>
      </c>
      <c r="F39" s="134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36889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184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2809706.7950000004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0" t="s">
        <v>171</v>
      </c>
      <c r="B46" s="170"/>
      <c r="C46" s="170"/>
      <c r="D46" s="170"/>
      <c r="E46" s="170"/>
      <c r="F46" s="170"/>
    </row>
    <row r="47" spans="1:6" x14ac:dyDescent="0.3">
      <c r="A47" s="109" t="s">
        <v>168</v>
      </c>
      <c r="B47" s="110">
        <f>+B49+B56</f>
        <v>14361645.612611111</v>
      </c>
    </row>
    <row r="48" spans="1:6" x14ac:dyDescent="0.3">
      <c r="A48" s="53"/>
    </row>
    <row r="49" spans="1:6" x14ac:dyDescent="0.3">
      <c r="A49" t="s">
        <v>172</v>
      </c>
      <c r="B49" s="3">
        <f>+Amort!B61</f>
        <v>14233333.333333334</v>
      </c>
      <c r="E49" s="171"/>
      <c r="F49" s="172"/>
    </row>
    <row r="50" spans="1:6" x14ac:dyDescent="0.3">
      <c r="B50" s="3"/>
      <c r="E50" s="133"/>
      <c r="F50" s="134"/>
    </row>
    <row r="51" spans="1:6" x14ac:dyDescent="0.3">
      <c r="A51" t="s">
        <v>179</v>
      </c>
      <c r="B51" s="7"/>
      <c r="E51" s="47"/>
      <c r="F51" s="48"/>
    </row>
    <row r="52" spans="1:6" x14ac:dyDescent="0.3">
      <c r="A52" t="s">
        <v>173</v>
      </c>
      <c r="B52" s="1">
        <v>36791</v>
      </c>
      <c r="E52" s="47"/>
      <c r="F52" s="48"/>
    </row>
    <row r="53" spans="1:6" x14ac:dyDescent="0.3">
      <c r="A53" t="s">
        <v>174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36889</v>
      </c>
    </row>
    <row r="55" spans="1:6" x14ac:dyDescent="0.3">
      <c r="A55" t="s">
        <v>78</v>
      </c>
      <c r="B55" s="3">
        <f>+B54-B52</f>
        <v>98</v>
      </c>
    </row>
    <row r="56" spans="1:6" x14ac:dyDescent="0.3">
      <c r="A56" t="s">
        <v>178</v>
      </c>
      <c r="B56" s="54">
        <f>+B53*0.07/360*B55</f>
        <v>128312.27927777779</v>
      </c>
    </row>
    <row r="58" spans="1:6" ht="16.2" thickBot="1" x14ac:dyDescent="0.35">
      <c r="A58" s="170" t="s">
        <v>183</v>
      </c>
      <c r="B58" s="170"/>
      <c r="C58" s="170"/>
      <c r="D58" s="170"/>
      <c r="E58" s="170"/>
      <c r="F58" s="170"/>
    </row>
    <row r="60" spans="1:6" x14ac:dyDescent="0.3">
      <c r="A60" t="s">
        <v>124</v>
      </c>
      <c r="B60" s="1">
        <f>+Summary!C5</f>
        <v>36889</v>
      </c>
    </row>
    <row r="61" spans="1:6" x14ac:dyDescent="0.3">
      <c r="A61" t="s">
        <v>184</v>
      </c>
      <c r="B61" s="1">
        <v>36706</v>
      </c>
      <c r="D61" s="4">
        <f>IF(B60&gt;(B61-1),30000000,0)</f>
        <v>30000000</v>
      </c>
    </row>
    <row r="62" spans="1:6" x14ac:dyDescent="0.3">
      <c r="A62" t="s">
        <v>185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186</v>
      </c>
      <c r="B63" s="1">
        <f>+Summary!C5</f>
        <v>36889</v>
      </c>
      <c r="D63" s="135">
        <f>IF(B63&gt;B62,+(+B63-B62)/365*0.12*D62,0)</f>
        <v>35441.095890410958</v>
      </c>
    </row>
    <row r="64" spans="1:6" x14ac:dyDescent="0.3">
      <c r="A64" t="s">
        <v>187</v>
      </c>
      <c r="D64" s="5">
        <f>SUM(D61:D63)</f>
        <v>31135441.09589041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165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173">
        <f>+Summary!C5</f>
        <v>36889</v>
      </c>
      <c r="B23" s="173"/>
      <c r="E23" s="103" t="s">
        <v>91</v>
      </c>
      <c r="F23" s="103">
        <f>VLOOKUP(+A23,Amort,2)</f>
        <v>1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3">
      <c r="A25" s="103" t="s">
        <v>89</v>
      </c>
      <c r="B25" s="129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3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3">
      <c r="A27" s="116" t="s">
        <v>94</v>
      </c>
      <c r="B27" s="103">
        <f>A23-F24</f>
        <v>0</v>
      </c>
      <c r="E27" s="116"/>
    </row>
    <row r="28" spans="1:9" s="103" customFormat="1" x14ac:dyDescent="0.3">
      <c r="A28" s="116" t="s">
        <v>28</v>
      </c>
      <c r="B28" s="103">
        <f>F25*B27/(F26-F24)</f>
        <v>0</v>
      </c>
    </row>
    <row r="29" spans="1:9" s="103" customFormat="1" x14ac:dyDescent="0.3">
      <c r="A29" s="116" t="s">
        <v>29</v>
      </c>
      <c r="B29" s="103">
        <f>+B25+B28</f>
        <v>1779166.6666666667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173">
        <f>+Summary!C5</f>
        <v>36889</v>
      </c>
      <c r="B55" s="173"/>
      <c r="E55" s="103" t="s">
        <v>91</v>
      </c>
      <c r="F55" s="103">
        <f>VLOOKUP(+A55,Note,2)</f>
        <v>1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3">
      <c r="A57" s="103" t="s">
        <v>170</v>
      </c>
      <c r="B57" s="129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3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3">
      <c r="A59" s="116" t="s">
        <v>94</v>
      </c>
      <c r="B59" s="103">
        <f>A55-F56</f>
        <v>0</v>
      </c>
      <c r="C59" s="103"/>
      <c r="D59" s="103"/>
      <c r="E59" s="116"/>
      <c r="F59" s="103"/>
      <c r="G59" s="103"/>
    </row>
    <row r="60" spans="1:9" x14ac:dyDescent="0.3">
      <c r="A60" s="116" t="s">
        <v>167</v>
      </c>
      <c r="B60" s="103">
        <f>F57*B59/(F58-F56)</f>
        <v>0</v>
      </c>
      <c r="C60" s="103"/>
      <c r="D60" s="103"/>
      <c r="E60" s="103"/>
      <c r="F60" s="103"/>
      <c r="G60" s="103"/>
    </row>
    <row r="61" spans="1:9" x14ac:dyDescent="0.3">
      <c r="A61" s="116" t="s">
        <v>168</v>
      </c>
      <c r="B61" s="103">
        <f>+B57+B60</f>
        <v>14233333.333333334</v>
      </c>
      <c r="C61" s="103"/>
      <c r="D61" s="103"/>
      <c r="E61" s="103"/>
      <c r="F61" s="103"/>
      <c r="G61" s="103"/>
    </row>
    <row r="63" spans="1:9" x14ac:dyDescent="0.3">
      <c r="A63" s="7" t="s">
        <v>180</v>
      </c>
    </row>
    <row r="64" spans="1:9" x14ac:dyDescent="0.3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181</v>
      </c>
      <c r="C65" s="1"/>
      <c r="D65" s="1">
        <f>+'Cash-Int-Trans'!B54</f>
        <v>36889</v>
      </c>
      <c r="E65" s="153">
        <f>+'Cash-Int-Trans'!B56</f>
        <v>128312.27927777779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2023-09-10T15:59:30Z</dcterms:modified>
</cp:coreProperties>
</file>