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2448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<sst xmlns="http://schemas.openxmlformats.org/spreadsheetml/2006/main" count="204" uniqueCount="121">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</sst>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1745.73</val>
          </value>
        </values>
      </ddeItem>
      <ddeItem name=".SPX,LAST,1" advise="1">
        <values>
          <value>
            <val>1087.2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13.54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23.54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37.46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33.450000000000003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11.3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47.46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17.78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48.6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23.3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17.59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15.31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28.79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51" bestFit="1" customWidth="1"/>
    <col min="2" max="2" width="8.90625" style="252"/>
    <col min="3" max="3" width="2" style="251" customWidth="1"/>
    <col min="4" max="4" width="7.81640625" style="251" customWidth="1"/>
    <col min="5" max="5" width="1.453125" style="251" customWidth="1"/>
    <col min="6" max="6" width="7.1796875" style="251" customWidth="1"/>
    <col min="7" max="7" width="1.453125" style="251" customWidth="1"/>
    <col min="8" max="16384" width="8.90625" style="251"/>
  </cols>
  <sheetData>
    <row r="1" spans="1:8" ht="18.75" customHeight="1" x14ac:dyDescent="0.3">
      <c r="A1" s="251" t="s">
        <v>70</v>
      </c>
      <c r="H1" s="253" t="str">
        <f>+ENRON!AS1</f>
        <v>Friday</v>
      </c>
    </row>
    <row r="2" spans="1:8" ht="18" customHeight="1" x14ac:dyDescent="0.3">
      <c r="A2" s="254" t="s">
        <v>18</v>
      </c>
      <c r="H2" s="255">
        <f>+ENRON!AS2</f>
        <v>37197</v>
      </c>
    </row>
    <row r="3" spans="1:8" ht="16.2" thickBot="1" x14ac:dyDescent="0.35"/>
    <row r="4" spans="1:8" ht="16.2" thickBot="1" x14ac:dyDescent="0.35">
      <c r="B4" s="256">
        <v>2002</v>
      </c>
      <c r="D4" s="298" t="s">
        <v>71</v>
      </c>
      <c r="E4" s="299"/>
      <c r="F4" s="299"/>
      <c r="G4" s="299"/>
      <c r="H4" s="300"/>
    </row>
    <row r="5" spans="1:8" ht="31.8" thickBot="1" x14ac:dyDescent="0.35">
      <c r="B5" s="257" t="s">
        <v>36</v>
      </c>
      <c r="D5" s="258" t="s">
        <v>22</v>
      </c>
      <c r="E5" s="259"/>
      <c r="F5" s="260" t="s">
        <v>23</v>
      </c>
      <c r="G5" s="261"/>
      <c r="H5" s="262" t="s">
        <v>24</v>
      </c>
    </row>
    <row r="6" spans="1:8" x14ac:dyDescent="0.3">
      <c r="A6" s="251" t="s">
        <v>72</v>
      </c>
      <c r="B6" s="263">
        <f>ENRON!AG7</f>
        <v>5.4342291371994351</v>
      </c>
      <c r="D6" s="264">
        <f>ENRON!AM7</f>
        <v>-0.26623376623376621</v>
      </c>
      <c r="E6" s="265"/>
      <c r="F6" s="266">
        <f>ENRON!AO7</f>
        <v>-0.58501652589056186</v>
      </c>
      <c r="G6" s="265"/>
      <c r="H6" s="267">
        <f>ENRON!AQ7</f>
        <v>-0.85954887218045117</v>
      </c>
    </row>
    <row r="7" spans="1:8" x14ac:dyDescent="0.3">
      <c r="A7" s="251" t="s">
        <v>73</v>
      </c>
      <c r="B7" s="268">
        <f>ENRON!AG9</f>
        <v>21.135303265940905</v>
      </c>
      <c r="D7" s="269">
        <f>ENRON!AM9</f>
        <v>-1.5388236572183685E-2</v>
      </c>
      <c r="E7" s="270"/>
      <c r="F7" s="271">
        <f>ENRON!AO9</f>
        <v>4.5574192556727622E-2</v>
      </c>
      <c r="G7" s="270"/>
      <c r="H7" s="272">
        <f>ENRON!AQ9</f>
        <v>-0.16671766594964707</v>
      </c>
    </row>
    <row r="8" spans="1:8" x14ac:dyDescent="0.3">
      <c r="A8" s="251" t="s">
        <v>77</v>
      </c>
      <c r="B8" s="268" t="str">
        <f>ENRON!Z10</f>
        <v xml:space="preserve">N/A </v>
      </c>
      <c r="D8" s="269">
        <f>ENRON!AM10</f>
        <v>-1.3039865231548485E-2</v>
      </c>
      <c r="E8" s="270"/>
      <c r="F8" s="271">
        <f>ENRON!AO10</f>
        <v>0.16498665599145995</v>
      </c>
      <c r="G8" s="270"/>
      <c r="H8" s="272">
        <f>ENRON!AQ10</f>
        <v>-0.29131033142820129</v>
      </c>
    </row>
    <row r="9" spans="1:8" ht="16.2" thickBot="1" x14ac:dyDescent="0.35">
      <c r="A9" s="251" t="s">
        <v>87</v>
      </c>
      <c r="B9" s="291">
        <f>ENRON!AG25</f>
        <v>11.16887389977059</v>
      </c>
      <c r="C9" s="273"/>
      <c r="D9" s="292">
        <f>ENRON!AM25</f>
        <v>-6.0987207689977521E-2</v>
      </c>
      <c r="E9" s="293"/>
      <c r="F9" s="294">
        <f>ENRON!AO25</f>
        <v>4.2985685188631419E-2</v>
      </c>
      <c r="G9" s="295"/>
      <c r="H9" s="274">
        <f>ENRON!AQ25</f>
        <v>-0.32657821047546509</v>
      </c>
    </row>
    <row r="10" spans="1:8" x14ac:dyDescent="0.3">
      <c r="D10" s="275"/>
    </row>
    <row r="11" spans="1:8" x14ac:dyDescent="0.3">
      <c r="A11" s="276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8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37197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5" t="s">
        <v>115</v>
      </c>
      <c r="AC4" s="287" t="s">
        <v>98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5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37190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6" thickBot="1" x14ac:dyDescent="0.3">
      <c r="A7" s="75" t="s">
        <v>48</v>
      </c>
      <c r="B7" s="76"/>
      <c r="C7" s="77" t="s">
        <v>0</v>
      </c>
      <c r="D7" s="76"/>
      <c r="E7" s="78">
        <f>[1]!'ENE,LAST,1'</f>
        <v>11.3</v>
      </c>
      <c r="F7" s="76"/>
      <c r="G7" s="79">
        <v>2.16</v>
      </c>
      <c r="H7" s="80" t="s">
        <v>49</v>
      </c>
      <c r="I7" s="81">
        <f>E7/G7</f>
        <v>5.2314814814814818</v>
      </c>
      <c r="J7" s="76"/>
      <c r="K7" s="79">
        <v>2.14</v>
      </c>
      <c r="L7" s="82" t="s">
        <v>50</v>
      </c>
      <c r="M7" s="81">
        <f>E7/K7</f>
        <v>5.2803738317757007</v>
      </c>
      <c r="N7" s="76"/>
      <c r="O7" s="79">
        <v>2.16</v>
      </c>
      <c r="P7" s="80" t="s">
        <v>49</v>
      </c>
      <c r="Q7" s="81">
        <f>M7/O7</f>
        <v>2.4446175147109726</v>
      </c>
      <c r="R7" s="76"/>
      <c r="S7" s="83">
        <f>+S58</f>
        <v>1.9988888888888892</v>
      </c>
      <c r="T7" s="81">
        <f>E7/S7</f>
        <v>5.6531406336853802</v>
      </c>
      <c r="U7" s="84"/>
      <c r="V7" s="85">
        <f>(S7-K7)/K7</f>
        <v>-6.5939771547248116E-2</v>
      </c>
      <c r="W7" s="86"/>
      <c r="X7" s="87">
        <f>X58</f>
        <v>1.8022222222222224</v>
      </c>
      <c r="Y7" s="88"/>
      <c r="Z7" s="81">
        <f>E7/X7</f>
        <v>6.2700369913686806</v>
      </c>
      <c r="AA7" s="84"/>
      <c r="AB7" s="89">
        <f>(AE7-X7)/X7</f>
        <v>0.15380430840646961</v>
      </c>
      <c r="AC7" s="288">
        <v>0.10299999999999999</v>
      </c>
      <c r="AD7" s="84"/>
      <c r="AE7" s="87">
        <f>AE58</f>
        <v>2.0794117647058821</v>
      </c>
      <c r="AF7" s="90"/>
      <c r="AG7" s="81">
        <f>E7/AE7</f>
        <v>5.4342291371994351</v>
      </c>
      <c r="AH7" s="91"/>
      <c r="AJ7" s="92"/>
      <c r="AK7" s="93">
        <f>(X7-S7)/S7</f>
        <v>-9.838799332962761E-2</v>
      </c>
      <c r="AL7" s="86"/>
      <c r="AM7" s="94">
        <f>((+AX7+E7-AY7)/AY7)</f>
        <v>-0.26623376623376621</v>
      </c>
      <c r="AN7" s="86"/>
      <c r="AO7" s="86">
        <f>((+AZ7+E7-BA7)/BA7)</f>
        <v>-0.58501652589056186</v>
      </c>
      <c r="AP7" s="86"/>
      <c r="AQ7" s="93">
        <f>((+BB7+E7-BC7)/BC7)</f>
        <v>-0.85954887218045117</v>
      </c>
      <c r="AR7" s="95"/>
      <c r="AS7" s="1">
        <f>AU7/E7</f>
        <v>4.4247787610619468E-2</v>
      </c>
      <c r="AT7" s="96"/>
      <c r="AU7" s="3">
        <f>[1]!'ENE,DIVIDEND,1'</f>
        <v>0.5</v>
      </c>
      <c r="AV7" s="282">
        <v>37224</v>
      </c>
      <c r="AW7" s="97">
        <v>0.125</v>
      </c>
      <c r="AX7" s="284"/>
      <c r="AY7" s="98">
        <v>15.4</v>
      </c>
      <c r="AZ7" s="283"/>
      <c r="BA7" s="98">
        <v>27.23</v>
      </c>
      <c r="BB7" s="281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51</v>
      </c>
      <c r="B9" s="18"/>
      <c r="C9" s="19" t="s">
        <v>59</v>
      </c>
      <c r="D9" s="18"/>
      <c r="E9" s="118">
        <f>[1]!'.SPX,LAST,1'</f>
        <v>1087.2</v>
      </c>
      <c r="F9" s="119"/>
      <c r="G9" s="120">
        <v>40.53</v>
      </c>
      <c r="H9" s="101"/>
      <c r="I9" s="92">
        <f>E9/G9</f>
        <v>26.82457438934123</v>
      </c>
      <c r="J9" s="26"/>
      <c r="K9" s="120">
        <v>42.08</v>
      </c>
      <c r="L9" s="26"/>
      <c r="M9" s="92">
        <f>E9/K9</f>
        <v>25.836501901140686</v>
      </c>
      <c r="N9" s="119"/>
      <c r="O9" s="120">
        <v>40.53</v>
      </c>
      <c r="P9" s="101"/>
      <c r="Q9" s="92">
        <f>M9/O9</f>
        <v>0.63746612141970604</v>
      </c>
      <c r="R9" s="26"/>
      <c r="S9" s="121">
        <v>40.18</v>
      </c>
      <c r="T9" s="92">
        <f>E9/S9</f>
        <v>27.058237929318071</v>
      </c>
      <c r="U9" s="91"/>
      <c r="V9" s="122">
        <f>(S9-K9)/K9</f>
        <v>-4.5152091254752821E-2</v>
      </c>
      <c r="W9" s="123"/>
      <c r="X9" s="121">
        <v>44.27</v>
      </c>
      <c r="Y9" s="124"/>
      <c r="Z9" s="92">
        <f>E9/X9</f>
        <v>24.558391687372939</v>
      </c>
      <c r="AA9" s="91"/>
      <c r="AB9" s="125">
        <f>(AE9-X9)/X9</f>
        <v>0.16196069573074304</v>
      </c>
      <c r="AC9" s="289"/>
      <c r="AD9" s="91"/>
      <c r="AE9" s="121">
        <v>51.44</v>
      </c>
      <c r="AF9" s="124"/>
      <c r="AG9" s="92">
        <f>E9/AE9</f>
        <v>21.135303265940905</v>
      </c>
      <c r="AH9" s="91"/>
      <c r="AJ9" s="91"/>
      <c r="AK9" s="122">
        <f>(X9-S9)/S9</f>
        <v>0.10179193628670989</v>
      </c>
      <c r="AL9" s="123"/>
      <c r="AM9" s="96">
        <f>((+AX9+E9-AY9)/AY9)</f>
        <v>-1.5388236572183685E-2</v>
      </c>
      <c r="AN9" s="123"/>
      <c r="AO9" s="123">
        <f>((+AZ9+E9-BA9)/BA9)</f>
        <v>4.5574192556727622E-2</v>
      </c>
      <c r="AP9" s="123"/>
      <c r="AQ9" s="126">
        <f>((+BB9+E9-BC9)/BC9)</f>
        <v>-0.16671766594964707</v>
      </c>
      <c r="AS9" s="2">
        <v>1.43E-2</v>
      </c>
      <c r="AT9" s="96"/>
      <c r="AU9" s="127">
        <f>AS9*E9</f>
        <v>15.54696</v>
      </c>
      <c r="AV9" s="128"/>
      <c r="AW9" s="97"/>
      <c r="AX9" s="129">
        <v>0.41199999999999998</v>
      </c>
      <c r="AY9" s="130">
        <v>1104.6099999999999</v>
      </c>
      <c r="AZ9" s="129">
        <v>1.18</v>
      </c>
      <c r="BA9" s="130">
        <v>1040.94</v>
      </c>
      <c r="BB9" s="129">
        <f>12.434+0.103+0.017+0.412</f>
        <v>12.965999999999999</v>
      </c>
      <c r="BC9" s="131">
        <v>1320.28</v>
      </c>
    </row>
    <row r="10" spans="1:56" x14ac:dyDescent="0.25">
      <c r="A10" s="17" t="s">
        <v>77</v>
      </c>
      <c r="B10" s="18"/>
      <c r="C10" s="19" t="s">
        <v>74</v>
      </c>
      <c r="D10" s="18"/>
      <c r="E10" s="118">
        <f>[1]!'.IXIC,LAST,1'</f>
        <v>1745.73</v>
      </c>
      <c r="F10" s="119"/>
      <c r="G10" s="120">
        <v>40.53</v>
      </c>
      <c r="H10" s="101"/>
      <c r="I10" s="92">
        <f>E10/G10</f>
        <v>43.072538860103627</v>
      </c>
      <c r="J10" s="26"/>
      <c r="K10" s="120">
        <v>42.08</v>
      </c>
      <c r="L10" s="26"/>
      <c r="M10" s="92">
        <f>E10/K10</f>
        <v>41.485979087452471</v>
      </c>
      <c r="N10" s="119"/>
      <c r="O10" s="120">
        <v>40.53</v>
      </c>
      <c r="P10" s="101"/>
      <c r="Q10" s="92">
        <f>M10/O10</f>
        <v>1.0235869500975197</v>
      </c>
      <c r="R10" s="26"/>
      <c r="S10" s="121">
        <v>40.18</v>
      </c>
      <c r="T10" s="92">
        <f>E10/S10</f>
        <v>43.447735191637634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-1.3039865231548485E-2</v>
      </c>
      <c r="AN10" s="123"/>
      <c r="AO10" s="123">
        <f>((+AZ10+E10-BA10)/BA10)</f>
        <v>0.16498665599145995</v>
      </c>
      <c r="AP10" s="123"/>
      <c r="AQ10" s="126">
        <f>((+BB10+E10-BC10)/BC10)</f>
        <v>-0.29131033142820129</v>
      </c>
      <c r="AS10" s="2">
        <v>3.2000000000000002E-3</v>
      </c>
      <c r="AT10" s="96"/>
      <c r="AU10" s="127">
        <f>AS10*E10</f>
        <v>5.5863360000000002</v>
      </c>
      <c r="AV10" s="128"/>
      <c r="AW10" s="97"/>
      <c r="AX10" s="129">
        <v>0.16300000000000001</v>
      </c>
      <c r="AY10" s="130">
        <v>1768.96</v>
      </c>
      <c r="AZ10" s="129">
        <v>0.35199999999999998</v>
      </c>
      <c r="BA10" s="130">
        <v>1498.8</v>
      </c>
      <c r="BB10" s="129">
        <v>5.1020000000000003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112</v>
      </c>
      <c r="B13" s="18"/>
      <c r="C13" s="39" t="s">
        <v>108</v>
      </c>
      <c r="D13" s="18"/>
      <c r="E13" s="135">
        <f>[1]!'ILA,LAST,1'</f>
        <v>17.78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15.460869565217394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7.6637931034482767</v>
      </c>
      <c r="AA13" s="286"/>
      <c r="AB13" s="125">
        <f t="shared" ref="AB13:AB23" si="2">(AE13-X13)/X13</f>
        <v>-0.12068965517241372</v>
      </c>
      <c r="AC13" s="290" t="s">
        <v>75</v>
      </c>
      <c r="AD13" s="134"/>
      <c r="AE13" s="132">
        <v>2.04</v>
      </c>
      <c r="AF13" s="144"/>
      <c r="AG13" s="92">
        <f t="shared" ref="AG13:AG23" si="3">E13/AE13</f>
        <v>8.7156862745098049</v>
      </c>
      <c r="AH13" s="91"/>
      <c r="AJ13" s="91"/>
      <c r="AK13" s="122">
        <f>(X13-S13)/S13</f>
        <v>1.0173913043478262</v>
      </c>
      <c r="AL13" s="123"/>
      <c r="AM13" s="96">
        <f>((+AX13+E13-AY13)/AY13)</f>
        <v>-0.14765100671140932</v>
      </c>
      <c r="AN13" s="123"/>
      <c r="AO13" s="277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20.86</v>
      </c>
      <c r="AZ13" s="141"/>
      <c r="BA13" s="149">
        <v>21.8</v>
      </c>
      <c r="BB13" s="141">
        <v>0</v>
      </c>
      <c r="BC13" s="149" t="s">
        <v>75</v>
      </c>
    </row>
    <row r="14" spans="1:56" x14ac:dyDescent="0.25">
      <c r="A14" s="18" t="s">
        <v>93</v>
      </c>
      <c r="B14" s="150"/>
      <c r="C14" s="39" t="s">
        <v>66</v>
      </c>
      <c r="D14" s="18"/>
      <c r="E14" s="135">
        <f>[1]!'AES,LAST,1'</f>
        <v>13.54</v>
      </c>
      <c r="F14" s="18"/>
      <c r="G14" s="120">
        <v>4.72</v>
      </c>
      <c r="H14" s="143" t="s">
        <v>49</v>
      </c>
      <c r="I14" s="92">
        <f>E14/G14</f>
        <v>2.8686440677966103</v>
      </c>
      <c r="J14" s="18"/>
      <c r="K14" s="120">
        <v>4.9400000000000004</v>
      </c>
      <c r="L14" s="26"/>
      <c r="M14" s="92">
        <f>E14/K14</f>
        <v>2.7408906882591091</v>
      </c>
      <c r="N14" s="18"/>
      <c r="O14" s="120">
        <v>4.72</v>
      </c>
      <c r="P14" s="143" t="s">
        <v>49</v>
      </c>
      <c r="Q14" s="92">
        <f>M14/O14</f>
        <v>0.58069717971591295</v>
      </c>
      <c r="R14" s="18"/>
      <c r="S14" s="121">
        <v>3.43</v>
      </c>
      <c r="T14" s="92">
        <f t="shared" si="0"/>
        <v>3.9475218658892124</v>
      </c>
      <c r="U14" s="91"/>
      <c r="V14" s="122">
        <f>(S14-K14)/K14</f>
        <v>-0.30566801619433198</v>
      </c>
      <c r="W14" s="123"/>
      <c r="X14" s="121">
        <v>1.29</v>
      </c>
      <c r="Y14" s="124"/>
      <c r="Z14" s="92">
        <f t="shared" si="1"/>
        <v>10.496124031007751</v>
      </c>
      <c r="AA14" s="91"/>
      <c r="AB14" s="125">
        <f t="shared" si="2"/>
        <v>0.20930232558139536</v>
      </c>
      <c r="AC14" s="289">
        <v>0.106</v>
      </c>
      <c r="AD14" s="91"/>
      <c r="AE14" s="121">
        <v>1.56</v>
      </c>
      <c r="AF14" s="124"/>
      <c r="AG14" s="92">
        <f t="shared" si="3"/>
        <v>8.6794871794871788</v>
      </c>
      <c r="AH14" s="91"/>
      <c r="AJ14" s="91"/>
      <c r="AK14" s="122">
        <f t="shared" ref="AK14:AK23" si="4">(X14-S14)/S14</f>
        <v>-0.62390670553935856</v>
      </c>
      <c r="AL14" s="123"/>
      <c r="AM14" s="96">
        <f t="shared" ref="AM14:AM23" si="5">((+AX14+E14-AY14)/AY14)</f>
        <v>-7.5136612021858021E-2</v>
      </c>
      <c r="AN14" s="123"/>
      <c r="AO14" s="123">
        <f t="shared" ref="AO14:AO23" si="6">((+AZ14+E14-BA14)/BA14)</f>
        <v>5.6162246489859506E-2</v>
      </c>
      <c r="AP14" s="123"/>
      <c r="AQ14" s="126">
        <f t="shared" ref="AQ14:AQ23" si="7">((+BB14+E14-BC14)/BC14)</f>
        <v>-0.75548532731376972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8" t="s">
        <v>116</v>
      </c>
      <c r="AX14" s="141"/>
      <c r="AY14" s="131">
        <v>14.64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113</v>
      </c>
      <c r="B15" s="150"/>
      <c r="C15" s="39" t="s">
        <v>114</v>
      </c>
      <c r="D15" s="18"/>
      <c r="E15" s="135">
        <f>[1]!'CPN,LAST,1'</f>
        <v>23.54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11.53921568627451</v>
      </c>
      <c r="AA15" s="91"/>
      <c r="AB15" s="125">
        <f t="shared" si="2"/>
        <v>0.23529411764705882</v>
      </c>
      <c r="AC15" s="289">
        <v>0.248</v>
      </c>
      <c r="AD15" s="91"/>
      <c r="AE15" s="121">
        <v>2.52</v>
      </c>
      <c r="AF15" s="124"/>
      <c r="AG15" s="92">
        <f t="shared" si="3"/>
        <v>9.3412698412698401</v>
      </c>
      <c r="AH15" s="91"/>
      <c r="AJ15" s="91"/>
      <c r="AK15" s="122"/>
      <c r="AL15" s="123"/>
      <c r="AM15" s="96">
        <f>((+AX15+E15-AY15)/AY15)</f>
        <v>-5.8400000000000035E-2</v>
      </c>
      <c r="AN15" s="123"/>
      <c r="AO15" s="123">
        <f>((+AZ15+E15-BA15)/BA15)</f>
        <v>3.2003507233669466E-2</v>
      </c>
      <c r="AP15" s="123"/>
      <c r="AQ15" s="126">
        <f>((+BB15+E15-BC15)/BC15)</f>
        <v>-0.47758544163337774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8" t="s">
        <v>117</v>
      </c>
      <c r="AX15" s="141"/>
      <c r="AY15" s="131">
        <v>25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52</v>
      </c>
      <c r="B16" s="150"/>
      <c r="C16" s="39" t="s">
        <v>1</v>
      </c>
      <c r="D16" s="18"/>
      <c r="E16" s="135">
        <f>[1]!'DUK,LAST,1'</f>
        <v>37.46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12.698305084745762</v>
      </c>
      <c r="N16" s="18"/>
      <c r="O16" s="120"/>
      <c r="P16" s="143"/>
      <c r="Q16" s="92"/>
      <c r="R16" s="18"/>
      <c r="S16" s="121">
        <v>3.38</v>
      </c>
      <c r="T16" s="92">
        <f t="shared" si="0"/>
        <v>11.082840236686391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13.671532846715328</v>
      </c>
      <c r="AA16" s="91"/>
      <c r="AB16" s="125">
        <f t="shared" si="2"/>
        <v>4.0145985401459805E-2</v>
      </c>
      <c r="AC16" s="289">
        <v>0.185</v>
      </c>
      <c r="AD16" s="91"/>
      <c r="AE16" s="121">
        <v>2.85</v>
      </c>
      <c r="AF16" s="124"/>
      <c r="AG16" s="92">
        <f t="shared" si="3"/>
        <v>13.143859649122806</v>
      </c>
      <c r="AH16" s="91"/>
      <c r="AJ16" s="91"/>
      <c r="AK16" s="122">
        <f t="shared" si="4"/>
        <v>-0.18934911242603542</v>
      </c>
      <c r="AL16" s="123"/>
      <c r="AM16" s="96">
        <f t="shared" si="5"/>
        <v>-2.7012987012986992E-2</v>
      </c>
      <c r="AN16" s="123"/>
      <c r="AO16" s="123">
        <f t="shared" si="6"/>
        <v>-1.0303830911492749E-2</v>
      </c>
      <c r="AP16" s="123"/>
      <c r="AQ16" s="126">
        <f t="shared" si="7"/>
        <v>-0.10171281088690741</v>
      </c>
      <c r="AS16" s="146">
        <f t="shared" si="8"/>
        <v>2.9364655632674853E-2</v>
      </c>
      <c r="AT16" s="147"/>
      <c r="AU16" s="3">
        <f>[1]!'DUK,DIVIDEND,1'</f>
        <v>1.1000000000000001</v>
      </c>
      <c r="AV16" s="297">
        <v>37209</v>
      </c>
      <c r="AW16" s="97">
        <v>0.27500000000000002</v>
      </c>
      <c r="AX16" s="279"/>
      <c r="AY16" s="131">
        <v>38.5</v>
      </c>
      <c r="AZ16" s="279"/>
      <c r="BA16" s="131">
        <v>37.85</v>
      </c>
      <c r="BB16" s="279">
        <f>0.275*3</f>
        <v>0.82500000000000007</v>
      </c>
      <c r="BC16" s="131">
        <v>42.62</v>
      </c>
    </row>
    <row r="17" spans="1:55" ht="15.6" x14ac:dyDescent="0.3">
      <c r="A17" s="17" t="s">
        <v>94</v>
      </c>
      <c r="B17" s="150"/>
      <c r="C17" s="39" t="s">
        <v>53</v>
      </c>
      <c r="D17" s="18"/>
      <c r="E17" s="135">
        <f>[1]!'DYN,LAST,1'</f>
        <v>33.450000000000003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47.785714285714292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57.672413793103459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15.928571428571429</v>
      </c>
      <c r="AA17" s="91"/>
      <c r="AB17" s="125">
        <f t="shared" si="2"/>
        <v>0.21904761904761902</v>
      </c>
      <c r="AC17" s="289">
        <v>0.182</v>
      </c>
      <c r="AD17" s="91"/>
      <c r="AE17" s="121">
        <v>2.56</v>
      </c>
      <c r="AF17" s="151"/>
      <c r="AG17" s="92">
        <f t="shared" si="3"/>
        <v>13.06640625</v>
      </c>
      <c r="AH17" s="91"/>
      <c r="AJ17" s="91"/>
      <c r="AK17" s="122">
        <f t="shared" si="4"/>
        <v>2.6206896551724141</v>
      </c>
      <c r="AL17" s="123"/>
      <c r="AM17" s="96">
        <f t="shared" si="5"/>
        <v>-0.13003901170351104</v>
      </c>
      <c r="AN17" s="123"/>
      <c r="AO17" s="123">
        <f t="shared" si="6"/>
        <v>-3.4632034632034507E-2</v>
      </c>
      <c r="AP17" s="123"/>
      <c r="AQ17" s="126">
        <f t="shared" si="7"/>
        <v>-0.39933110367892971</v>
      </c>
      <c r="AS17" s="146">
        <f t="shared" si="8"/>
        <v>8.9686098654708502E-3</v>
      </c>
      <c r="AT17" s="147"/>
      <c r="AU17" s="3">
        <f>[1]!'DYN,DIVIDEND,1'</f>
        <v>0.3</v>
      </c>
      <c r="AV17" s="296">
        <v>37132</v>
      </c>
      <c r="AW17" s="97">
        <v>7.4999999999999997E-2</v>
      </c>
      <c r="AX17" s="279"/>
      <c r="AY17" s="131">
        <v>38.450000000000003</v>
      </c>
      <c r="AZ17" s="279"/>
      <c r="BA17" s="131">
        <v>34.65</v>
      </c>
      <c r="BB17" s="279">
        <f>0.075*3</f>
        <v>0.22499999999999998</v>
      </c>
      <c r="BC17" s="131">
        <v>56.0625</v>
      </c>
    </row>
    <row r="18" spans="1:55" x14ac:dyDescent="0.25">
      <c r="A18" s="17" t="s">
        <v>54</v>
      </c>
      <c r="B18" s="6"/>
      <c r="C18" s="39" t="s">
        <v>2</v>
      </c>
      <c r="D18" s="18"/>
      <c r="E18" s="135">
        <f>[1]!'EPG,LAST,1'</f>
        <v>47.46</v>
      </c>
      <c r="F18" s="18"/>
      <c r="G18" s="120">
        <v>2.85</v>
      </c>
      <c r="H18" s="143" t="s">
        <v>49</v>
      </c>
      <c r="I18" s="92">
        <f>E18/G18</f>
        <v>16.652631578947368</v>
      </c>
      <c r="J18" s="18"/>
      <c r="K18" s="120">
        <v>3.18</v>
      </c>
      <c r="L18" s="26"/>
      <c r="M18" s="92">
        <f>E18/K18</f>
        <v>14.924528301886792</v>
      </c>
      <c r="N18" s="18"/>
      <c r="O18" s="120">
        <v>2.85</v>
      </c>
      <c r="P18" s="143" t="s">
        <v>49</v>
      </c>
      <c r="Q18" s="92">
        <f>M18/O18</f>
        <v>5.2366765971532603</v>
      </c>
      <c r="R18" s="18"/>
      <c r="S18" s="121">
        <v>1.83</v>
      </c>
      <c r="T18" s="92">
        <f t="shared" si="0"/>
        <v>25.934426229508198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14.252252252252251</v>
      </c>
      <c r="AA18" s="91"/>
      <c r="AB18" s="125">
        <f t="shared" si="2"/>
        <v>0.10210210210210206</v>
      </c>
      <c r="AC18" s="289">
        <v>-4.1000000000000002E-2</v>
      </c>
      <c r="AD18" s="91"/>
      <c r="AE18" s="121">
        <v>3.67</v>
      </c>
      <c r="AF18" s="124"/>
      <c r="AG18" s="92">
        <f t="shared" si="3"/>
        <v>12.931880108991827</v>
      </c>
      <c r="AH18" s="91"/>
      <c r="AJ18" s="91"/>
      <c r="AK18" s="122">
        <f t="shared" si="4"/>
        <v>0.81967213114754101</v>
      </c>
      <c r="AL18" s="123"/>
      <c r="AM18" s="96">
        <f t="shared" si="5"/>
        <v>-5.0040032025620497E-2</v>
      </c>
      <c r="AN18" s="123"/>
      <c r="AO18" s="123">
        <f t="shared" si="6"/>
        <v>0.14223826714801455</v>
      </c>
      <c r="AP18" s="123"/>
      <c r="AQ18" s="126">
        <f t="shared" si="7"/>
        <v>-0.32848167539267009</v>
      </c>
      <c r="AS18" s="146">
        <f t="shared" si="8"/>
        <v>1.7909818794774546E-2</v>
      </c>
      <c r="AT18" s="147"/>
      <c r="AU18" s="3">
        <f>[1]!'EPG,DIVIDEND,1'</f>
        <v>0.85</v>
      </c>
      <c r="AV18" s="280">
        <v>37230</v>
      </c>
      <c r="AW18" s="97">
        <v>0.21249999999999999</v>
      </c>
      <c r="AX18" s="279"/>
      <c r="AY18" s="131">
        <v>49.96</v>
      </c>
      <c r="AZ18" s="279"/>
      <c r="BA18" s="131">
        <v>41.55</v>
      </c>
      <c r="BB18" s="279">
        <f>0.2125*3</f>
        <v>0.63749999999999996</v>
      </c>
      <c r="BC18" s="131">
        <v>71.625</v>
      </c>
    </row>
    <row r="19" spans="1:55" x14ac:dyDescent="0.25">
      <c r="A19" s="17" t="s">
        <v>63</v>
      </c>
      <c r="B19" s="6"/>
      <c r="C19" s="39" t="s">
        <v>64</v>
      </c>
      <c r="D19" s="18"/>
      <c r="E19" s="135">
        <f>[1]!'KMI,LAST,1'</f>
        <v>48.6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</v>
      </c>
      <c r="N19" s="18"/>
      <c r="O19" s="120"/>
      <c r="P19" s="143"/>
      <c r="Q19" s="92"/>
      <c r="R19" s="18"/>
      <c r="S19" s="121">
        <v>1.17</v>
      </c>
      <c r="T19" s="92">
        <f t="shared" si="0"/>
        <v>41.53846153846154</v>
      </c>
      <c r="U19" s="91"/>
      <c r="V19" s="122"/>
      <c r="W19" s="123"/>
      <c r="X19" s="121">
        <v>1.9</v>
      </c>
      <c r="Y19" s="124"/>
      <c r="Z19" s="92">
        <f t="shared" si="1"/>
        <v>25.578947368421055</v>
      </c>
      <c r="AA19" s="91"/>
      <c r="AB19" s="125">
        <f t="shared" si="2"/>
        <v>0.3052631578947369</v>
      </c>
      <c r="AC19" s="289">
        <v>0.12</v>
      </c>
      <c r="AD19" s="91"/>
      <c r="AE19" s="121">
        <v>2.48</v>
      </c>
      <c r="AF19" s="124"/>
      <c r="AG19" s="92">
        <f t="shared" si="3"/>
        <v>19.596774193548388</v>
      </c>
      <c r="AH19" s="91"/>
      <c r="AJ19" s="91"/>
      <c r="AK19" s="122">
        <f t="shared" si="4"/>
        <v>0.62393162393162394</v>
      </c>
      <c r="AL19" s="123"/>
      <c r="AM19" s="96">
        <f t="shared" si="5"/>
        <v>-3.0876494023904466E-2</v>
      </c>
      <c r="AN19" s="123"/>
      <c r="AO19" s="123">
        <f t="shared" si="6"/>
        <v>-2.2353180247916974E-3</v>
      </c>
      <c r="AP19" s="123"/>
      <c r="AQ19" s="126">
        <f t="shared" si="7"/>
        <v>-6.4910179640718477E-2</v>
      </c>
      <c r="AS19" s="146">
        <f t="shared" si="8"/>
        <v>4.11522633744856E-3</v>
      </c>
      <c r="AT19" s="147"/>
      <c r="AU19" s="3">
        <f>[1]!'KMI,DIVIDEND,1'</f>
        <v>0.2</v>
      </c>
      <c r="AV19" s="148">
        <v>37193</v>
      </c>
      <c r="AW19" s="97">
        <v>0.05</v>
      </c>
      <c r="AX19" s="279">
        <v>0.05</v>
      </c>
      <c r="AY19" s="131">
        <v>50.2</v>
      </c>
      <c r="AZ19" s="279">
        <v>0.5</v>
      </c>
      <c r="BA19" s="131">
        <v>49.21</v>
      </c>
      <c r="BB19" s="279">
        <f>0.05*4</f>
        <v>0.2</v>
      </c>
      <c r="BC19" s="131">
        <v>52.1875</v>
      </c>
    </row>
    <row r="20" spans="1:55" x14ac:dyDescent="0.25">
      <c r="A20" s="152" t="s">
        <v>103</v>
      </c>
      <c r="B20" s="153"/>
      <c r="C20" s="62" t="s">
        <v>102</v>
      </c>
      <c r="D20" s="18"/>
      <c r="E20" s="135">
        <f>[1]!'MIR,LAST,1'</f>
        <v>23.3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11.827411167512691</v>
      </c>
      <c r="AA20" s="91"/>
      <c r="AB20" s="125">
        <f t="shared" si="2"/>
        <v>0.31472081218274106</v>
      </c>
      <c r="AC20" s="289">
        <v>0.123</v>
      </c>
      <c r="AD20" s="91"/>
      <c r="AE20" s="121">
        <v>2.59</v>
      </c>
      <c r="AF20" s="124"/>
      <c r="AG20" s="92">
        <f>E20/AE20</f>
        <v>8.9961389961389973</v>
      </c>
      <c r="AH20" s="91"/>
      <c r="AJ20" s="91"/>
      <c r="AK20" s="122" t="e">
        <f>(X20-S20)/S20</f>
        <v>#DIV/0!</v>
      </c>
      <c r="AL20" s="123"/>
      <c r="AM20" s="96">
        <f>((+AX20+E20-AY20)/AY20)</f>
        <v>-0.15118397085610197</v>
      </c>
      <c r="AN20" s="123"/>
      <c r="AO20" s="123">
        <f>((+AZ20+E20-BA20)/BA20)</f>
        <v>6.3926940639269514E-2</v>
      </c>
      <c r="AP20" s="123"/>
      <c r="AQ20" s="126">
        <f>((+BB20+E20-BC20)/BC20)</f>
        <v>-0.17704194260485648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27.45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91</v>
      </c>
      <c r="B21" s="153"/>
      <c r="C21" s="19" t="s">
        <v>90</v>
      </c>
      <c r="D21" s="5"/>
      <c r="E21" s="135">
        <f>[1]!'NRG,LAST,1'</f>
        <v>17.59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12.654676258992806</v>
      </c>
      <c r="AA21" s="91"/>
      <c r="AB21" s="125">
        <f t="shared" si="2"/>
        <v>0.21582733812949645</v>
      </c>
      <c r="AC21" s="289">
        <v>0.126</v>
      </c>
      <c r="AD21" s="91"/>
      <c r="AE21" s="121">
        <v>1.69</v>
      </c>
      <c r="AF21" s="124"/>
      <c r="AG21" s="92">
        <f>E21/AE21</f>
        <v>10.408284023668639</v>
      </c>
      <c r="AH21" s="91"/>
      <c r="AJ21" s="91"/>
      <c r="AK21" s="122" t="e">
        <f>(X21-S21)/S21</f>
        <v>#DIV/0!</v>
      </c>
      <c r="AL21" s="123"/>
      <c r="AM21" s="96">
        <f t="shared" si="5"/>
        <v>2.2792022792022305E-3</v>
      </c>
      <c r="AN21" s="123"/>
      <c r="AO21" s="123">
        <f t="shared" si="6"/>
        <v>8.5132634176434227E-2</v>
      </c>
      <c r="AP21" s="123"/>
      <c r="AQ21" s="126">
        <f t="shared" si="7"/>
        <v>-0.36755056179775281</v>
      </c>
      <c r="AS21" s="146">
        <f t="shared" si="8"/>
        <v>3.9226833428084133E-2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17.55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111</v>
      </c>
      <c r="B22" s="18"/>
      <c r="C22" s="39" t="s">
        <v>109</v>
      </c>
      <c r="D22" s="18"/>
      <c r="E22" s="135">
        <f>[1]!'RRI,LAST,1'</f>
        <v>15.31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13.313043478260871</v>
      </c>
      <c r="U22" s="91"/>
      <c r="V22" s="122"/>
      <c r="W22" s="123"/>
      <c r="X22" s="132">
        <v>1.68</v>
      </c>
      <c r="Y22" s="144"/>
      <c r="Z22" s="92">
        <f t="shared" si="1"/>
        <v>9.113095238095239</v>
      </c>
      <c r="AA22" s="286"/>
      <c r="AB22" s="125">
        <f t="shared" si="2"/>
        <v>0.22619047619047628</v>
      </c>
      <c r="AC22" s="290" t="s">
        <v>75</v>
      </c>
      <c r="AD22" s="134"/>
      <c r="AE22" s="132">
        <v>2.06</v>
      </c>
      <c r="AF22" s="144"/>
      <c r="AG22" s="92">
        <f t="shared" si="3"/>
        <v>7.4320388349514568</v>
      </c>
      <c r="AH22" s="91"/>
      <c r="AJ22" s="91"/>
      <c r="AK22" s="122">
        <f>(X22-S22)/S22</f>
        <v>0.46086956521739136</v>
      </c>
      <c r="AL22" s="123"/>
      <c r="AM22" s="96">
        <f t="shared" si="5"/>
        <v>-3.1012658227848114E-2</v>
      </c>
      <c r="AN22" s="123"/>
      <c r="AO22" s="277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15.8</v>
      </c>
      <c r="AZ22" s="141"/>
      <c r="BA22" s="149">
        <v>16.2</v>
      </c>
      <c r="BB22" s="141">
        <v>0</v>
      </c>
      <c r="BC22" s="149" t="s">
        <v>75</v>
      </c>
    </row>
    <row r="23" spans="1:55" x14ac:dyDescent="0.25">
      <c r="A23" s="17" t="s">
        <v>83</v>
      </c>
      <c r="B23" s="18"/>
      <c r="C23" s="39" t="s">
        <v>4</v>
      </c>
      <c r="D23" s="18"/>
      <c r="E23" s="135">
        <f>[1]!'WMB,LAST,1'</f>
        <v>28.79</v>
      </c>
      <c r="F23" s="18"/>
      <c r="G23" s="120">
        <v>2.08</v>
      </c>
      <c r="H23" s="143" t="s">
        <v>49</v>
      </c>
      <c r="I23" s="92">
        <f>E23/G23</f>
        <v>13.841346153846153</v>
      </c>
      <c r="J23" s="18"/>
      <c r="K23" s="120">
        <v>1.04</v>
      </c>
      <c r="L23" s="26"/>
      <c r="M23" s="92">
        <f>E23/K23</f>
        <v>27.682692307692307</v>
      </c>
      <c r="N23" s="18"/>
      <c r="O23" s="120">
        <v>2.08</v>
      </c>
      <c r="P23" s="143" t="s">
        <v>49</v>
      </c>
      <c r="Q23" s="92">
        <f>M23/O23</f>
        <v>13.308986686390531</v>
      </c>
      <c r="R23" s="18"/>
      <c r="S23" s="121">
        <v>0.82</v>
      </c>
      <c r="T23" s="92">
        <f>E23/S23</f>
        <v>35.109756097560975</v>
      </c>
      <c r="U23" s="91"/>
      <c r="V23" s="122">
        <f>(S23-K23)/K23</f>
        <v>-0.21153846153846162</v>
      </c>
      <c r="W23" s="123"/>
      <c r="X23" s="121">
        <v>2.44</v>
      </c>
      <c r="Y23" s="124"/>
      <c r="Z23" s="92">
        <f t="shared" si="1"/>
        <v>11.799180327868852</v>
      </c>
      <c r="AA23" s="91"/>
      <c r="AB23" s="125">
        <f t="shared" si="2"/>
        <v>0.11885245901639346</v>
      </c>
      <c r="AC23" s="289">
        <v>0.182</v>
      </c>
      <c r="AD23" s="91"/>
      <c r="AE23" s="121">
        <v>2.73</v>
      </c>
      <c r="AF23" s="124"/>
      <c r="AG23" s="92">
        <f t="shared" si="3"/>
        <v>10.545787545787546</v>
      </c>
      <c r="AH23" s="91"/>
      <c r="AJ23" s="91"/>
      <c r="AK23" s="122">
        <f t="shared" si="4"/>
        <v>1.9756097560975612</v>
      </c>
      <c r="AL23" s="123"/>
      <c r="AM23" s="96">
        <f t="shared" si="5"/>
        <v>2.8214285714285685E-2</v>
      </c>
      <c r="AN23" s="123"/>
      <c r="AO23" s="123">
        <f t="shared" si="6"/>
        <v>5.4578754578754517E-2</v>
      </c>
      <c r="AP23" s="123"/>
      <c r="AQ23" s="126">
        <f t="shared" si="7"/>
        <v>-0.26710485133020345</v>
      </c>
      <c r="AS23" s="146">
        <f t="shared" si="8"/>
        <v>2.5008683570684264E-2</v>
      </c>
      <c r="AT23" s="147"/>
      <c r="AU23" s="3">
        <f>[1]!'WMB,DIVIDEND,1'</f>
        <v>0.72</v>
      </c>
      <c r="AV23" s="296">
        <v>37125</v>
      </c>
      <c r="AW23" s="97">
        <v>0.18</v>
      </c>
      <c r="AX23" s="279"/>
      <c r="AY23" s="131">
        <v>28</v>
      </c>
      <c r="AZ23" s="279"/>
      <c r="BA23" s="131">
        <v>27.3</v>
      </c>
      <c r="BB23" s="279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101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5">
      <c r="A25" s="17" t="s">
        <v>88</v>
      </c>
      <c r="B25" s="18"/>
      <c r="C25" s="19"/>
      <c r="D25" s="18"/>
      <c r="E25" s="135"/>
      <c r="F25" s="18"/>
      <c r="G25" s="164"/>
      <c r="H25" s="165"/>
      <c r="I25" s="166">
        <f>AVERAGE(I14:I23)</f>
        <v>11.120873933530044</v>
      </c>
      <c r="J25" s="26"/>
      <c r="K25" s="164"/>
      <c r="L25" s="165"/>
      <c r="M25" s="166">
        <f>AVERAGE(M14:M23)</f>
        <v>20.972021778049712</v>
      </c>
      <c r="N25" s="18"/>
      <c r="O25" s="164"/>
      <c r="P25" s="165"/>
      <c r="Q25" s="166">
        <f>AVERAGE(Q14:Q23)</f>
        <v>6.3754534877532345</v>
      </c>
      <c r="R25" s="26"/>
      <c r="S25" s="164"/>
      <c r="T25" s="166">
        <f>AVERAGE(T14:T23)</f>
        <v>26.942637605638669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13.138618155378197</v>
      </c>
      <c r="AA25" s="91"/>
      <c r="AB25" s="170"/>
      <c r="AC25" s="166"/>
      <c r="AD25" s="91"/>
      <c r="AE25" s="171"/>
      <c r="AF25" s="172"/>
      <c r="AG25" s="166">
        <f>AVERAGE(AG13:AG23)</f>
        <v>11.16887389977059</v>
      </c>
      <c r="AH25" s="91"/>
      <c r="AJ25" s="91"/>
      <c r="AK25" s="167" t="e">
        <f>AVERAGE(AK14:AK23)</f>
        <v>#DIV/0!</v>
      </c>
      <c r="AL25" s="123"/>
      <c r="AM25" s="173">
        <f>AVERAGE(AM13:AM23)</f>
        <v>-6.0987207689977521E-2</v>
      </c>
      <c r="AN25" s="174"/>
      <c r="AO25" s="175">
        <f>AVERAGE(AO13:AO23)</f>
        <v>4.2985685188631419E-2</v>
      </c>
      <c r="AP25" s="174"/>
      <c r="AQ25" s="176">
        <f>AVERAGE(AQ13:AQ23)</f>
        <v>-0.32657821047546509</v>
      </c>
      <c r="AS25" s="167">
        <f>AVERAGE(AS13:AS23)</f>
        <v>1.1326711602648839E-2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5">
      <c r="A26" s="250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5">
      <c r="A27" s="250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5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85</v>
      </c>
      <c r="Y28" s="191"/>
      <c r="Z28" s="191"/>
      <c r="AA28" s="191"/>
      <c r="AB28" s="191"/>
      <c r="AC28" s="191"/>
      <c r="AD28" s="191"/>
      <c r="AE28" s="192" t="s">
        <v>85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5">
      <c r="A29" s="193" t="s">
        <v>5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84</v>
      </c>
      <c r="Y29" s="198"/>
      <c r="Z29" s="199"/>
      <c r="AA29" s="199"/>
      <c r="AB29" s="199"/>
      <c r="AC29" s="199"/>
      <c r="AD29" s="199"/>
      <c r="AE29" s="197" t="s">
        <v>106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5">
      <c r="A30" s="183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AVERAGE(X37:X56)</f>
        <v>1.8022222222222224</v>
      </c>
      <c r="Y30" s="18"/>
      <c r="Z30" s="18"/>
      <c r="AA30" s="18"/>
      <c r="AB30" s="18"/>
      <c r="AC30" s="18"/>
      <c r="AD30" s="18"/>
      <c r="AE30" s="200">
        <f>AVERAGE(AE37:AE56)</f>
        <v>2.0794117647058821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5">
      <c r="A31" s="183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MAX(X37:X55)</f>
        <v>1.85</v>
      </c>
      <c r="Y31" s="18"/>
      <c r="Z31" s="18"/>
      <c r="AA31" s="18"/>
      <c r="AB31" s="18"/>
      <c r="AC31" s="18"/>
      <c r="AD31" s="18"/>
      <c r="AE31" s="200">
        <f>MAX(AE37:AE56)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5">
      <c r="A32" s="183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MIN(X37:X56)</f>
        <v>1.75</v>
      </c>
      <c r="Y32" s="18"/>
      <c r="Z32" s="18"/>
      <c r="AA32" s="18"/>
      <c r="AB32" s="18"/>
      <c r="AC32" s="18"/>
      <c r="AD32" s="18"/>
      <c r="AE32" s="201">
        <f>MIN(AE37:AE56)</f>
        <v>1.6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5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6" x14ac:dyDescent="0.3">
      <c r="A35" s="202" t="s">
        <v>5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6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107</v>
      </c>
      <c r="AF35" s="209"/>
      <c r="AG35" s="210"/>
      <c r="AH35" s="210"/>
      <c r="AK35" s="210"/>
      <c r="AL35" s="211"/>
      <c r="AM35" s="211"/>
      <c r="AN35" s="211"/>
      <c r="AO35" s="20"/>
      <c r="AP35" s="211"/>
      <c r="AQ35" s="20"/>
      <c r="AR35" s="20"/>
      <c r="AS35" s="301">
        <v>2000</v>
      </c>
      <c r="AT35" s="302"/>
      <c r="AU35" s="303"/>
      <c r="AW35" s="212"/>
    </row>
    <row r="36" spans="1:50" ht="12.75" customHeight="1" x14ac:dyDescent="0.3">
      <c r="A36" s="213" t="s">
        <v>7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8</v>
      </c>
      <c r="T36" s="211"/>
      <c r="U36" s="211"/>
      <c r="V36" s="211"/>
      <c r="W36" s="211"/>
      <c r="X36" s="215" t="s">
        <v>8</v>
      </c>
      <c r="Y36" s="215"/>
      <c r="Z36" s="211"/>
      <c r="AA36" s="211"/>
      <c r="AB36" s="211"/>
      <c r="AC36" s="211"/>
      <c r="AD36" s="211"/>
      <c r="AE36" s="216" t="s">
        <v>8</v>
      </c>
      <c r="AF36" s="215"/>
      <c r="AG36" s="210"/>
      <c r="AH36" s="210"/>
      <c r="AK36" s="210"/>
      <c r="AL36" s="211"/>
      <c r="AM36" s="211"/>
      <c r="AN36" s="211"/>
      <c r="AO36" s="217"/>
      <c r="AP36" s="211"/>
      <c r="AQ36" s="217"/>
      <c r="AR36" s="217"/>
      <c r="AS36" s="40" t="s">
        <v>26</v>
      </c>
      <c r="AT36" s="44"/>
      <c r="AU36" s="42"/>
    </row>
    <row r="37" spans="1:50" ht="16.2" thickBot="1" x14ac:dyDescent="0.35">
      <c r="A37" s="218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2.1</v>
      </c>
      <c r="AF37" s="223"/>
      <c r="AK37" s="210"/>
      <c r="AL37" s="211"/>
      <c r="AM37" s="58" t="s">
        <v>33</v>
      </c>
      <c r="AN37" s="18"/>
      <c r="AO37" s="58" t="s">
        <v>34</v>
      </c>
      <c r="AP37" s="8"/>
      <c r="AQ37" s="217"/>
      <c r="AR37" s="217"/>
      <c r="AS37" s="59" t="s">
        <v>82</v>
      </c>
      <c r="AT37" s="64"/>
      <c r="AU37" s="61" t="s">
        <v>36</v>
      </c>
    </row>
    <row r="38" spans="1:50" ht="16.2" thickBot="1" x14ac:dyDescent="0.35">
      <c r="A38" s="218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K38" s="210"/>
      <c r="AL38" s="211"/>
      <c r="AM38" s="75" t="s">
        <v>48</v>
      </c>
      <c r="AN38" s="76"/>
      <c r="AO38" s="77" t="s">
        <v>0</v>
      </c>
      <c r="AP38" s="8"/>
      <c r="AQ38" s="217"/>
      <c r="AR38" s="217"/>
      <c r="AS38" s="87">
        <v>1.47</v>
      </c>
      <c r="AT38" s="88"/>
      <c r="AU38" s="81">
        <f>M39/AS38</f>
        <v>0</v>
      </c>
    </row>
    <row r="39" spans="1:50" ht="15.6" x14ac:dyDescent="0.3">
      <c r="A39" s="218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/>
      <c r="Y39" s="223"/>
      <c r="Z39" s="211"/>
      <c r="AA39" s="211"/>
      <c r="AB39" s="211"/>
      <c r="AC39" s="211"/>
      <c r="AD39" s="211"/>
      <c r="AE39" s="224"/>
      <c r="AF39" s="223"/>
      <c r="AK39" s="210"/>
      <c r="AL39" s="211"/>
      <c r="AM39" s="18"/>
      <c r="AN39" s="18"/>
      <c r="AO39" s="19"/>
      <c r="AP39" s="8"/>
      <c r="AQ39" s="217"/>
      <c r="AR39" s="217"/>
      <c r="AS39" s="100"/>
      <c r="AT39" s="105"/>
      <c r="AU39" s="102"/>
    </row>
    <row r="40" spans="1:50" ht="15.6" x14ac:dyDescent="0.3">
      <c r="A40" s="218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/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/>
      <c r="AF40" s="223"/>
      <c r="AK40" s="210"/>
      <c r="AL40" s="211"/>
      <c r="AM40" s="17" t="s">
        <v>51</v>
      </c>
      <c r="AN40" s="18"/>
      <c r="AO40" s="19" t="s">
        <v>59</v>
      </c>
      <c r="AP40" s="8"/>
      <c r="AQ40" s="217"/>
      <c r="AR40" s="217"/>
      <c r="AS40" s="121">
        <v>56.82</v>
      </c>
      <c r="AT40" s="124"/>
      <c r="AU40" s="92">
        <f>M38/AS40</f>
        <v>0</v>
      </c>
    </row>
    <row r="41" spans="1:50" ht="15.6" x14ac:dyDescent="0.3">
      <c r="A41" s="218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>
        <v>2</v>
      </c>
      <c r="T41" s="211"/>
      <c r="U41" s="211"/>
      <c r="V41" s="211"/>
      <c r="W41" s="211"/>
      <c r="X41" s="223">
        <v>1.8</v>
      </c>
      <c r="Y41" s="223"/>
      <c r="Z41" s="211"/>
      <c r="AA41" s="211"/>
      <c r="AB41" s="211"/>
      <c r="AC41" s="211"/>
      <c r="AD41" s="211"/>
      <c r="AE41" s="224">
        <v>1.8</v>
      </c>
      <c r="AF41" s="223"/>
      <c r="AK41" s="210"/>
      <c r="AL41" s="211"/>
      <c r="AM41" s="17" t="s">
        <v>77</v>
      </c>
      <c r="AN41" s="18"/>
      <c r="AO41" s="19" t="s">
        <v>74</v>
      </c>
      <c r="AP41" s="8"/>
      <c r="AQ41" s="217"/>
      <c r="AR41" s="217"/>
      <c r="AS41" s="132" t="s">
        <v>75</v>
      </c>
      <c r="AT41" s="124"/>
      <c r="AU41" s="133" t="s">
        <v>76</v>
      </c>
    </row>
    <row r="42" spans="1:50" ht="15.6" x14ac:dyDescent="0.3">
      <c r="A42" s="218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/>
      <c r="T42" s="211"/>
      <c r="U42" s="211"/>
      <c r="V42" s="211"/>
      <c r="W42" s="211"/>
      <c r="X42" s="225">
        <v>1.8</v>
      </c>
      <c r="Y42" s="223"/>
      <c r="Z42" s="211"/>
      <c r="AA42" s="211"/>
      <c r="AB42" s="211"/>
      <c r="AC42" s="211"/>
      <c r="AD42" s="211"/>
      <c r="AE42" s="226">
        <v>2.15</v>
      </c>
      <c r="AF42" s="223"/>
      <c r="AK42" s="210"/>
      <c r="AL42" s="211"/>
      <c r="AM42" s="18"/>
      <c r="AN42" s="18"/>
      <c r="AO42" s="19"/>
      <c r="AP42" s="8"/>
      <c r="AQ42" s="217"/>
      <c r="AR42" s="217"/>
      <c r="AS42" s="121"/>
      <c r="AT42" s="124"/>
      <c r="AU42" s="136"/>
    </row>
    <row r="43" spans="1:50" ht="15.6" x14ac:dyDescent="0.3">
      <c r="A43" s="218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1.8</v>
      </c>
      <c r="Y43" s="223"/>
      <c r="Z43" s="227"/>
      <c r="AA43" s="227"/>
      <c r="AB43" s="227"/>
      <c r="AC43" s="227"/>
      <c r="AD43" s="227"/>
      <c r="AE43" s="224">
        <v>2.15</v>
      </c>
      <c r="AF43" s="223"/>
      <c r="AK43" s="210"/>
      <c r="AL43" s="211"/>
      <c r="AM43" s="142" t="s">
        <v>81</v>
      </c>
      <c r="AN43" s="18"/>
      <c r="AO43" s="19"/>
      <c r="AP43" s="8"/>
      <c r="AQ43" s="217"/>
      <c r="AR43" s="217"/>
      <c r="AS43" s="121"/>
      <c r="AT43" s="124"/>
      <c r="AU43" s="136"/>
    </row>
    <row r="44" spans="1:50" ht="15.6" x14ac:dyDescent="0.3">
      <c r="A44" s="218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7"/>
      <c r="U44" s="211"/>
      <c r="V44" s="211"/>
      <c r="W44" s="211"/>
      <c r="X44" s="223">
        <v>1.85</v>
      </c>
      <c r="Y44" s="223"/>
      <c r="Z44" s="227"/>
      <c r="AA44" s="227"/>
      <c r="AB44" s="227"/>
      <c r="AC44" s="227"/>
      <c r="AD44" s="227"/>
      <c r="AE44" s="224">
        <v>2.0499999999999998</v>
      </c>
      <c r="AF44" s="223"/>
      <c r="AK44" s="210"/>
      <c r="AL44" s="211"/>
      <c r="AM44" s="18" t="s">
        <v>93</v>
      </c>
      <c r="AN44" s="150"/>
      <c r="AO44" s="39" t="s">
        <v>66</v>
      </c>
      <c r="AP44" s="8"/>
      <c r="AQ44" s="217"/>
      <c r="AR44" s="217"/>
      <c r="AS44" s="121">
        <v>1.46</v>
      </c>
      <c r="AT44" s="124"/>
      <c r="AU44" s="92">
        <f>M44/AS44</f>
        <v>0</v>
      </c>
    </row>
    <row r="45" spans="1:50" ht="15.6" x14ac:dyDescent="0.3">
      <c r="A45" s="218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7"/>
      <c r="U45" s="211"/>
      <c r="V45" s="211"/>
      <c r="W45" s="211"/>
      <c r="X45" s="223">
        <v>1.79</v>
      </c>
      <c r="Y45" s="223"/>
      <c r="Z45" s="227"/>
      <c r="AA45" s="227"/>
      <c r="AB45" s="227"/>
      <c r="AC45" s="227"/>
      <c r="AD45" s="227"/>
      <c r="AE45" s="224">
        <v>2.0499999999999998</v>
      </c>
      <c r="AF45" s="223"/>
      <c r="AK45" s="210"/>
      <c r="AL45" s="211"/>
      <c r="AM45" s="17" t="s">
        <v>68</v>
      </c>
      <c r="AN45" s="150"/>
      <c r="AO45" s="39" t="s">
        <v>69</v>
      </c>
      <c r="AP45" s="231"/>
      <c r="AQ45" s="233"/>
      <c r="AR45" s="233"/>
      <c r="AS45" s="121">
        <v>3.3330000000000002</v>
      </c>
      <c r="AT45" s="124"/>
      <c r="AU45" s="92">
        <f t="shared" ref="AU45:AU54" si="9">M46/AS45</f>
        <v>0</v>
      </c>
      <c r="AV45" s="234"/>
    </row>
    <row r="46" spans="1:50" s="231" customFormat="1" ht="15.6" x14ac:dyDescent="0.3">
      <c r="A46" s="228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>
        <v>2</v>
      </c>
      <c r="T46" s="229"/>
      <c r="U46" s="230"/>
      <c r="V46" s="230"/>
      <c r="W46" s="230"/>
      <c r="X46" s="223">
        <v>1.8</v>
      </c>
      <c r="Y46" s="223"/>
      <c r="Z46" s="229"/>
      <c r="AA46" s="229"/>
      <c r="AB46" s="229"/>
      <c r="AC46" s="229"/>
      <c r="AD46" s="229"/>
      <c r="AE46" s="224">
        <v>2.15</v>
      </c>
      <c r="AF46" s="223"/>
      <c r="AK46" s="232"/>
      <c r="AL46" s="230"/>
      <c r="AM46" s="17" t="s">
        <v>52</v>
      </c>
      <c r="AN46" s="150"/>
      <c r="AO46" s="39" t="s">
        <v>1</v>
      </c>
      <c r="AQ46" s="233"/>
      <c r="AR46" s="233"/>
      <c r="AS46" s="121">
        <v>2.1</v>
      </c>
      <c r="AT46" s="124"/>
      <c r="AU46" s="92">
        <f t="shared" si="9"/>
        <v>0</v>
      </c>
      <c r="AV46" s="234"/>
      <c r="AW46" s="235"/>
    </row>
    <row r="47" spans="1:50" s="231" customFormat="1" ht="15.6" x14ac:dyDescent="0.3">
      <c r="A47" s="228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1.77</v>
      </c>
      <c r="Y47" s="223"/>
      <c r="Z47" s="229"/>
      <c r="AA47" s="229"/>
      <c r="AB47" s="229"/>
      <c r="AC47" s="229"/>
      <c r="AD47" s="229"/>
      <c r="AE47" s="224">
        <v>1.6</v>
      </c>
      <c r="AF47" s="223"/>
      <c r="AK47" s="232"/>
      <c r="AL47" s="230"/>
      <c r="AM47" s="17" t="s">
        <v>94</v>
      </c>
      <c r="AN47" s="150"/>
      <c r="AO47" s="39" t="s">
        <v>53</v>
      </c>
      <c r="AQ47" s="233"/>
      <c r="AR47" s="233"/>
      <c r="AS47" s="121">
        <v>1.43</v>
      </c>
      <c r="AT47" s="124"/>
      <c r="AU47" s="92">
        <f t="shared" si="9"/>
        <v>0</v>
      </c>
      <c r="AV47" s="234"/>
      <c r="AW47" s="235"/>
    </row>
    <row r="48" spans="1:50" s="231" customFormat="1" ht="15.6" x14ac:dyDescent="0.3">
      <c r="A48" s="228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/>
      <c r="T48" s="229"/>
      <c r="U48" s="230"/>
      <c r="V48" s="230"/>
      <c r="W48" s="230"/>
      <c r="X48" s="223">
        <v>1.82</v>
      </c>
      <c r="Y48" s="223"/>
      <c r="Z48" s="229"/>
      <c r="AA48" s="229">
        <v>0</v>
      </c>
      <c r="AB48" s="229"/>
      <c r="AC48" s="229"/>
      <c r="AD48" s="229"/>
      <c r="AE48" s="224">
        <v>2.17</v>
      </c>
      <c r="AF48" s="223"/>
      <c r="AK48" s="232"/>
      <c r="AL48" s="230"/>
      <c r="AM48" s="17" t="s">
        <v>54</v>
      </c>
      <c r="AN48" s="6"/>
      <c r="AO48" s="39" t="s">
        <v>2</v>
      </c>
      <c r="AQ48" s="233"/>
      <c r="AR48" s="233"/>
      <c r="AS48" s="121">
        <v>2.69</v>
      </c>
      <c r="AT48" s="124"/>
      <c r="AU48" s="92">
        <f t="shared" si="9"/>
        <v>0</v>
      </c>
      <c r="AV48" s="234"/>
      <c r="AW48" s="235"/>
    </row>
    <row r="49" spans="1:49" s="231" customFormat="1" ht="15.6" x14ac:dyDescent="0.3">
      <c r="A49" s="228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/>
      <c r="T49" s="229"/>
      <c r="U49" s="230"/>
      <c r="V49" s="230"/>
      <c r="W49" s="230"/>
      <c r="X49" s="223">
        <v>1.82</v>
      </c>
      <c r="Y49" s="223"/>
      <c r="Z49" s="229"/>
      <c r="AA49" s="229"/>
      <c r="AB49" s="229"/>
      <c r="AC49" s="229"/>
      <c r="AD49" s="229"/>
      <c r="AE49" s="224">
        <v>2.1800000000000002</v>
      </c>
      <c r="AF49" s="223"/>
      <c r="AK49" s="232"/>
      <c r="AL49" s="230"/>
      <c r="AM49" s="17" t="s">
        <v>63</v>
      </c>
      <c r="AN49" s="6"/>
      <c r="AO49" s="39" t="s">
        <v>64</v>
      </c>
      <c r="AQ49" s="233"/>
      <c r="AR49" s="233"/>
      <c r="AS49" s="121">
        <v>1.28</v>
      </c>
      <c r="AT49" s="124"/>
      <c r="AU49" s="92">
        <f t="shared" si="9"/>
        <v>0</v>
      </c>
      <c r="AV49" s="234"/>
      <c r="AW49" s="235"/>
    </row>
    <row r="50" spans="1:49" s="231" customFormat="1" ht="15.6" x14ac:dyDescent="0.3">
      <c r="A50" s="228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</v>
      </c>
      <c r="T50" s="229"/>
      <c r="U50" s="230"/>
      <c r="V50" s="230"/>
      <c r="W50" s="230"/>
      <c r="X50" s="223">
        <v>1.8</v>
      </c>
      <c r="Y50" s="223"/>
      <c r="Z50" s="229"/>
      <c r="AA50" s="229"/>
      <c r="AB50" s="229"/>
      <c r="AC50" s="229"/>
      <c r="AD50" s="229"/>
      <c r="AE50" s="224">
        <v>2.1</v>
      </c>
      <c r="AF50" s="223"/>
      <c r="AK50" s="232"/>
      <c r="AL50" s="230"/>
      <c r="AM50" s="17" t="s">
        <v>91</v>
      </c>
      <c r="AN50" s="153"/>
      <c r="AO50" s="19" t="s">
        <v>90</v>
      </c>
      <c r="AP50" s="8"/>
      <c r="AQ50" s="217"/>
      <c r="AR50" s="217"/>
      <c r="AS50" s="121">
        <v>1.1000000000000001</v>
      </c>
      <c r="AT50" s="124"/>
      <c r="AU50" s="92">
        <f t="shared" si="9"/>
        <v>0</v>
      </c>
      <c r="AV50" s="238"/>
      <c r="AW50" s="235"/>
    </row>
    <row r="51" spans="1:49" ht="15.6" x14ac:dyDescent="0.3">
      <c r="A51" s="228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>
        <v>1.98</v>
      </c>
      <c r="T51" s="227"/>
      <c r="U51" s="236"/>
      <c r="V51" s="236"/>
      <c r="W51" s="236"/>
      <c r="X51" s="223"/>
      <c r="Y51" s="223"/>
      <c r="Z51" s="227"/>
      <c r="AA51" s="227"/>
      <c r="AB51" s="227"/>
      <c r="AC51" s="227"/>
      <c r="AD51" s="227"/>
      <c r="AE51" s="224"/>
      <c r="AF51" s="223"/>
      <c r="AK51" s="237"/>
      <c r="AL51" s="236"/>
      <c r="AM51" s="18" t="s">
        <v>56</v>
      </c>
      <c r="AN51" s="18"/>
      <c r="AO51" s="39" t="s">
        <v>57</v>
      </c>
      <c r="AP51" s="8"/>
      <c r="AQ51" s="217"/>
      <c r="AR51" s="217"/>
      <c r="AS51" s="121">
        <v>2.5299999999999998</v>
      </c>
      <c r="AT51" s="124"/>
      <c r="AU51" s="92">
        <f t="shared" si="9"/>
        <v>0</v>
      </c>
      <c r="AV51" s="238"/>
      <c r="AW51" s="239"/>
    </row>
    <row r="52" spans="1:49" ht="15.6" x14ac:dyDescent="0.3">
      <c r="A52" s="228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>
        <v>2.0099999999999998</v>
      </c>
      <c r="T52" s="227"/>
      <c r="U52" s="236"/>
      <c r="V52" s="236"/>
      <c r="W52" s="236"/>
      <c r="X52" s="223">
        <v>1.82</v>
      </c>
      <c r="Y52" s="223"/>
      <c r="Z52" s="227"/>
      <c r="AA52" s="227"/>
      <c r="AB52" s="227"/>
      <c r="AC52" s="227"/>
      <c r="AD52" s="227"/>
      <c r="AE52" s="224">
        <v>2.1</v>
      </c>
      <c r="AF52" s="223"/>
      <c r="AK52" s="237"/>
      <c r="AL52" s="236"/>
      <c r="AM52" s="152" t="s">
        <v>103</v>
      </c>
      <c r="AN52" s="153"/>
      <c r="AO52" s="62" t="s">
        <v>102</v>
      </c>
      <c r="AP52" s="8"/>
      <c r="AQ52" s="217"/>
      <c r="AR52" s="217"/>
      <c r="AS52" s="121">
        <v>0.98</v>
      </c>
      <c r="AT52" s="124"/>
      <c r="AU52" s="92">
        <f t="shared" si="9"/>
        <v>0</v>
      </c>
      <c r="AV52" s="238"/>
      <c r="AW52" s="239"/>
    </row>
    <row r="53" spans="1:49" ht="15.6" x14ac:dyDescent="0.3">
      <c r="A53" s="228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/>
      <c r="T53" s="227"/>
      <c r="U53" s="236"/>
      <c r="V53" s="236"/>
      <c r="W53" s="236"/>
      <c r="X53" s="223">
        <v>1.8</v>
      </c>
      <c r="Y53" s="223"/>
      <c r="Z53" s="227"/>
      <c r="AA53" s="227"/>
      <c r="AB53" s="227"/>
      <c r="AC53" s="227"/>
      <c r="AD53" s="227"/>
      <c r="AE53" s="224">
        <v>2.15</v>
      </c>
      <c r="AF53" s="223"/>
      <c r="AK53" s="237"/>
      <c r="AL53" s="236"/>
      <c r="AM53" s="17" t="s">
        <v>55</v>
      </c>
      <c r="AN53" s="18"/>
      <c r="AO53" s="39" t="s">
        <v>3</v>
      </c>
      <c r="AP53" s="8"/>
      <c r="AQ53" s="217"/>
      <c r="AR53" s="217"/>
      <c r="AS53" s="121">
        <v>0.83</v>
      </c>
      <c r="AT53" s="124"/>
      <c r="AU53" s="92">
        <f t="shared" si="9"/>
        <v>0</v>
      </c>
      <c r="AV53" s="238"/>
      <c r="AW53" s="239"/>
    </row>
    <row r="54" spans="1:49" ht="15.6" x14ac:dyDescent="0.3">
      <c r="A54" s="228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>
        <v>2</v>
      </c>
      <c r="T54" s="227"/>
      <c r="U54" s="236"/>
      <c r="V54" s="236"/>
      <c r="W54" s="236"/>
      <c r="X54" s="223">
        <v>1.82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K54" s="237"/>
      <c r="AL54" s="236"/>
      <c r="AM54" s="17" t="s">
        <v>83</v>
      </c>
      <c r="AN54" s="18"/>
      <c r="AO54" s="39" t="s">
        <v>4</v>
      </c>
      <c r="AP54" s="8"/>
      <c r="AQ54" s="217"/>
      <c r="AR54" s="217"/>
      <c r="AS54" s="121">
        <v>1.72</v>
      </c>
      <c r="AT54" s="124"/>
      <c r="AU54" s="92">
        <f t="shared" si="9"/>
        <v>0</v>
      </c>
      <c r="AV54" s="238"/>
      <c r="AW54" s="239"/>
    </row>
    <row r="55" spans="1:49" ht="15.6" x14ac:dyDescent="0.3">
      <c r="A55" s="228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/>
      <c r="T55" s="227"/>
      <c r="U55" s="236"/>
      <c r="V55" s="236"/>
      <c r="W55" s="236"/>
      <c r="X55" s="223">
        <v>1.8</v>
      </c>
      <c r="Y55" s="223"/>
      <c r="Z55" s="227"/>
      <c r="AA55" s="227"/>
      <c r="AB55" s="227"/>
      <c r="AC55" s="227"/>
      <c r="AD55" s="227"/>
      <c r="AE55" s="224">
        <v>2.15</v>
      </c>
      <c r="AF55" s="223"/>
      <c r="AK55" s="237"/>
      <c r="AL55" s="236"/>
      <c r="AM55" s="5"/>
      <c r="AN55" s="5"/>
      <c r="AO55" s="6"/>
      <c r="AP55" s="8"/>
      <c r="AQ55" s="217"/>
      <c r="AR55" s="217"/>
      <c r="AS55" s="155"/>
      <c r="AT55" s="7"/>
      <c r="AU55" s="136"/>
      <c r="AV55" s="238"/>
      <c r="AW55" s="239"/>
    </row>
    <row r="56" spans="1:49" ht="15.6" x14ac:dyDescent="0.3">
      <c r="A56" s="240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>
        <v>2</v>
      </c>
      <c r="T56" s="227"/>
      <c r="U56" s="236"/>
      <c r="V56" s="236"/>
      <c r="W56" s="236"/>
      <c r="X56" s="223">
        <v>1.75</v>
      </c>
      <c r="Y56" s="223"/>
      <c r="Z56" s="227"/>
      <c r="AA56" s="227"/>
      <c r="AB56" s="227"/>
      <c r="AC56" s="227"/>
      <c r="AD56" s="227"/>
      <c r="AE56" s="224">
        <v>2.15</v>
      </c>
      <c r="AF56" s="223"/>
      <c r="AK56" s="237"/>
      <c r="AL56" s="236"/>
      <c r="AM56" s="17" t="s">
        <v>88</v>
      </c>
      <c r="AN56" s="18"/>
      <c r="AO56" s="19"/>
      <c r="AP56" s="8"/>
      <c r="AQ56" s="217"/>
      <c r="AR56" s="217"/>
      <c r="AS56" s="168"/>
      <c r="AT56" s="169"/>
      <c r="AU56" s="166">
        <f>AVERAGE(AU44:AU54)</f>
        <v>0</v>
      </c>
      <c r="AV56" s="186"/>
      <c r="AW56" s="239"/>
    </row>
    <row r="57" spans="1:49" ht="15.6" x14ac:dyDescent="0.3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19"/>
      <c r="T57" s="227"/>
      <c r="U57" s="236"/>
      <c r="V57" s="236"/>
      <c r="W57" s="236"/>
      <c r="X57" s="223"/>
      <c r="Y57" s="223"/>
      <c r="Z57" s="227"/>
      <c r="AA57" s="227"/>
      <c r="AB57" s="227"/>
      <c r="AC57" s="227"/>
      <c r="AD57" s="227"/>
      <c r="AE57" s="224"/>
      <c r="AF57" s="223"/>
      <c r="AK57" s="237"/>
      <c r="AL57" s="236"/>
      <c r="AM57" s="236"/>
      <c r="AN57" s="249"/>
      <c r="AO57" s="249"/>
      <c r="AP57" s="249"/>
      <c r="AQ57" s="217"/>
      <c r="AR57" s="217"/>
      <c r="AS57" s="217"/>
      <c r="AU57" s="185"/>
      <c r="AV57" s="186"/>
      <c r="AW57" s="187"/>
    </row>
    <row r="58" spans="1:49" ht="15.6" x14ac:dyDescent="0.3">
      <c r="A58" s="241" t="s">
        <v>16</v>
      </c>
      <c r="B58" s="242"/>
      <c r="C58" s="242"/>
      <c r="D58" s="242"/>
      <c r="E58" s="242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243">
        <f>AVERAGE(S37:S55)</f>
        <v>1.9988888888888892</v>
      </c>
      <c r="T58" s="244"/>
      <c r="U58" s="245"/>
      <c r="V58" s="245"/>
      <c r="W58" s="245"/>
      <c r="X58" s="246">
        <f>AVERAGE(X37:X56)</f>
        <v>1.8022222222222224</v>
      </c>
      <c r="Y58" s="246"/>
      <c r="Z58" s="244"/>
      <c r="AA58" s="244"/>
      <c r="AB58" s="244"/>
      <c r="AC58" s="244"/>
      <c r="AD58" s="244"/>
      <c r="AE58" s="247">
        <f>AVERAGE(AE37:AE56)</f>
        <v>2.0794117647058821</v>
      </c>
      <c r="AF58" s="223"/>
      <c r="AG58" s="248"/>
      <c r="AH58" s="248"/>
      <c r="AI58" s="248"/>
      <c r="AJ58" s="248"/>
      <c r="AK58" s="237"/>
      <c r="AL58" s="236"/>
      <c r="AM58" s="236"/>
      <c r="AN58" s="249"/>
      <c r="AO58" s="249"/>
      <c r="AP58" s="249"/>
      <c r="AQ58" s="217"/>
      <c r="AR58" s="217"/>
      <c r="AS58" s="217"/>
      <c r="AU58" s="185"/>
      <c r="AV58" s="186"/>
      <c r="AW58" s="187"/>
    </row>
    <row r="59" spans="1:49" ht="15.6" x14ac:dyDescent="0.3">
      <c r="C59" s="8"/>
      <c r="U59" s="8"/>
      <c r="W59" s="8"/>
      <c r="AF59" s="223"/>
      <c r="AG59" s="248"/>
      <c r="AH59" s="248"/>
      <c r="AI59" s="248"/>
      <c r="AJ59" s="248"/>
      <c r="AK59" s="237"/>
      <c r="AL59" s="236"/>
      <c r="AW59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2001-10-12T20:18:49Z</cp:lastPrinted>
  <dcterms:created xsi:type="dcterms:W3CDTF">1997-07-25T21:14:12Z</dcterms:created>
  <dcterms:modified xsi:type="dcterms:W3CDTF">2023-09-10T15:59:43Z</dcterms:modified>
</cp:coreProperties>
</file>