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448" windowWidth="12000" windowHeight="5556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<sst xmlns="http://schemas.openxmlformats.org/spreadsheetml/2006/main" count="398" uniqueCount="144">
  <si>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</si>
  <si>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</si>
  <si>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</si>
  <si>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</si>
  <si>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</si>
  <si>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</si>
  <si>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</si>
  <si>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</si>
  <si>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</si>
  <si>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</si>
  <si>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</si>
  <si>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</si>
  <si>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</si>
  <si>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</si>
  <si>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</si>
  <si>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</si>
  <si>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</si>
  <si>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</si>
  <si>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</si>
  <si>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</si>
  <si>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</si>
  <si>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</si>
  <si>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</si>
  <si>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</si>
  <si>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</si>
  <si>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</si>
  <si>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</si>
  <si>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</si>
  <si>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</si>
  <si>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</si>
  <si>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</si>
  <si>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</si>
  <si>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</si>
  <si>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</si>
  <si>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</si>
  <si>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</si>
  <si>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</si>
  <si>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</si>
  <si>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</si>
  <si>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</si>
  <si>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</si>
  <si>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</si>
  <si>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</si>
  <si>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</si>
  <si>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</si>
  <si>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</si>
  <si>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</si>
  <si>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</si>
  <si>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</si>
  <si>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</si>
  <si>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</si>
  <si>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</si>
  <si>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</si>
  <si>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</si>
  <si>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</si>
  <si>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</si>
  <si>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</si>
  <si>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</si>
  <si>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</si>
  <si>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</si>
  <si>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</si>
  <si>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</si>
  <si>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</si>
  <si>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</si>
  <si>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</si>
  <si>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</si>
  <si>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</si>
  <si>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</si>
  <si>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</si>
  <si>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</si>
  <si>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</si>
  <si>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</si>
  <si>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</si>
  <si>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</si>
  <si>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</si>
  <si>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</si>
  <si>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</si>
  <si>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</si>
  <si>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</si>
  <si>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</si>
  <si>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</si>
  <si>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</si>
  <si>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</si>
  <si>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</si>
  <si>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</si>
  <si>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</si>
  <si>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</si>
  <si>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</si>
  <si>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</si>
  <si>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</si>
  <si>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</si>
  <si>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</si>
  <si>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</si>
  <si>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</si>
  <si>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</si>
  <si>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</si>
  <si>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</si>
  <si>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</si>
  <si>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</si>
  <si>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</si>
  <si>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</si>
  <si>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</si>
  <si>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</si>
  <si>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</si>
  <si>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</si>
  <si>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</si>
  <si>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</si>
  <si>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</si>
  <si>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020100</t>
  </si>
  <si>
    <t>Sera</t>
  </si>
  <si>
    <t>Sherri Reinartz</t>
  </si>
  <si>
    <t>Executive Assistant</t>
  </si>
  <si>
    <t>473-74-7980</t>
  </si>
  <si>
    <t>0011</t>
  </si>
  <si>
    <t>EB5008</t>
  </si>
  <si>
    <t>713/345-7774</t>
  </si>
  <si>
    <t>Roundtrip airfare to Phoenix for EBS Off-site meeting</t>
  </si>
  <si>
    <t>100017</t>
  </si>
  <si>
    <t>52004500</t>
  </si>
  <si>
    <t>P</t>
  </si>
  <si>
    <t>Airfare for South America site visits</t>
  </si>
  <si>
    <t>Additional leg - Airfare for South America site visits</t>
  </si>
  <si>
    <t>52002500</t>
  </si>
  <si>
    <t>Non-refundable handling charge for Visa for Brazil</t>
  </si>
  <si>
    <t>Airfare for Phoenix - Executive Committee Conference</t>
  </si>
  <si>
    <t>3</t>
  </si>
  <si>
    <t>52003000</t>
  </si>
  <si>
    <t>Offshore fishing tours for guest of World Energy Roundtable</t>
  </si>
  <si>
    <t>See attached list</t>
  </si>
  <si>
    <t>500000141</t>
  </si>
  <si>
    <t>Hotel - site visit - Executive Committee Retreat</t>
  </si>
  <si>
    <t>4</t>
  </si>
  <si>
    <t>52003500</t>
  </si>
  <si>
    <t>D</t>
  </si>
  <si>
    <t>YPO Executive Assistants Dinner - Self</t>
  </si>
  <si>
    <t>5</t>
  </si>
  <si>
    <t>R</t>
  </si>
  <si>
    <t>Relationship Building</t>
  </si>
  <si>
    <t>Mary Speltz - Reliant Energy</t>
  </si>
  <si>
    <t>EWI Past Presidents' Luncheon invitations</t>
  </si>
  <si>
    <t xml:space="preserve">Reception for EWI installation </t>
  </si>
  <si>
    <t>EWI Membership</t>
  </si>
  <si>
    <t xml:space="preserve">Assoc./Analyst Program discussion </t>
  </si>
  <si>
    <t>Celeste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</si>
</sst>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90">
        <f>'Short Form'!C29</f>
        <v>0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0</v>
      </c>
      <c r="B5" s="293">
        <f>'Short Form'!A44</f>
        <v>0</v>
      </c>
      <c r="C5" s="293">
        <f>'Short Form'!B44</f>
        <v>0</v>
      </c>
      <c r="D5" s="390">
        <f>'Short Form'!C44</f>
        <v>0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3561.26</v>
      </c>
      <c r="B7" s="293" t="str">
        <f>'Travel Form'!B49</f>
        <v>100017</v>
      </c>
      <c r="C7" s="293" t="str">
        <f>'Travel Form'!C49</f>
        <v>0011</v>
      </c>
      <c r="D7" s="390" t="str">
        <f>'Travel Form'!D49:G49</f>
        <v>52004500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1207.8399999999999</v>
      </c>
      <c r="B13" s="293" t="str">
        <f>'Meals and Ent Sup'!B49</f>
        <v>100017</v>
      </c>
      <c r="C13" s="293" t="str">
        <f>'Meals and Ent Sup'!C49</f>
        <v>0011</v>
      </c>
      <c r="D13" s="390" t="str">
        <f>'Meals and Ent Sup'!D49</f>
        <v>52003000</v>
      </c>
      <c r="E13" s="390"/>
      <c r="F13" s="390"/>
      <c r="G13" s="390"/>
      <c r="H13" s="390" t="str">
        <f>'Meals and Ent Sup'!H49</f>
        <v>500000141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172.55</v>
      </c>
      <c r="B15" s="293" t="str">
        <f>'Meals and Ent Sup'!B51</f>
        <v>100017</v>
      </c>
      <c r="C15" s="293" t="str">
        <f>'Meals and Ent Sup'!C51</f>
        <v>0011</v>
      </c>
      <c r="D15" s="390" t="str">
        <f>'Meals and Ent Sup'!D51</f>
        <v>52003500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345.1</v>
      </c>
      <c r="B17" s="293" t="str">
        <f>'Meals and Ent Sup'!B53</f>
        <v>100017</v>
      </c>
      <c r="C17" s="293" t="str">
        <f>'Meals and Ent Sup'!C53</f>
        <v>0011</v>
      </c>
      <c r="D17" s="390" t="str">
        <f>'Meals and Ent Sup'!D53</f>
        <v>52003000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240.77</v>
      </c>
      <c r="B19" s="293" t="str">
        <f>'Misc. Exp. Sup'!B49</f>
        <v>100017</v>
      </c>
      <c r="C19" s="351" t="str">
        <f>'Misc. Exp. Sup'!C49</f>
        <v>0011</v>
      </c>
      <c r="D19" s="389" t="str">
        <f>'Misc. Exp. Sup'!D49</f>
        <v>52002500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5527.52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C43" zoomScale="75" workbookViewId="0">
      <selection activeCell="A14" sqref="A14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36557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4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1725.49</v>
      </c>
    </row>
    <row r="29" spans="1:64" ht="24" customHeight="1" x14ac:dyDescent="0.25">
      <c r="A29" s="299"/>
      <c r="B29" s="299"/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1725.49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9"/>
      <c r="M34" s="196"/>
      <c r="N34" s="189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0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240.77</v>
      </c>
    </row>
    <row r="44" spans="1:64" ht="24" customHeight="1" x14ac:dyDescent="0.25">
      <c r="A44" s="299"/>
      <c r="B44" s="299"/>
      <c r="C44" s="395"/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240.77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3561.26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5527.52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5527.52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Sera</v>
      </c>
      <c r="B62" s="250" t="str">
        <f>IF(ISBLANK($E$6),TRIM(" "),$E$6)</f>
        <v>Sherri Reinartz</v>
      </c>
      <c r="C62" s="295" t="str">
        <f>TEXT(IF(ISBLANK($N$2),"      ",$N$2),"000000")</f>
        <v>020100</v>
      </c>
      <c r="D62" s="110" t="str">
        <f>TEXT($K$6,"###-##-####")</f>
        <v>473-74-7980</v>
      </c>
      <c r="E62" s="251" t="str">
        <f>TEXT($N$52,"######0.00")</f>
        <v>5527.52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E42" zoomScale="80" workbookViewId="0">
      <selection activeCell="M50" sqref="M50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Sera</v>
      </c>
      <c r="B5" s="121"/>
      <c r="C5" s="121"/>
      <c r="D5" s="121"/>
      <c r="E5" s="253" t="str">
        <f>'Short Form'!E6</f>
        <v>Sherri Reinartz</v>
      </c>
      <c r="F5" s="121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>
        <v>36556</v>
      </c>
      <c r="C12" s="137" t="s">
        <v>116</v>
      </c>
      <c r="D12" s="166"/>
      <c r="E12" s="166"/>
      <c r="F12" s="166"/>
      <c r="G12" s="167"/>
      <c r="H12" s="166"/>
      <c r="I12" s="168"/>
      <c r="J12" s="166"/>
      <c r="K12" s="166"/>
      <c r="L12" s="255" t="s">
        <v>119</v>
      </c>
      <c r="M12" s="260">
        <v>481.08</v>
      </c>
      <c r="N12" s="258"/>
      <c r="O12" s="189">
        <f t="shared" ref="O12:O27" si="0">IF(N12=" ",M12*1,M12*N12)</f>
        <v>481.08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61</v>
      </c>
      <c r="B13" s="148">
        <v>36546</v>
      </c>
      <c r="C13" s="124" t="s">
        <v>120</v>
      </c>
      <c r="D13" s="166"/>
      <c r="E13" s="166"/>
      <c r="F13" s="166"/>
      <c r="G13" s="167"/>
      <c r="H13" s="166"/>
      <c r="I13" s="166"/>
      <c r="J13" s="166"/>
      <c r="K13" s="166"/>
      <c r="L13" s="255" t="s">
        <v>119</v>
      </c>
      <c r="M13" s="260">
        <v>899.5</v>
      </c>
      <c r="N13" s="258"/>
      <c r="O13" s="189">
        <f t="shared" si="0"/>
        <v>899.5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61</v>
      </c>
      <c r="B14" s="148">
        <v>36555</v>
      </c>
      <c r="C14" s="124" t="s">
        <v>121</v>
      </c>
      <c r="D14" s="166"/>
      <c r="E14" s="166"/>
      <c r="F14" s="166"/>
      <c r="G14" s="167"/>
      <c r="H14" s="166"/>
      <c r="I14" s="166"/>
      <c r="J14" s="166"/>
      <c r="K14" s="166"/>
      <c r="L14" s="255" t="s">
        <v>119</v>
      </c>
      <c r="M14" s="260">
        <v>1311.8</v>
      </c>
      <c r="N14" s="258"/>
      <c r="O14" s="189">
        <f t="shared" si="0"/>
        <v>1311.8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61</v>
      </c>
      <c r="B15" s="148">
        <v>36536</v>
      </c>
      <c r="C15" s="124" t="s">
        <v>124</v>
      </c>
      <c r="D15" s="166"/>
      <c r="E15" s="166"/>
      <c r="F15" s="166"/>
      <c r="G15" s="167"/>
      <c r="H15" s="166"/>
      <c r="I15" s="166"/>
      <c r="J15" s="166"/>
      <c r="K15" s="166"/>
      <c r="L15" s="255" t="s">
        <v>119</v>
      </c>
      <c r="M15" s="260">
        <v>237.23</v>
      </c>
      <c r="N15" s="258"/>
      <c r="O15" s="189">
        <f t="shared" si="0"/>
        <v>237.23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 t="s">
        <v>61</v>
      </c>
      <c r="B16" s="148">
        <v>36500</v>
      </c>
      <c r="C16" s="124" t="s">
        <v>130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631.65</v>
      </c>
      <c r="N16" s="258"/>
      <c r="O16" s="189">
        <f t="shared" si="0"/>
        <v>631.65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3561.26</v>
      </c>
      <c r="L41" s="95"/>
      <c r="M41" s="300" t="s">
        <v>76</v>
      </c>
      <c r="N41" s="300"/>
      <c r="O41" s="125">
        <f>SUM(O12:O40)</f>
        <v>3561.26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117</v>
      </c>
      <c r="C49" s="341" t="s">
        <v>113</v>
      </c>
      <c r="D49" s="405" t="s">
        <v>118</v>
      </c>
      <c r="E49" s="406"/>
      <c r="F49" s="406"/>
      <c r="G49" s="407"/>
      <c r="H49" s="405"/>
      <c r="I49" s="408"/>
      <c r="J49" s="188"/>
      <c r="K49" s="188"/>
      <c r="L49" s="345">
        <v>1</v>
      </c>
      <c r="M49" s="73"/>
      <c r="N49" s="93"/>
      <c r="O49" s="169">
        <f>IF($L$49=" ",SUMIF($A$12:$A$40,A49,$O$12:$O$40),$K$41*$L$49)</f>
        <v>3561.26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3561.26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E42" zoomScale="80" workbookViewId="0">
      <selection activeCell="N55" sqref="N55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>
        <f>IF((VALUE('Short Form'!I62)&lt;&gt;0),1+VALUE('Short Form'!H62)+VALUE('Short Form'!I62),"")</f>
        <v>3</v>
      </c>
      <c r="N2" s="269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Sera</v>
      </c>
      <c r="B5" s="121"/>
      <c r="C5" s="121"/>
      <c r="D5" s="121"/>
      <c r="E5" s="254" t="str">
        <f>'Short Form'!E6</f>
        <v>Sherri Reinartz</v>
      </c>
      <c r="F5" s="121"/>
      <c r="G5" s="121"/>
      <c r="H5" s="178" t="str">
        <f>'Short Form'!H6</f>
        <v>Executive Assistant</v>
      </c>
      <c r="I5" s="121"/>
      <c r="J5" s="121"/>
      <c r="K5" s="19"/>
      <c r="L5" s="144" t="str">
        <f>'Short Form'!K6</f>
        <v>473-74-7980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 t="s">
        <v>125</v>
      </c>
      <c r="B10" s="146">
        <v>36465</v>
      </c>
      <c r="C10" s="135"/>
      <c r="D10" s="126" t="s">
        <v>127</v>
      </c>
      <c r="E10" s="155"/>
      <c r="F10" s="155"/>
      <c r="G10" s="156"/>
      <c r="H10" s="157"/>
      <c r="I10" s="126" t="s">
        <v>128</v>
      </c>
      <c r="J10" s="155"/>
      <c r="K10" s="155"/>
      <c r="L10" s="260">
        <v>1314.4</v>
      </c>
      <c r="M10" s="256"/>
      <c r="N10" s="189">
        <f t="shared" ref="N10:N25" si="0">IF(M10=" ",L10*1,L10*M10)</f>
        <v>1314.4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 t="s">
        <v>131</v>
      </c>
      <c r="B11" s="146">
        <v>36542</v>
      </c>
      <c r="C11" s="135" t="s">
        <v>133</v>
      </c>
      <c r="D11" s="126" t="s">
        <v>134</v>
      </c>
      <c r="E11" s="155"/>
      <c r="F11" s="155"/>
      <c r="G11" s="156"/>
      <c r="H11" s="157"/>
      <c r="I11" s="127"/>
      <c r="J11" s="155"/>
      <c r="K11" s="156"/>
      <c r="L11" s="260">
        <v>30</v>
      </c>
      <c r="M11" s="256"/>
      <c r="N11" s="189">
        <f t="shared" si="0"/>
        <v>30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 t="s">
        <v>135</v>
      </c>
      <c r="B12" s="146">
        <v>36487</v>
      </c>
      <c r="C12" s="135" t="s">
        <v>136</v>
      </c>
      <c r="D12" s="126" t="s">
        <v>137</v>
      </c>
      <c r="E12" s="155"/>
      <c r="F12" s="155"/>
      <c r="G12" s="156"/>
      <c r="H12" s="157"/>
      <c r="I12" s="127" t="s">
        <v>138</v>
      </c>
      <c r="J12" s="155"/>
      <c r="K12" s="156"/>
      <c r="L12" s="260">
        <v>28.17</v>
      </c>
      <c r="M12" s="256"/>
      <c r="N12" s="189">
        <f t="shared" si="0"/>
        <v>28.17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 t="s">
        <v>135</v>
      </c>
      <c r="B13" s="146">
        <v>36503</v>
      </c>
      <c r="C13" s="135" t="s">
        <v>136</v>
      </c>
      <c r="D13" s="126" t="s">
        <v>140</v>
      </c>
      <c r="E13" s="155"/>
      <c r="F13" s="155"/>
      <c r="G13" s="156"/>
      <c r="H13" s="157"/>
      <c r="I13" s="127" t="s">
        <v>141</v>
      </c>
      <c r="J13" s="155"/>
      <c r="K13" s="156"/>
      <c r="L13" s="260">
        <v>338.92</v>
      </c>
      <c r="M13" s="256"/>
      <c r="N13" s="189">
        <f t="shared" si="0"/>
        <v>338.92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 t="s">
        <v>135</v>
      </c>
      <c r="B14" s="146">
        <v>36495</v>
      </c>
      <c r="C14" s="135" t="s">
        <v>136</v>
      </c>
      <c r="D14" s="126" t="s">
        <v>142</v>
      </c>
      <c r="E14" s="155"/>
      <c r="F14" s="155"/>
      <c r="G14" s="156"/>
      <c r="H14" s="157"/>
      <c r="I14" s="127" t="s">
        <v>143</v>
      </c>
      <c r="J14" s="155"/>
      <c r="K14" s="156"/>
      <c r="L14" s="260">
        <v>14</v>
      </c>
      <c r="M14" s="256"/>
      <c r="N14" s="189">
        <f t="shared" si="0"/>
        <v>14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1725.49</v>
      </c>
      <c r="L41" s="300" t="s">
        <v>76</v>
      </c>
      <c r="M41" s="358"/>
      <c r="N41" s="131">
        <f>SUM(N10:N40)</f>
        <v>1725.49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 t="s">
        <v>125</v>
      </c>
      <c r="B49" s="340" t="s">
        <v>117</v>
      </c>
      <c r="C49" s="341" t="s">
        <v>113</v>
      </c>
      <c r="D49" s="405" t="s">
        <v>126</v>
      </c>
      <c r="E49" s="406"/>
      <c r="F49" s="406"/>
      <c r="G49" s="407"/>
      <c r="H49" s="405" t="s">
        <v>129</v>
      </c>
      <c r="I49" s="408"/>
      <c r="J49" s="188"/>
      <c r="K49" s="188"/>
      <c r="L49" s="283">
        <v>0.7</v>
      </c>
      <c r="M49" s="40"/>
      <c r="N49" s="169">
        <f>IF($L$49=" ",SUMIF($A$10:$A$40,A49,$N$10:$N$40),$K$41*$L$49)</f>
        <v>1207.8399999999999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 t="s">
        <v>131</v>
      </c>
      <c r="B51" s="349" t="s">
        <v>117</v>
      </c>
      <c r="C51" s="341" t="s">
        <v>113</v>
      </c>
      <c r="D51" s="405" t="s">
        <v>132</v>
      </c>
      <c r="E51" s="406"/>
      <c r="F51" s="406"/>
      <c r="G51" s="407"/>
      <c r="H51" s="405"/>
      <c r="I51" s="408"/>
      <c r="J51" s="188"/>
      <c r="K51" s="188"/>
      <c r="L51" s="283">
        <v>0.1</v>
      </c>
      <c r="M51" s="41"/>
      <c r="N51" s="169">
        <f>IF($L$51=" ",SUMIF($A$10:$A$40,A51,$N$10:$N$40),$K$41*$L$51)</f>
        <v>172.55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 t="s">
        <v>135</v>
      </c>
      <c r="B53" s="188" t="s">
        <v>117</v>
      </c>
      <c r="C53" s="341" t="s">
        <v>113</v>
      </c>
      <c r="D53" s="405" t="s">
        <v>126</v>
      </c>
      <c r="E53" s="406"/>
      <c r="F53" s="406"/>
      <c r="G53" s="407"/>
      <c r="H53" s="405"/>
      <c r="I53" s="408"/>
      <c r="J53" s="188"/>
      <c r="K53" s="188"/>
      <c r="L53" s="283">
        <v>0.2</v>
      </c>
      <c r="M53" s="41"/>
      <c r="N53" s="169">
        <f>IF($L$53=" ",SUMIF($A$10:$A$40,A53,$N$10:$N$40),$K$41*$L$53)</f>
        <v>345.1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1725.49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E42" zoomScale="80" workbookViewId="0">
      <selection activeCell="K51" sqref="K51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4</v>
      </c>
      <c r="O2" s="269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Sera</v>
      </c>
      <c r="B5" s="121"/>
      <c r="C5" s="121"/>
      <c r="D5" s="121"/>
      <c r="E5" s="253" t="str">
        <f>'Short Form'!E6</f>
        <v>Sherri Reinartz</v>
      </c>
      <c r="F5" s="172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 t="s">
        <v>62</v>
      </c>
      <c r="B10" s="148">
        <v>36539</v>
      </c>
      <c r="C10" s="124" t="s">
        <v>123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211</v>
      </c>
      <c r="N10" s="257"/>
      <c r="O10" s="189">
        <f>IF(N10=" ",M10*1,M10*N10)</f>
        <v>211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 t="s">
        <v>62</v>
      </c>
      <c r="B11" s="148">
        <v>36504</v>
      </c>
      <c r="C11" s="124" t="s">
        <v>139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>
        <v>29.77</v>
      </c>
      <c r="N11" s="257"/>
      <c r="O11" s="189">
        <f>IF(N11=" ",M11*1,M11*N11)</f>
        <v>29.77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240.77</v>
      </c>
      <c r="L41"/>
      <c r="M41" s="300" t="s">
        <v>76</v>
      </c>
      <c r="N41" s="300"/>
      <c r="O41" s="125">
        <f>SUM(O10:O40)</f>
        <v>240.77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 t="s">
        <v>62</v>
      </c>
      <c r="B49" s="340" t="s">
        <v>117</v>
      </c>
      <c r="C49" s="341" t="s">
        <v>113</v>
      </c>
      <c r="D49" s="405" t="s">
        <v>122</v>
      </c>
      <c r="E49" s="406"/>
      <c r="F49" s="406"/>
      <c r="G49" s="407"/>
      <c r="H49" s="405"/>
      <c r="I49" s="408"/>
      <c r="J49" s="188"/>
      <c r="K49" s="188"/>
      <c r="L49" s="284">
        <v>1</v>
      </c>
      <c r="M49" s="73"/>
      <c r="N49" s="93"/>
      <c r="O49" s="169">
        <f>IF($L$49=" ",SUMIF($A$10:$A$40,A49,$O$10:$O$40),$K$41*$L$49)</f>
        <v>240.77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1</v>
      </c>
      <c r="M55" s="307" t="s">
        <v>76</v>
      </c>
      <c r="N55" s="300"/>
      <c r="O55" s="125">
        <f>SUM(O49:O54)</f>
        <v>240.77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Sera</v>
      </c>
      <c r="B5" s="121"/>
      <c r="C5" s="121"/>
      <c r="D5" s="121"/>
      <c r="E5" s="253" t="str">
        <f>'Short Form'!E6</f>
        <v>Sherri Reinartz</v>
      </c>
      <c r="F5" s="121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Sera</v>
      </c>
      <c r="B5" s="121"/>
      <c r="C5" s="121"/>
      <c r="D5" s="121"/>
      <c r="E5" s="254" t="str">
        <f>'Short Form'!E6</f>
        <v>Sherri Reinartz</v>
      </c>
      <c r="F5" s="121"/>
      <c r="G5" s="121"/>
      <c r="H5" s="178" t="str">
        <f>'Short Form'!H6</f>
        <v>Executive Assistant</v>
      </c>
      <c r="I5" s="121"/>
      <c r="J5" s="121"/>
      <c r="K5" s="19"/>
      <c r="L5" s="144" t="str">
        <f>'Short Form'!K6</f>
        <v>473-74-7980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Sera</v>
      </c>
      <c r="B5" s="121"/>
      <c r="C5" s="121"/>
      <c r="D5" s="121"/>
      <c r="E5" s="253" t="str">
        <f>'Short Form'!E6</f>
        <v>Sherri Reinartz</v>
      </c>
      <c r="F5" s="172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2000-02-01T21:24:52Z</cp:lastPrinted>
  <dcterms:created xsi:type="dcterms:W3CDTF">1997-11-03T17:34:07Z</dcterms:created>
  <dcterms:modified xsi:type="dcterms:W3CDTF">2023-09-10T15:59:59Z</dcterms:modified>
</cp:coreProperties>
</file>