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T10" i="1"/>
  <c r="U10" i="1"/>
  <c r="V10" i="1"/>
  <c r="W10" i="1"/>
  <c r="X10" i="1"/>
  <c r="Z10" i="1"/>
  <c r="AA10" i="1"/>
  <c r="AB10" i="1"/>
  <c r="AC10" i="1"/>
  <c r="AD10" i="1"/>
  <c r="AE10" i="1"/>
  <c r="AF10" i="1"/>
  <c r="AG10" i="1"/>
  <c r="AI10" i="1"/>
  <c r="AJ10" i="1"/>
  <c r="AK10" i="1"/>
  <c r="AL10" i="1"/>
  <c r="AM10" i="1"/>
  <c r="AN10" i="1"/>
  <c r="AO10" i="1"/>
  <c r="AR10" i="1"/>
  <c r="AU10" i="1"/>
  <c r="AX10" i="1"/>
  <c r="AY10" i="1"/>
  <c r="AZ10" i="1"/>
  <c r="BA10" i="1"/>
  <c r="BB10" i="1"/>
  <c r="B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T14" i="1"/>
  <c r="U14" i="1"/>
  <c r="V14" i="1"/>
  <c r="W14" i="1"/>
  <c r="X14" i="1"/>
  <c r="Z14" i="1"/>
  <c r="AA14" i="1"/>
  <c r="AB14" i="1"/>
  <c r="AC14" i="1"/>
  <c r="AD14" i="1"/>
  <c r="AE14" i="1"/>
  <c r="AF14" i="1"/>
  <c r="AG14" i="1"/>
  <c r="AI14" i="1"/>
  <c r="AJ14" i="1"/>
  <c r="AK14" i="1"/>
  <c r="AL14" i="1"/>
  <c r="AM14" i="1"/>
  <c r="AN14" i="1"/>
  <c r="AO14" i="1"/>
  <c r="AR14" i="1"/>
  <c r="AU14" i="1"/>
  <c r="AX14" i="1"/>
  <c r="AY14" i="1"/>
  <c r="AZ14" i="1"/>
  <c r="BA14" i="1"/>
  <c r="BB14" i="1"/>
  <c r="O20" i="1"/>
  <c r="P20" i="1"/>
  <c r="AA20" i="1"/>
  <c r="N21" i="1"/>
  <c r="O21" i="1"/>
  <c r="P21" i="1"/>
  <c r="Z21" i="1"/>
  <c r="AA21" i="1"/>
  <c r="AO21" i="1"/>
  <c r="AR21" i="1"/>
  <c r="AU21" i="1"/>
  <c r="BA21" i="1"/>
  <c r="BB21" i="1"/>
  <c r="B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T22" i="1"/>
  <c r="U22" i="1"/>
  <c r="V22" i="1"/>
  <c r="W22" i="1"/>
  <c r="X22" i="1"/>
  <c r="Z22" i="1"/>
  <c r="AA22" i="1"/>
  <c r="AC22" i="1"/>
  <c r="AD22" i="1"/>
  <c r="AE22" i="1"/>
  <c r="AF22" i="1"/>
  <c r="AG22" i="1"/>
  <c r="AI22" i="1"/>
  <c r="AJ22" i="1"/>
  <c r="AK22" i="1"/>
  <c r="AL22" i="1"/>
  <c r="AM22" i="1"/>
  <c r="AN22" i="1"/>
  <c r="AO22" i="1"/>
  <c r="AR22" i="1"/>
  <c r="AU22" i="1"/>
  <c r="AX22" i="1"/>
  <c r="AY22" i="1"/>
  <c r="AZ22" i="1"/>
  <c r="BA22" i="1"/>
  <c r="BB22" i="1"/>
  <c r="B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T23" i="1"/>
  <c r="U23" i="1"/>
  <c r="V23" i="1"/>
  <c r="W23" i="1"/>
  <c r="X23" i="1"/>
  <c r="Z23" i="1"/>
  <c r="AA23" i="1"/>
  <c r="AC23" i="1"/>
  <c r="AD23" i="1"/>
  <c r="AE23" i="1"/>
  <c r="AF23" i="1"/>
  <c r="AG23" i="1"/>
  <c r="AI23" i="1"/>
  <c r="AJ23" i="1"/>
  <c r="AK23" i="1"/>
  <c r="AL23" i="1"/>
  <c r="AM23" i="1"/>
  <c r="AN23" i="1"/>
  <c r="AO23" i="1"/>
  <c r="AR23" i="1"/>
  <c r="AU23" i="1"/>
  <c r="AX23" i="1"/>
  <c r="AY23" i="1"/>
  <c r="AZ23" i="1"/>
  <c r="BA23" i="1"/>
  <c r="BB23" i="1"/>
  <c r="E24" i="1"/>
  <c r="F24" i="1"/>
  <c r="G24" i="1"/>
  <c r="B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T26" i="1"/>
  <c r="U26" i="1"/>
  <c r="V26" i="1"/>
  <c r="W26" i="1"/>
  <c r="X26" i="1"/>
  <c r="Z26" i="1"/>
  <c r="AA26" i="1"/>
  <c r="AC26" i="1"/>
  <c r="AD26" i="1"/>
  <c r="AE26" i="1"/>
  <c r="AF26" i="1"/>
  <c r="AG26" i="1"/>
  <c r="AI26" i="1"/>
  <c r="AJ26" i="1"/>
  <c r="AK26" i="1"/>
  <c r="AL26" i="1"/>
  <c r="AM26" i="1"/>
  <c r="AN26" i="1"/>
  <c r="AO26" i="1"/>
  <c r="AR26" i="1"/>
  <c r="AU26" i="1"/>
  <c r="AX26" i="1"/>
  <c r="AY26" i="1"/>
  <c r="AZ26" i="1"/>
  <c r="BA26" i="1"/>
  <c r="BB26" i="1"/>
  <c r="AF27" i="1"/>
  <c r="AG27" i="1"/>
  <c r="AF28" i="1"/>
  <c r="AG28" i="1"/>
  <c r="B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T29" i="1"/>
  <c r="U29" i="1"/>
  <c r="V29" i="1"/>
  <c r="W29" i="1"/>
  <c r="X29" i="1"/>
  <c r="Z29" i="1"/>
  <c r="AA29" i="1"/>
  <c r="AC29" i="1"/>
  <c r="AD29" i="1"/>
  <c r="AE29" i="1"/>
  <c r="AF29" i="1"/>
  <c r="AG29" i="1"/>
  <c r="AI29" i="1"/>
  <c r="AJ29" i="1"/>
  <c r="AK29" i="1"/>
  <c r="AL29" i="1"/>
  <c r="AM29" i="1"/>
  <c r="AN29" i="1"/>
  <c r="AO29" i="1"/>
  <c r="AR29" i="1"/>
  <c r="AU29" i="1"/>
  <c r="AX29" i="1"/>
  <c r="AY29" i="1"/>
  <c r="AZ29" i="1"/>
  <c r="BA29" i="1"/>
  <c r="BB29" i="1"/>
  <c r="AF30" i="1"/>
  <c r="AG30" i="1"/>
  <c r="B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T35" i="1"/>
  <c r="U35" i="1"/>
  <c r="V35" i="1"/>
  <c r="W35" i="1"/>
  <c r="X35" i="1"/>
  <c r="Z35" i="1"/>
  <c r="AA35" i="1"/>
  <c r="AC35" i="1"/>
  <c r="AD35" i="1"/>
  <c r="AE35" i="1"/>
  <c r="AF35" i="1"/>
  <c r="AG35" i="1"/>
  <c r="AI35" i="1"/>
  <c r="AJ35" i="1"/>
  <c r="AK35" i="1"/>
  <c r="AL35" i="1"/>
  <c r="AM35" i="1"/>
  <c r="AN35" i="1"/>
  <c r="AO35" i="1"/>
  <c r="AR35" i="1"/>
  <c r="AU35" i="1"/>
  <c r="AX35" i="1"/>
  <c r="AY35" i="1"/>
  <c r="AZ35" i="1"/>
  <c r="BA35" i="1"/>
  <c r="BB35" i="1"/>
</calcChain>
</file>

<file path=xl/sharedStrings.xml><?xml version="1.0" encoding="utf-8"?>
<sst xmlns="http://schemas.openxmlformats.org/spreadsheetml/2006/main" count="349" uniqueCount="50">
  <si>
    <t>Total Assets</t>
  </si>
  <si>
    <t>Current Assets</t>
  </si>
  <si>
    <t>LT Liabilities</t>
  </si>
  <si>
    <t>Current Liabilities</t>
  </si>
  <si>
    <t>EBITDA</t>
  </si>
  <si>
    <t>EBIT</t>
  </si>
  <si>
    <t xml:space="preserve">   Int. income</t>
  </si>
  <si>
    <t>EBT</t>
  </si>
  <si>
    <t xml:space="preserve">   Equity earnings</t>
  </si>
  <si>
    <t>NI</t>
  </si>
  <si>
    <t xml:space="preserve">   D&amp;A</t>
  </si>
  <si>
    <t>CEMAT</t>
  </si>
  <si>
    <t xml:space="preserve">   Operating Expenses</t>
  </si>
  <si>
    <t xml:space="preserve">   Cogs </t>
  </si>
  <si>
    <t xml:space="preserve">   Revenues</t>
  </si>
  <si>
    <t xml:space="preserve">   Sale Taxes</t>
  </si>
  <si>
    <t>LT Assets</t>
  </si>
  <si>
    <t xml:space="preserve">   Provisions</t>
  </si>
  <si>
    <t>n/a</t>
  </si>
  <si>
    <t>COELBA</t>
  </si>
  <si>
    <t xml:space="preserve">   Non-operating Income (exp.)</t>
  </si>
  <si>
    <t xml:space="preserve">   Deferred taxes</t>
  </si>
  <si>
    <t xml:space="preserve">   Others</t>
  </si>
  <si>
    <t>CEMIG</t>
  </si>
  <si>
    <t>COSERN</t>
  </si>
  <si>
    <t>COPEL</t>
  </si>
  <si>
    <t>CPFL</t>
  </si>
  <si>
    <t>AES - Sul</t>
  </si>
  <si>
    <t>ELMA</t>
  </si>
  <si>
    <t>EBE</t>
  </si>
  <si>
    <t>ESCELSA</t>
  </si>
  <si>
    <t>LIGHT</t>
  </si>
  <si>
    <t>CESP</t>
  </si>
  <si>
    <t>Paranapanema</t>
  </si>
  <si>
    <t>Tiete</t>
  </si>
  <si>
    <t>GERASUL</t>
  </si>
  <si>
    <t>CHESF</t>
  </si>
  <si>
    <t>ELEKTRO</t>
  </si>
  <si>
    <t>Fixed Assets</t>
  </si>
  <si>
    <t>Shareholders Equity</t>
  </si>
  <si>
    <t>Minority Shareholders</t>
  </si>
  <si>
    <t>Balance Sheet</t>
  </si>
  <si>
    <t>Assets</t>
  </si>
  <si>
    <t>Liabilities</t>
  </si>
  <si>
    <t>Income Statement</t>
  </si>
  <si>
    <t>(all numbers in thousand R$)</t>
  </si>
  <si>
    <t>FURNAS</t>
  </si>
  <si>
    <t xml:space="preserve">   Minority Shareholders</t>
  </si>
  <si>
    <t>Based out of DFP 1999</t>
  </si>
  <si>
    <t xml:space="preserve">   Int.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</si>
</sst>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1" xfId="1" applyNumberFormat="1" applyFont="1" applyBorder="1"/>
    <xf numFmtId="165" fontId="0" fillId="0" borderId="0" xfId="1" applyNumberFormat="1" applyFont="1" applyBorder="1"/>
    <xf numFmtId="165" fontId="0" fillId="0" borderId="2" xfId="1" applyNumberFormat="1" applyFont="1" applyBorder="1"/>
    <xf numFmtId="165" fontId="2" fillId="0" borderId="1" xfId="1" applyNumberFormat="1" applyFont="1" applyBorder="1"/>
    <xf numFmtId="165" fontId="2" fillId="0" borderId="3" xfId="1" applyNumberFormat="1" applyFont="1" applyBorder="1"/>
    <xf numFmtId="165" fontId="0" fillId="0" borderId="0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165" fontId="2" fillId="0" borderId="4" xfId="1" applyNumberFormat="1" applyFont="1" applyBorder="1" applyAlignment="1">
      <alignment horizontal="center"/>
    </xf>
    <xf numFmtId="165" fontId="2" fillId="0" borderId="5" xfId="1" applyNumberFormat="1" applyFont="1" applyBorder="1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6"/>
  <sheetViews>
    <sheetView tabSelected="1" workbookViewId="0">
      <pane xSplit="1" topLeftCell="B1" activePane="topRight" state="frozen"/>
      <selection pane="topRight" activeCell="A28" sqref="A28"/>
    </sheetView>
  </sheetViews>
  <sheetFormatPr defaultRowHeight="13.2" x14ac:dyDescent="0.25"/>
  <cols>
    <col min="1" max="1" width="26" bestFit="1" customWidth="1"/>
    <col min="2" max="2" width="10.33203125" bestFit="1" customWidth="1"/>
    <col min="5" max="5" width="10.88671875" bestFit="1" customWidth="1"/>
    <col min="6" max="6" width="10.44140625" bestFit="1" customWidth="1"/>
    <col min="7" max="7" width="10.33203125" bestFit="1" customWidth="1"/>
    <col min="8" max="8" width="11.5546875" bestFit="1" customWidth="1"/>
    <col min="9" max="9" width="11.44140625" bestFit="1" customWidth="1"/>
    <col min="10" max="10" width="11.33203125" bestFit="1" customWidth="1"/>
    <col min="11" max="11" width="9.33203125" bestFit="1" customWidth="1"/>
    <col min="12" max="12" width="9.44140625" bestFit="1" customWidth="1"/>
    <col min="13" max="13" width="9.33203125" bestFit="1" customWidth="1"/>
    <col min="14" max="14" width="11" bestFit="1" customWidth="1"/>
    <col min="15" max="15" width="10.88671875" bestFit="1" customWidth="1"/>
    <col min="16" max="16" width="10.33203125" bestFit="1" customWidth="1"/>
    <col min="17" max="17" width="11.109375" bestFit="1" customWidth="1"/>
    <col min="18" max="18" width="11" bestFit="1" customWidth="1"/>
    <col min="19" max="19" width="10.88671875" bestFit="1" customWidth="1"/>
    <col min="20" max="20" width="10.5546875" bestFit="1" customWidth="1"/>
    <col min="21" max="21" width="10.44140625" bestFit="1" customWidth="1"/>
    <col min="22" max="22" width="9.33203125" bestFit="1" customWidth="1"/>
    <col min="23" max="23" width="11" bestFit="1" customWidth="1"/>
    <col min="24" max="24" width="10.88671875" bestFit="1" customWidth="1"/>
    <col min="26" max="26" width="11" bestFit="1" customWidth="1"/>
    <col min="27" max="27" width="10.88671875" bestFit="1" customWidth="1"/>
    <col min="28" max="28" width="10.33203125" bestFit="1" customWidth="1"/>
    <col min="29" max="29" width="10.5546875" bestFit="1" customWidth="1"/>
    <col min="30" max="30" width="10.44140625" bestFit="1" customWidth="1"/>
    <col min="31" max="31" width="10.33203125" bestFit="1" customWidth="1"/>
    <col min="32" max="33" width="11.33203125" bestFit="1" customWidth="1"/>
    <col min="34" max="34" width="10.33203125" customWidth="1"/>
    <col min="35" max="35" width="11.6640625" bestFit="1" customWidth="1"/>
    <col min="36" max="36" width="11.5546875" bestFit="1" customWidth="1"/>
    <col min="37" max="37" width="10.88671875" bestFit="1" customWidth="1"/>
    <col min="38" max="38" width="11.5546875" bestFit="1" customWidth="1"/>
    <col min="39" max="39" width="11.44140625" bestFit="1" customWidth="1"/>
    <col min="40" max="40" width="11.33203125" bestFit="1" customWidth="1"/>
    <col min="41" max="41" width="10.33203125" bestFit="1" customWidth="1"/>
    <col min="44" max="44" width="10.33203125" bestFit="1" customWidth="1"/>
    <col min="47" max="47" width="10.44140625" bestFit="1" customWidth="1"/>
    <col min="48" max="48" width="10.33203125" bestFit="1" customWidth="1"/>
    <col min="50" max="50" width="11.5546875" bestFit="1" customWidth="1"/>
    <col min="51" max="51" width="11.44140625" bestFit="1" customWidth="1"/>
    <col min="52" max="52" width="11.33203125" bestFit="1" customWidth="1"/>
    <col min="53" max="53" width="10.88671875" bestFit="1" customWidth="1"/>
    <col min="54" max="54" width="10.33203125" bestFit="1" customWidth="1"/>
  </cols>
  <sheetData>
    <row r="1" spans="1:55" ht="7.5" customHeight="1" x14ac:dyDescent="0.25"/>
    <row r="2" spans="1:55" x14ac:dyDescent="0.25">
      <c r="A2" t="s">
        <v>45</v>
      </c>
    </row>
    <row r="3" spans="1:55" ht="13.8" thickBot="1" x14ac:dyDescent="0.3">
      <c r="A3" t="s">
        <v>48</v>
      </c>
    </row>
    <row r="4" spans="1:55" ht="16.2" thickBot="1" x14ac:dyDescent="0.35">
      <c r="B4" s="18" t="s">
        <v>11</v>
      </c>
      <c r="C4" s="19"/>
      <c r="D4" s="20"/>
      <c r="E4" s="18" t="s">
        <v>19</v>
      </c>
      <c r="F4" s="19"/>
      <c r="G4" s="20"/>
      <c r="H4" s="18" t="s">
        <v>23</v>
      </c>
      <c r="I4" s="19"/>
      <c r="J4" s="20"/>
      <c r="K4" s="18" t="s">
        <v>24</v>
      </c>
      <c r="L4" s="19"/>
      <c r="M4" s="20"/>
      <c r="N4" s="18" t="s">
        <v>25</v>
      </c>
      <c r="O4" s="19"/>
      <c r="P4" s="20"/>
      <c r="Q4" s="18" t="s">
        <v>26</v>
      </c>
      <c r="R4" s="19"/>
      <c r="S4" s="20"/>
      <c r="T4" s="18" t="s">
        <v>27</v>
      </c>
      <c r="U4" s="19"/>
      <c r="V4" s="20"/>
      <c r="W4" s="18" t="s">
        <v>28</v>
      </c>
      <c r="X4" s="19"/>
      <c r="Y4" s="20"/>
      <c r="Z4" s="18" t="s">
        <v>29</v>
      </c>
      <c r="AA4" s="19"/>
      <c r="AB4" s="20"/>
      <c r="AC4" s="18" t="s">
        <v>30</v>
      </c>
      <c r="AD4" s="19"/>
      <c r="AE4" s="20"/>
      <c r="AF4" s="18" t="s">
        <v>46</v>
      </c>
      <c r="AG4" s="19"/>
      <c r="AH4" s="20"/>
      <c r="AI4" s="18" t="s">
        <v>31</v>
      </c>
      <c r="AJ4" s="19"/>
      <c r="AK4" s="20"/>
      <c r="AL4" s="18" t="s">
        <v>32</v>
      </c>
      <c r="AM4" s="19"/>
      <c r="AN4" s="20"/>
      <c r="AO4" s="18" t="s">
        <v>33</v>
      </c>
      <c r="AP4" s="19"/>
      <c r="AQ4" s="20"/>
      <c r="AR4" s="18" t="s">
        <v>34</v>
      </c>
      <c r="AS4" s="19"/>
      <c r="AT4" s="20"/>
      <c r="AU4" s="18" t="s">
        <v>35</v>
      </c>
      <c r="AV4" s="19"/>
      <c r="AW4" s="20"/>
      <c r="AX4" s="18" t="s">
        <v>36</v>
      </c>
      <c r="AY4" s="19"/>
      <c r="AZ4" s="20"/>
      <c r="BA4" s="18" t="s">
        <v>37</v>
      </c>
      <c r="BB4" s="19"/>
      <c r="BC4" s="20"/>
    </row>
    <row r="5" spans="1:55" ht="15.6" x14ac:dyDescent="0.3">
      <c r="A5" s="17" t="s">
        <v>41</v>
      </c>
      <c r="B5" s="8">
        <v>1999</v>
      </c>
      <c r="C5" s="9">
        <v>1998</v>
      </c>
      <c r="D5" s="10">
        <v>1997</v>
      </c>
      <c r="E5" s="8">
        <v>1999</v>
      </c>
      <c r="F5" s="9">
        <v>1998</v>
      </c>
      <c r="G5" s="10">
        <v>1997</v>
      </c>
      <c r="H5" s="8">
        <v>1999</v>
      </c>
      <c r="I5" s="9">
        <v>1998</v>
      </c>
      <c r="J5" s="10">
        <v>1997</v>
      </c>
      <c r="K5" s="8">
        <v>1999</v>
      </c>
      <c r="L5" s="9">
        <v>1998</v>
      </c>
      <c r="M5" s="10">
        <v>1997</v>
      </c>
      <c r="N5" s="8">
        <v>1999</v>
      </c>
      <c r="O5" s="9">
        <v>1998</v>
      </c>
      <c r="P5" s="10">
        <v>1997</v>
      </c>
      <c r="Q5" s="8">
        <v>1999</v>
      </c>
      <c r="R5" s="9">
        <v>1998</v>
      </c>
      <c r="S5" s="10">
        <v>1997</v>
      </c>
      <c r="T5" s="8">
        <v>1999</v>
      </c>
      <c r="U5" s="9">
        <v>1998</v>
      </c>
      <c r="V5" s="10">
        <v>1997</v>
      </c>
      <c r="W5" s="8">
        <v>1999</v>
      </c>
      <c r="X5" s="9">
        <v>1998</v>
      </c>
      <c r="Y5" s="10">
        <v>1997</v>
      </c>
      <c r="Z5" s="8">
        <v>1999</v>
      </c>
      <c r="AA5" s="9">
        <v>1998</v>
      </c>
      <c r="AB5" s="10">
        <v>1997</v>
      </c>
      <c r="AC5" s="8">
        <v>1999</v>
      </c>
      <c r="AD5" s="9">
        <v>1998</v>
      </c>
      <c r="AE5" s="10">
        <v>1997</v>
      </c>
      <c r="AF5" s="8">
        <v>1999</v>
      </c>
      <c r="AG5" s="9">
        <v>1998</v>
      </c>
      <c r="AH5" s="10">
        <v>1997</v>
      </c>
      <c r="AI5" s="8">
        <v>1999</v>
      </c>
      <c r="AJ5" s="9">
        <v>1998</v>
      </c>
      <c r="AK5" s="10">
        <v>1997</v>
      </c>
      <c r="AL5" s="8">
        <v>1999</v>
      </c>
      <c r="AM5" s="9">
        <v>1998</v>
      </c>
      <c r="AN5" s="10">
        <v>1997</v>
      </c>
      <c r="AO5" s="8">
        <v>1999</v>
      </c>
      <c r="AP5" s="9">
        <v>1998</v>
      </c>
      <c r="AQ5" s="10">
        <v>1997</v>
      </c>
      <c r="AR5" s="8">
        <v>1999</v>
      </c>
      <c r="AS5" s="9">
        <v>1998</v>
      </c>
      <c r="AT5" s="10">
        <v>1997</v>
      </c>
      <c r="AU5" s="8">
        <v>1999</v>
      </c>
      <c r="AV5" s="9">
        <v>1998</v>
      </c>
      <c r="AW5" s="10">
        <v>1997</v>
      </c>
      <c r="AX5" s="8">
        <v>1999</v>
      </c>
      <c r="AY5" s="9">
        <v>1998</v>
      </c>
      <c r="AZ5" s="10">
        <v>1997</v>
      </c>
      <c r="BA5" s="8">
        <v>1999</v>
      </c>
      <c r="BB5" s="9">
        <v>1998</v>
      </c>
      <c r="BC5" s="10">
        <v>1997</v>
      </c>
    </row>
    <row r="6" spans="1:55" x14ac:dyDescent="0.25">
      <c r="A6" s="16" t="s">
        <v>42</v>
      </c>
      <c r="B6" s="8"/>
      <c r="C6" s="9"/>
      <c r="D6" s="10"/>
      <c r="E6" s="8"/>
      <c r="F6" s="9"/>
      <c r="G6" s="10"/>
      <c r="H6" s="8"/>
      <c r="I6" s="9"/>
      <c r="J6" s="10"/>
      <c r="K6" s="8"/>
      <c r="L6" s="9"/>
      <c r="M6" s="10"/>
      <c r="N6" s="8"/>
      <c r="O6" s="9"/>
      <c r="P6" s="10"/>
      <c r="Q6" s="8"/>
      <c r="R6" s="9"/>
      <c r="S6" s="10"/>
      <c r="T6" s="8"/>
      <c r="U6" s="9"/>
      <c r="V6" s="10"/>
      <c r="W6" s="8"/>
      <c r="X6" s="9"/>
      <c r="Y6" s="10"/>
      <c r="Z6" s="8"/>
      <c r="AA6" s="9"/>
      <c r="AB6" s="10"/>
      <c r="AC6" s="8"/>
      <c r="AD6" s="9"/>
      <c r="AE6" s="10"/>
      <c r="AF6" s="8"/>
      <c r="AG6" s="9"/>
      <c r="AH6" s="10"/>
      <c r="AI6" s="8"/>
      <c r="AJ6" s="9"/>
      <c r="AK6" s="10"/>
      <c r="AL6" s="8"/>
      <c r="AM6" s="9"/>
      <c r="AN6" s="10"/>
      <c r="AO6" s="8"/>
      <c r="AP6" s="9"/>
      <c r="AQ6" s="10"/>
      <c r="AR6" s="8"/>
      <c r="AS6" s="9"/>
      <c r="AT6" s="10"/>
      <c r="AU6" s="8"/>
      <c r="AV6" s="9"/>
      <c r="AW6" s="10"/>
      <c r="AX6" s="8"/>
      <c r="AY6" s="9"/>
      <c r="AZ6" s="10"/>
      <c r="BA6" s="8"/>
      <c r="BB6" s="9"/>
      <c r="BC6" s="10"/>
    </row>
    <row r="7" spans="1:55" x14ac:dyDescent="0.25">
      <c r="A7" t="s">
        <v>0</v>
      </c>
      <c r="B7" s="1">
        <v>1456731</v>
      </c>
      <c r="C7" s="6" t="s">
        <v>18</v>
      </c>
      <c r="D7" s="7" t="s">
        <v>18</v>
      </c>
      <c r="E7" s="1">
        <v>2886338</v>
      </c>
      <c r="F7" s="6">
        <v>2658844</v>
      </c>
      <c r="G7" s="7">
        <v>2397686</v>
      </c>
      <c r="H7" s="1">
        <v>11470945</v>
      </c>
      <c r="I7" s="6">
        <v>11328753</v>
      </c>
      <c r="J7" s="7">
        <v>11096920</v>
      </c>
      <c r="K7" s="1">
        <v>505969</v>
      </c>
      <c r="L7" s="6">
        <v>448843</v>
      </c>
      <c r="M7" s="7">
        <v>340980</v>
      </c>
      <c r="N7" s="1">
        <v>7701427</v>
      </c>
      <c r="O7" s="6">
        <v>7072775</v>
      </c>
      <c r="P7" s="7">
        <v>7436183</v>
      </c>
      <c r="Q7" s="1">
        <v>7074359</v>
      </c>
      <c r="R7" s="6">
        <v>3698381</v>
      </c>
      <c r="S7" s="7" t="s">
        <v>18</v>
      </c>
      <c r="T7" s="1">
        <v>2019299</v>
      </c>
      <c r="U7" s="6">
        <v>1860792</v>
      </c>
      <c r="V7" s="7">
        <v>775702</v>
      </c>
      <c r="W7" s="1">
        <v>8098468</v>
      </c>
      <c r="X7" s="6">
        <v>7481635</v>
      </c>
      <c r="Y7" s="7" t="s">
        <v>18</v>
      </c>
      <c r="Z7" s="1">
        <v>2541334</v>
      </c>
      <c r="AA7" s="6">
        <v>2272974</v>
      </c>
      <c r="AB7" s="7">
        <v>1777654</v>
      </c>
      <c r="AC7" s="1">
        <v>2782162</v>
      </c>
      <c r="AD7" s="6">
        <v>2614786</v>
      </c>
      <c r="AE7" s="7">
        <v>2683105</v>
      </c>
      <c r="AF7" s="1">
        <v>14220083</v>
      </c>
      <c r="AG7" s="6">
        <v>13445625</v>
      </c>
      <c r="AH7" s="7" t="s">
        <v>18</v>
      </c>
      <c r="AI7" s="1">
        <v>14172428</v>
      </c>
      <c r="AJ7" s="6">
        <v>11802480</v>
      </c>
      <c r="AK7" s="7">
        <v>3591406</v>
      </c>
      <c r="AL7" s="1">
        <v>19797215</v>
      </c>
      <c r="AM7" s="6">
        <v>27369662</v>
      </c>
      <c r="AN7" s="7">
        <v>26724487</v>
      </c>
      <c r="AO7" s="1">
        <v>3751813</v>
      </c>
      <c r="AP7" s="6" t="s">
        <v>18</v>
      </c>
      <c r="AQ7" s="7" t="s">
        <v>18</v>
      </c>
      <c r="AR7" s="1">
        <v>1737017</v>
      </c>
      <c r="AS7" s="6" t="s">
        <v>18</v>
      </c>
      <c r="AT7" s="7" t="s">
        <v>18</v>
      </c>
      <c r="AU7" s="1">
        <v>4215421</v>
      </c>
      <c r="AV7" s="6" t="s">
        <v>18</v>
      </c>
      <c r="AW7" s="7" t="s">
        <v>18</v>
      </c>
      <c r="AX7" s="1">
        <v>17038705</v>
      </c>
      <c r="AY7" s="6">
        <v>17130722</v>
      </c>
      <c r="AZ7" s="7">
        <v>17039397</v>
      </c>
      <c r="BA7" s="1">
        <v>2698865</v>
      </c>
      <c r="BB7" s="6">
        <v>2649971</v>
      </c>
      <c r="BC7" s="7" t="s">
        <v>18</v>
      </c>
    </row>
    <row r="8" spans="1:55" x14ac:dyDescent="0.25">
      <c r="A8" t="s">
        <v>1</v>
      </c>
      <c r="B8" s="1">
        <v>157796</v>
      </c>
      <c r="C8" s="6" t="s">
        <v>18</v>
      </c>
      <c r="D8" s="7" t="s">
        <v>18</v>
      </c>
      <c r="E8" s="1">
        <v>372760</v>
      </c>
      <c r="F8" s="6">
        <v>334886</v>
      </c>
      <c r="G8" s="7">
        <v>374940</v>
      </c>
      <c r="H8" s="1">
        <v>742857</v>
      </c>
      <c r="I8" s="6">
        <v>591667</v>
      </c>
      <c r="J8" s="7">
        <v>687002</v>
      </c>
      <c r="K8" s="1">
        <v>108531</v>
      </c>
      <c r="L8" s="6">
        <v>94882</v>
      </c>
      <c r="M8" s="7">
        <v>78915</v>
      </c>
      <c r="N8" s="1">
        <v>724013</v>
      </c>
      <c r="O8" s="6">
        <v>629500</v>
      </c>
      <c r="P8" s="7">
        <v>1117169</v>
      </c>
      <c r="Q8" s="1">
        <v>1143343</v>
      </c>
      <c r="R8" s="6">
        <v>728351</v>
      </c>
      <c r="S8" s="7" t="s">
        <v>18</v>
      </c>
      <c r="T8" s="1">
        <v>130220</v>
      </c>
      <c r="U8" s="6">
        <v>154594</v>
      </c>
      <c r="V8" s="7">
        <v>121866</v>
      </c>
      <c r="W8" s="1">
        <v>1420869</v>
      </c>
      <c r="X8" s="6">
        <v>1470117</v>
      </c>
      <c r="Y8" s="7" t="s">
        <v>18</v>
      </c>
      <c r="Z8" s="1">
        <v>355441</v>
      </c>
      <c r="AA8" s="6">
        <v>313034</v>
      </c>
      <c r="AB8" s="7">
        <v>136603</v>
      </c>
      <c r="AC8" s="1">
        <v>541815</v>
      </c>
      <c r="AD8" s="6">
        <v>588230</v>
      </c>
      <c r="AE8" s="7">
        <v>877667</v>
      </c>
      <c r="AF8" s="1">
        <v>1725455</v>
      </c>
      <c r="AG8" s="6">
        <v>1788097</v>
      </c>
      <c r="AH8" s="7" t="s">
        <v>18</v>
      </c>
      <c r="AI8" s="1">
        <v>2150247</v>
      </c>
      <c r="AJ8" s="6">
        <v>1969337</v>
      </c>
      <c r="AK8" s="7">
        <v>480070</v>
      </c>
      <c r="AL8" s="1">
        <v>1784066</v>
      </c>
      <c r="AM8" s="6">
        <v>1774305</v>
      </c>
      <c r="AN8" s="7">
        <v>1871546</v>
      </c>
      <c r="AO8" s="1">
        <v>86804</v>
      </c>
      <c r="AP8" s="6" t="s">
        <v>18</v>
      </c>
      <c r="AQ8" s="7" t="s">
        <v>18</v>
      </c>
      <c r="AR8" s="1">
        <v>103851</v>
      </c>
      <c r="AS8" s="6" t="s">
        <v>18</v>
      </c>
      <c r="AT8" s="7" t="s">
        <v>18</v>
      </c>
      <c r="AU8" s="1">
        <v>145491</v>
      </c>
      <c r="AV8" s="6" t="s">
        <v>18</v>
      </c>
      <c r="AW8" s="7" t="s">
        <v>18</v>
      </c>
      <c r="AX8" s="1">
        <v>609522</v>
      </c>
      <c r="AY8" s="6">
        <v>517699</v>
      </c>
      <c r="AZ8" s="7">
        <v>538025</v>
      </c>
      <c r="BA8" s="1">
        <v>243717</v>
      </c>
      <c r="BB8" s="6">
        <v>261223</v>
      </c>
      <c r="BC8" s="7" t="s">
        <v>18</v>
      </c>
    </row>
    <row r="9" spans="1:55" x14ac:dyDescent="0.25">
      <c r="A9" t="s">
        <v>16</v>
      </c>
      <c r="B9" s="1">
        <v>366278</v>
      </c>
      <c r="C9" s="6" t="s">
        <v>18</v>
      </c>
      <c r="D9" s="7" t="s">
        <v>18</v>
      </c>
      <c r="E9" s="1">
        <v>291854</v>
      </c>
      <c r="F9" s="6">
        <v>283085</v>
      </c>
      <c r="G9" s="7">
        <v>97227</v>
      </c>
      <c r="H9" s="1">
        <v>1420463</v>
      </c>
      <c r="I9" s="6">
        <v>1254980</v>
      </c>
      <c r="J9" s="7">
        <v>1147482</v>
      </c>
      <c r="K9" s="1">
        <v>98259</v>
      </c>
      <c r="L9" s="6">
        <v>96854</v>
      </c>
      <c r="M9" s="7">
        <v>34513</v>
      </c>
      <c r="N9" s="1">
        <v>890687</v>
      </c>
      <c r="O9" s="6">
        <v>813623</v>
      </c>
      <c r="P9" s="7">
        <v>704312</v>
      </c>
      <c r="Q9" s="1">
        <v>486719</v>
      </c>
      <c r="R9" s="6">
        <v>371527</v>
      </c>
      <c r="S9" s="7" t="s">
        <v>18</v>
      </c>
      <c r="T9" s="1">
        <v>303109</v>
      </c>
      <c r="U9" s="6">
        <v>95712</v>
      </c>
      <c r="V9" s="7">
        <v>70032</v>
      </c>
      <c r="W9" s="1">
        <v>1022615</v>
      </c>
      <c r="X9" s="6">
        <v>706219</v>
      </c>
      <c r="Y9" s="7" t="s">
        <v>18</v>
      </c>
      <c r="Z9" s="1">
        <v>382317</v>
      </c>
      <c r="AA9" s="6">
        <v>199552</v>
      </c>
      <c r="AB9" s="7">
        <v>149336</v>
      </c>
      <c r="AC9" s="1">
        <v>323083</v>
      </c>
      <c r="AD9" s="6">
        <v>191291</v>
      </c>
      <c r="AE9" s="7">
        <v>52696</v>
      </c>
      <c r="AF9" s="1">
        <v>617885</v>
      </c>
      <c r="AG9" s="6">
        <v>372353</v>
      </c>
      <c r="AH9" s="7" t="s">
        <v>18</v>
      </c>
      <c r="AI9" s="1">
        <v>1687611</v>
      </c>
      <c r="AJ9" s="6">
        <v>1108784</v>
      </c>
      <c r="AK9" s="7">
        <v>291760</v>
      </c>
      <c r="AL9" s="1">
        <v>1020413</v>
      </c>
      <c r="AM9" s="6">
        <v>906688</v>
      </c>
      <c r="AN9" s="7">
        <v>870617</v>
      </c>
      <c r="AO9" s="1">
        <v>38591</v>
      </c>
      <c r="AP9" s="6" t="s">
        <v>18</v>
      </c>
      <c r="AQ9" s="7" t="s">
        <v>18</v>
      </c>
      <c r="AR9" s="1">
        <v>100422</v>
      </c>
      <c r="AS9" s="6" t="s">
        <v>18</v>
      </c>
      <c r="AT9" s="7" t="s">
        <v>18</v>
      </c>
      <c r="AU9" s="1">
        <v>289735</v>
      </c>
      <c r="AV9" s="6" t="s">
        <v>18</v>
      </c>
      <c r="AW9" s="7" t="s">
        <v>18</v>
      </c>
      <c r="AX9" s="1">
        <v>97668</v>
      </c>
      <c r="AY9" s="6">
        <v>388154</v>
      </c>
      <c r="AZ9" s="7">
        <v>338232</v>
      </c>
      <c r="BA9" s="1">
        <v>171135</v>
      </c>
      <c r="BB9" s="6">
        <v>0</v>
      </c>
      <c r="BC9" s="7" t="s">
        <v>18</v>
      </c>
    </row>
    <row r="10" spans="1:55" x14ac:dyDescent="0.25">
      <c r="A10" t="s">
        <v>38</v>
      </c>
      <c r="B10" s="1">
        <f>B7-B8-B9</f>
        <v>932657</v>
      </c>
      <c r="C10" s="6" t="s">
        <v>18</v>
      </c>
      <c r="D10" s="7" t="s">
        <v>18</v>
      </c>
      <c r="E10" s="1">
        <f t="shared" ref="E10:AR10" si="0">E7-E8-E9</f>
        <v>2221724</v>
      </c>
      <c r="F10" s="6">
        <f t="shared" si="0"/>
        <v>2040873</v>
      </c>
      <c r="G10" s="7">
        <f t="shared" si="0"/>
        <v>1925519</v>
      </c>
      <c r="H10" s="1">
        <f t="shared" si="0"/>
        <v>9307625</v>
      </c>
      <c r="I10" s="6">
        <f t="shared" si="0"/>
        <v>9482106</v>
      </c>
      <c r="J10" s="7">
        <f t="shared" si="0"/>
        <v>9262436</v>
      </c>
      <c r="K10" s="1">
        <f t="shared" si="0"/>
        <v>299179</v>
      </c>
      <c r="L10" s="6">
        <f t="shared" si="0"/>
        <v>257107</v>
      </c>
      <c r="M10" s="7">
        <f t="shared" si="0"/>
        <v>227552</v>
      </c>
      <c r="N10" s="1">
        <f t="shared" si="0"/>
        <v>6086727</v>
      </c>
      <c r="O10" s="6">
        <f t="shared" si="0"/>
        <v>5629652</v>
      </c>
      <c r="P10" s="7">
        <f t="shared" si="0"/>
        <v>5614702</v>
      </c>
      <c r="Q10" s="1">
        <f t="shared" si="0"/>
        <v>5444297</v>
      </c>
      <c r="R10" s="6">
        <f t="shared" si="0"/>
        <v>2598503</v>
      </c>
      <c r="S10" s="7" t="s">
        <v>18</v>
      </c>
      <c r="T10" s="1">
        <f t="shared" si="0"/>
        <v>1585970</v>
      </c>
      <c r="U10" s="6">
        <f t="shared" si="0"/>
        <v>1610486</v>
      </c>
      <c r="V10" s="7">
        <f t="shared" si="0"/>
        <v>583804</v>
      </c>
      <c r="W10" s="1">
        <f t="shared" si="0"/>
        <v>5654984</v>
      </c>
      <c r="X10" s="6">
        <f t="shared" si="0"/>
        <v>5305299</v>
      </c>
      <c r="Y10" s="7" t="s">
        <v>18</v>
      </c>
      <c r="Z10" s="1">
        <f t="shared" si="0"/>
        <v>1803576</v>
      </c>
      <c r="AA10" s="6">
        <f t="shared" si="0"/>
        <v>1760388</v>
      </c>
      <c r="AB10" s="7">
        <f t="shared" si="0"/>
        <v>1491715</v>
      </c>
      <c r="AC10" s="1">
        <f t="shared" si="0"/>
        <v>1917264</v>
      </c>
      <c r="AD10" s="6">
        <f t="shared" si="0"/>
        <v>1835265</v>
      </c>
      <c r="AE10" s="7">
        <f t="shared" si="0"/>
        <v>1752742</v>
      </c>
      <c r="AF10" s="1">
        <f>AF7-AF8-AF9</f>
        <v>11876743</v>
      </c>
      <c r="AG10" s="6">
        <f>AG7-AG8-AG9</f>
        <v>11285175</v>
      </c>
      <c r="AH10" s="7" t="s">
        <v>18</v>
      </c>
      <c r="AI10" s="1">
        <f t="shared" si="0"/>
        <v>10334570</v>
      </c>
      <c r="AJ10" s="6">
        <f t="shared" si="0"/>
        <v>8724359</v>
      </c>
      <c r="AK10" s="7">
        <f t="shared" si="0"/>
        <v>2819576</v>
      </c>
      <c r="AL10" s="1">
        <f t="shared" si="0"/>
        <v>16992736</v>
      </c>
      <c r="AM10" s="6">
        <f t="shared" si="0"/>
        <v>24688669</v>
      </c>
      <c r="AN10" s="7">
        <f t="shared" si="0"/>
        <v>23982324</v>
      </c>
      <c r="AO10" s="1">
        <f t="shared" si="0"/>
        <v>3626418</v>
      </c>
      <c r="AP10" s="6" t="s">
        <v>18</v>
      </c>
      <c r="AQ10" s="7" t="s">
        <v>18</v>
      </c>
      <c r="AR10" s="1">
        <f t="shared" si="0"/>
        <v>1532744</v>
      </c>
      <c r="AS10" s="6" t="s">
        <v>18</v>
      </c>
      <c r="AT10" s="7" t="s">
        <v>18</v>
      </c>
      <c r="AU10" s="1">
        <f>AU7-AU8-AU9</f>
        <v>3780195</v>
      </c>
      <c r="AV10" s="6" t="s">
        <v>18</v>
      </c>
      <c r="AW10" s="7" t="s">
        <v>18</v>
      </c>
      <c r="AX10" s="1">
        <f>AX7-AX8-AX9</f>
        <v>16331515</v>
      </c>
      <c r="AY10" s="6">
        <f>AY7-AY8-AY9</f>
        <v>16224869</v>
      </c>
      <c r="AZ10" s="7">
        <f>AZ7-AZ8-AZ9</f>
        <v>16163140</v>
      </c>
      <c r="BA10" s="1">
        <f>BA7-BA8-BA9</f>
        <v>2284013</v>
      </c>
      <c r="BB10" s="6">
        <f>BB7-BB8-BB9</f>
        <v>2388748</v>
      </c>
      <c r="BC10" s="7" t="s">
        <v>18</v>
      </c>
    </row>
    <row r="11" spans="1:55" x14ac:dyDescent="0.25">
      <c r="A11" s="16" t="s">
        <v>43</v>
      </c>
      <c r="B11" s="1"/>
      <c r="C11" s="6"/>
      <c r="D11" s="7"/>
      <c r="E11" s="1"/>
      <c r="F11" s="6"/>
      <c r="G11" s="7"/>
      <c r="H11" s="1"/>
      <c r="I11" s="6"/>
      <c r="J11" s="7"/>
      <c r="K11" s="1"/>
      <c r="L11" s="6"/>
      <c r="M11" s="7"/>
      <c r="N11" s="1"/>
      <c r="O11" s="6"/>
      <c r="P11" s="7"/>
      <c r="Q11" s="1"/>
      <c r="R11" s="6"/>
      <c r="S11" s="7"/>
      <c r="T11" s="1"/>
      <c r="U11" s="6"/>
      <c r="V11" s="7"/>
      <c r="W11" s="1"/>
      <c r="X11" s="6"/>
      <c r="Y11" s="7"/>
      <c r="Z11" s="1"/>
      <c r="AA11" s="6"/>
      <c r="AB11" s="7"/>
      <c r="AC11" s="1"/>
      <c r="AD11" s="6"/>
      <c r="AE11" s="7"/>
      <c r="AF11" s="1"/>
      <c r="AG11" s="6"/>
      <c r="AH11" s="7"/>
      <c r="AI11" s="1"/>
      <c r="AJ11" s="6"/>
      <c r="AK11" s="7"/>
      <c r="AL11" s="1"/>
      <c r="AM11" s="6"/>
      <c r="AN11" s="7"/>
      <c r="AO11" s="1"/>
      <c r="AP11" s="6"/>
      <c r="AQ11" s="7"/>
      <c r="AR11" s="1"/>
      <c r="AS11" s="6"/>
      <c r="AT11" s="7"/>
      <c r="AU11" s="1"/>
      <c r="AV11" s="6"/>
      <c r="AW11" s="7"/>
      <c r="AX11" s="1"/>
      <c r="AY11" s="6"/>
      <c r="AZ11" s="7"/>
      <c r="BA11" s="1"/>
      <c r="BB11" s="6"/>
      <c r="BC11" s="7"/>
    </row>
    <row r="12" spans="1:55" x14ac:dyDescent="0.25">
      <c r="A12" t="s">
        <v>3</v>
      </c>
      <c r="B12" s="1">
        <v>254813</v>
      </c>
      <c r="C12" s="6" t="s">
        <v>18</v>
      </c>
      <c r="D12" s="7" t="s">
        <v>18</v>
      </c>
      <c r="E12" s="1">
        <v>586710</v>
      </c>
      <c r="F12" s="6">
        <v>886551</v>
      </c>
      <c r="G12" s="7">
        <v>422183</v>
      </c>
      <c r="H12" s="1">
        <v>1577444</v>
      </c>
      <c r="I12" s="6">
        <v>1249616</v>
      </c>
      <c r="J12" s="7">
        <v>1194693</v>
      </c>
      <c r="K12" s="1">
        <v>200847</v>
      </c>
      <c r="L12" s="6">
        <v>191435</v>
      </c>
      <c r="M12" s="7">
        <v>122311</v>
      </c>
      <c r="N12" s="1">
        <v>704755</v>
      </c>
      <c r="O12" s="6">
        <v>562311</v>
      </c>
      <c r="P12" s="7">
        <v>688343</v>
      </c>
      <c r="Q12" s="1">
        <v>895310</v>
      </c>
      <c r="R12" s="6">
        <v>666259</v>
      </c>
      <c r="S12" s="7" t="s">
        <v>18</v>
      </c>
      <c r="T12" s="1">
        <v>228309</v>
      </c>
      <c r="U12" s="6">
        <v>135017</v>
      </c>
      <c r="V12" s="7">
        <v>109745</v>
      </c>
      <c r="W12" s="1">
        <v>2590209</v>
      </c>
      <c r="X12" s="6">
        <v>2016923</v>
      </c>
      <c r="Y12" s="7" t="s">
        <v>18</v>
      </c>
      <c r="Z12" s="1">
        <v>803149</v>
      </c>
      <c r="AA12" s="6">
        <v>340626</v>
      </c>
      <c r="AB12" s="7">
        <v>387996</v>
      </c>
      <c r="AC12" s="1">
        <v>365158</v>
      </c>
      <c r="AD12" s="6">
        <v>321698</v>
      </c>
      <c r="AE12" s="7">
        <v>578843</v>
      </c>
      <c r="AF12" s="1">
        <v>2364956</v>
      </c>
      <c r="AG12" s="6">
        <v>2097943</v>
      </c>
      <c r="AH12" s="7" t="s">
        <v>18</v>
      </c>
      <c r="AI12" s="1">
        <v>4567529</v>
      </c>
      <c r="AJ12" s="6">
        <v>4160114</v>
      </c>
      <c r="AK12" s="7">
        <v>611561</v>
      </c>
      <c r="AL12" s="1">
        <v>2032467</v>
      </c>
      <c r="AM12" s="6">
        <v>4052059</v>
      </c>
      <c r="AN12" s="7">
        <v>6102197</v>
      </c>
      <c r="AO12" s="1">
        <v>186544</v>
      </c>
      <c r="AP12" s="6" t="s">
        <v>18</v>
      </c>
      <c r="AQ12" s="7" t="s">
        <v>18</v>
      </c>
      <c r="AR12" s="1">
        <v>210271</v>
      </c>
      <c r="AS12" s="6" t="s">
        <v>18</v>
      </c>
      <c r="AT12" s="7" t="s">
        <v>18</v>
      </c>
      <c r="AU12" s="1">
        <v>300136</v>
      </c>
      <c r="AV12" s="6" t="s">
        <v>18</v>
      </c>
      <c r="AW12" s="7" t="s">
        <v>18</v>
      </c>
      <c r="AX12" s="1">
        <v>1174887</v>
      </c>
      <c r="AY12" s="6">
        <v>997821</v>
      </c>
      <c r="AZ12" s="7">
        <v>965130</v>
      </c>
      <c r="BA12" s="1">
        <v>249501</v>
      </c>
      <c r="BB12" s="6">
        <v>179514</v>
      </c>
      <c r="BC12" s="7" t="s">
        <v>18</v>
      </c>
    </row>
    <row r="13" spans="1:55" x14ac:dyDescent="0.25">
      <c r="A13" t="s">
        <v>2</v>
      </c>
      <c r="B13" s="1">
        <v>773049</v>
      </c>
      <c r="C13" s="6" t="s">
        <v>18</v>
      </c>
      <c r="D13" s="7" t="s">
        <v>18</v>
      </c>
      <c r="E13" s="1">
        <v>1117719</v>
      </c>
      <c r="F13" s="6">
        <v>551436</v>
      </c>
      <c r="G13" s="7">
        <v>862397</v>
      </c>
      <c r="H13" s="1">
        <v>2304518</v>
      </c>
      <c r="I13" s="6">
        <v>2066686</v>
      </c>
      <c r="J13" s="7">
        <v>1950869</v>
      </c>
      <c r="K13" s="1">
        <v>122182</v>
      </c>
      <c r="L13" s="6">
        <v>131350</v>
      </c>
      <c r="M13" s="7">
        <v>132709</v>
      </c>
      <c r="N13" s="1">
        <v>2369121</v>
      </c>
      <c r="O13" s="6">
        <v>2051543</v>
      </c>
      <c r="P13" s="7">
        <v>1887396</v>
      </c>
      <c r="Q13" s="1">
        <v>1596066</v>
      </c>
      <c r="R13" s="6">
        <v>1351580</v>
      </c>
      <c r="S13" s="7" t="s">
        <v>18</v>
      </c>
      <c r="T13" s="1">
        <v>1538773</v>
      </c>
      <c r="U13" s="6">
        <v>1118837</v>
      </c>
      <c r="V13" s="7">
        <v>204235</v>
      </c>
      <c r="W13" s="1">
        <v>2729802</v>
      </c>
      <c r="X13" s="6">
        <v>3141119</v>
      </c>
      <c r="Y13" s="7" t="s">
        <v>18</v>
      </c>
      <c r="Z13" s="1">
        <v>1158807</v>
      </c>
      <c r="AA13" s="6">
        <v>1218810</v>
      </c>
      <c r="AB13" s="7">
        <v>530252</v>
      </c>
      <c r="AC13" s="1">
        <v>1457540</v>
      </c>
      <c r="AD13" s="6">
        <v>1166784</v>
      </c>
      <c r="AE13" s="7">
        <v>1083388</v>
      </c>
      <c r="AF13" s="1">
        <v>2376193</v>
      </c>
      <c r="AG13" s="6">
        <v>1101709</v>
      </c>
      <c r="AH13" s="7" t="s">
        <v>18</v>
      </c>
      <c r="AI13" s="1">
        <v>5970779</v>
      </c>
      <c r="AJ13" s="6">
        <v>4580673</v>
      </c>
      <c r="AK13" s="7">
        <v>592109</v>
      </c>
      <c r="AL13" s="1">
        <v>6848828</v>
      </c>
      <c r="AM13" s="6">
        <v>7456280</v>
      </c>
      <c r="AN13" s="7">
        <v>6263558</v>
      </c>
      <c r="AO13" s="1">
        <v>1146930</v>
      </c>
      <c r="AP13" s="6" t="s">
        <v>18</v>
      </c>
      <c r="AQ13" s="7" t="s">
        <v>18</v>
      </c>
      <c r="AR13" s="1">
        <v>1137197</v>
      </c>
      <c r="AS13" s="6" t="s">
        <v>18</v>
      </c>
      <c r="AT13" s="7" t="s">
        <v>18</v>
      </c>
      <c r="AU13" s="1">
        <v>1701635</v>
      </c>
      <c r="AV13" s="6" t="s">
        <v>18</v>
      </c>
      <c r="AW13" s="7" t="s">
        <v>18</v>
      </c>
      <c r="AX13" s="1">
        <v>5643320</v>
      </c>
      <c r="AY13" s="6">
        <v>5435459</v>
      </c>
      <c r="AZ13" s="7">
        <v>5363165</v>
      </c>
      <c r="BA13" s="1">
        <v>1092755</v>
      </c>
      <c r="BB13" s="6">
        <v>1228472</v>
      </c>
      <c r="BC13" s="7" t="s">
        <v>18</v>
      </c>
    </row>
    <row r="14" spans="1:55" x14ac:dyDescent="0.25">
      <c r="B14" s="1">
        <f>B7-B12-B13-B15-B16</f>
        <v>0</v>
      </c>
      <c r="C14" s="6" t="s">
        <v>18</v>
      </c>
      <c r="D14" s="7" t="s">
        <v>18</v>
      </c>
      <c r="E14" s="1">
        <f>E7-E12-E13-E15-E16</f>
        <v>0</v>
      </c>
      <c r="F14" s="6">
        <f t="shared" ref="F14:BB14" si="1">F7-F12-F13-F15-F16</f>
        <v>0</v>
      </c>
      <c r="G14" s="7">
        <f t="shared" si="1"/>
        <v>0</v>
      </c>
      <c r="H14" s="1">
        <f t="shared" si="1"/>
        <v>0</v>
      </c>
      <c r="I14" s="6">
        <f t="shared" si="1"/>
        <v>0</v>
      </c>
      <c r="J14" s="7">
        <f t="shared" si="1"/>
        <v>0</v>
      </c>
      <c r="K14" s="1">
        <f t="shared" si="1"/>
        <v>0</v>
      </c>
      <c r="L14" s="6">
        <f t="shared" si="1"/>
        <v>0</v>
      </c>
      <c r="M14" s="7">
        <f t="shared" si="1"/>
        <v>0</v>
      </c>
      <c r="N14" s="1">
        <f>N7-N12-N13-N15-N16</f>
        <v>0</v>
      </c>
      <c r="O14" s="6">
        <f t="shared" si="1"/>
        <v>0</v>
      </c>
      <c r="P14" s="7">
        <f t="shared" si="1"/>
        <v>0</v>
      </c>
      <c r="Q14" s="1">
        <f t="shared" si="1"/>
        <v>0</v>
      </c>
      <c r="R14" s="6">
        <f t="shared" si="1"/>
        <v>0</v>
      </c>
      <c r="S14" s="7" t="s">
        <v>18</v>
      </c>
      <c r="T14" s="1">
        <f t="shared" si="1"/>
        <v>0</v>
      </c>
      <c r="U14" s="6">
        <f t="shared" si="1"/>
        <v>0</v>
      </c>
      <c r="V14" s="7">
        <f t="shared" si="1"/>
        <v>0</v>
      </c>
      <c r="W14" s="1">
        <f t="shared" si="1"/>
        <v>0</v>
      </c>
      <c r="X14" s="6">
        <f t="shared" si="1"/>
        <v>0</v>
      </c>
      <c r="Y14" s="7" t="s">
        <v>18</v>
      </c>
      <c r="Z14" s="1">
        <f t="shared" si="1"/>
        <v>0</v>
      </c>
      <c r="AA14" s="6">
        <f t="shared" si="1"/>
        <v>0</v>
      </c>
      <c r="AB14" s="7">
        <f t="shared" si="1"/>
        <v>0</v>
      </c>
      <c r="AC14" s="1">
        <f t="shared" si="1"/>
        <v>0</v>
      </c>
      <c r="AD14" s="6">
        <f t="shared" si="1"/>
        <v>0</v>
      </c>
      <c r="AE14" s="7">
        <f t="shared" si="1"/>
        <v>0</v>
      </c>
      <c r="AF14" s="1">
        <f>AF7-AF12-AF13-AF15-AF16</f>
        <v>0</v>
      </c>
      <c r="AG14" s="6">
        <f>AG7-AG12-AG13-AG15-AG16</f>
        <v>0</v>
      </c>
      <c r="AH14" s="7" t="s">
        <v>18</v>
      </c>
      <c r="AI14" s="1">
        <f t="shared" si="1"/>
        <v>0</v>
      </c>
      <c r="AJ14" s="6">
        <f t="shared" si="1"/>
        <v>0</v>
      </c>
      <c r="AK14" s="7">
        <f t="shared" si="1"/>
        <v>0</v>
      </c>
      <c r="AL14" s="1">
        <f t="shared" si="1"/>
        <v>0</v>
      </c>
      <c r="AM14" s="6">
        <f t="shared" si="1"/>
        <v>0</v>
      </c>
      <c r="AN14" s="7">
        <f t="shared" si="1"/>
        <v>0</v>
      </c>
      <c r="AO14" s="1">
        <f t="shared" si="1"/>
        <v>0</v>
      </c>
      <c r="AP14" s="6" t="s">
        <v>18</v>
      </c>
      <c r="AQ14" s="7" t="s">
        <v>18</v>
      </c>
      <c r="AR14" s="1">
        <f t="shared" si="1"/>
        <v>0</v>
      </c>
      <c r="AS14" s="6" t="s">
        <v>18</v>
      </c>
      <c r="AT14" s="7" t="s">
        <v>18</v>
      </c>
      <c r="AU14" s="1">
        <f t="shared" si="1"/>
        <v>0</v>
      </c>
      <c r="AV14" s="6" t="s">
        <v>18</v>
      </c>
      <c r="AW14" s="7" t="s">
        <v>18</v>
      </c>
      <c r="AX14" s="1">
        <f t="shared" si="1"/>
        <v>0</v>
      </c>
      <c r="AY14" s="6">
        <f t="shared" si="1"/>
        <v>0</v>
      </c>
      <c r="AZ14" s="7">
        <f t="shared" si="1"/>
        <v>0</v>
      </c>
      <c r="BA14" s="1">
        <f t="shared" si="1"/>
        <v>0</v>
      </c>
      <c r="BB14" s="6">
        <f t="shared" si="1"/>
        <v>0</v>
      </c>
      <c r="BC14" s="7" t="s">
        <v>18</v>
      </c>
    </row>
    <row r="15" spans="1:55" x14ac:dyDescent="0.25">
      <c r="A15" t="s">
        <v>40</v>
      </c>
      <c r="B15" s="1">
        <v>0</v>
      </c>
      <c r="C15" s="6">
        <v>0</v>
      </c>
      <c r="D15" s="7">
        <v>0</v>
      </c>
      <c r="E15" s="1">
        <v>99206</v>
      </c>
      <c r="F15" s="6">
        <v>63883</v>
      </c>
      <c r="G15" s="7">
        <v>36491</v>
      </c>
      <c r="H15" s="1">
        <v>0</v>
      </c>
      <c r="I15" s="6">
        <v>0</v>
      </c>
      <c r="J15" s="7">
        <v>0</v>
      </c>
      <c r="K15" s="1">
        <v>0</v>
      </c>
      <c r="L15" s="6">
        <v>0</v>
      </c>
      <c r="M15" s="7">
        <v>0</v>
      </c>
      <c r="N15" s="1">
        <v>0</v>
      </c>
      <c r="O15" s="6">
        <v>0</v>
      </c>
      <c r="P15" s="7">
        <v>0</v>
      </c>
      <c r="Q15" s="1">
        <v>0</v>
      </c>
      <c r="R15" s="6">
        <v>0</v>
      </c>
      <c r="S15" s="7">
        <v>0</v>
      </c>
      <c r="T15" s="1">
        <v>0</v>
      </c>
      <c r="U15" s="6">
        <v>0</v>
      </c>
      <c r="V15" s="7">
        <v>0</v>
      </c>
      <c r="W15" s="1">
        <v>0</v>
      </c>
      <c r="X15" s="6">
        <v>0</v>
      </c>
      <c r="Y15" s="7" t="s">
        <v>18</v>
      </c>
      <c r="Z15" s="1">
        <v>0</v>
      </c>
      <c r="AA15" s="6">
        <v>0</v>
      </c>
      <c r="AB15" s="7">
        <v>0</v>
      </c>
      <c r="AC15" s="1">
        <v>174354</v>
      </c>
      <c r="AD15" s="6">
        <v>199276</v>
      </c>
      <c r="AE15" s="7">
        <v>166726</v>
      </c>
      <c r="AF15" s="1">
        <v>0</v>
      </c>
      <c r="AG15" s="6">
        <v>0</v>
      </c>
      <c r="AH15" s="7" t="s">
        <v>18</v>
      </c>
      <c r="AI15" s="1">
        <v>1152980</v>
      </c>
      <c r="AJ15" s="6">
        <v>750933</v>
      </c>
      <c r="AK15" s="7">
        <v>0</v>
      </c>
      <c r="AL15" s="1">
        <v>0</v>
      </c>
      <c r="AM15" s="6">
        <v>0</v>
      </c>
      <c r="AN15" s="7">
        <v>0</v>
      </c>
      <c r="AO15" s="1">
        <v>0</v>
      </c>
      <c r="AP15" s="6" t="s">
        <v>18</v>
      </c>
      <c r="AQ15" s="7" t="s">
        <v>18</v>
      </c>
      <c r="AR15" s="1">
        <v>0</v>
      </c>
      <c r="AS15" s="6" t="s">
        <v>18</v>
      </c>
      <c r="AT15" s="7" t="s">
        <v>18</v>
      </c>
      <c r="AU15" s="1">
        <v>0</v>
      </c>
      <c r="AV15" s="6" t="s">
        <v>18</v>
      </c>
      <c r="AW15" s="7" t="s">
        <v>18</v>
      </c>
      <c r="AX15" s="1">
        <v>0</v>
      </c>
      <c r="AY15" s="6">
        <v>0</v>
      </c>
      <c r="AZ15" s="7">
        <v>0</v>
      </c>
      <c r="BA15" s="1">
        <v>0</v>
      </c>
      <c r="BB15" s="6">
        <v>0</v>
      </c>
      <c r="BC15" s="7" t="s">
        <v>18</v>
      </c>
    </row>
    <row r="16" spans="1:55" x14ac:dyDescent="0.25">
      <c r="A16" t="s">
        <v>39</v>
      </c>
      <c r="B16" s="1">
        <v>428869</v>
      </c>
      <c r="C16" s="6" t="s">
        <v>18</v>
      </c>
      <c r="D16" s="7" t="s">
        <v>18</v>
      </c>
      <c r="E16" s="1">
        <v>1082703</v>
      </c>
      <c r="F16" s="6">
        <v>1156974</v>
      </c>
      <c r="G16" s="7">
        <v>1076615</v>
      </c>
      <c r="H16" s="1">
        <v>7588983</v>
      </c>
      <c r="I16" s="6">
        <v>8012451</v>
      </c>
      <c r="J16" s="7">
        <v>7951358</v>
      </c>
      <c r="K16" s="1">
        <v>182940</v>
      </c>
      <c r="L16" s="6">
        <v>126058</v>
      </c>
      <c r="M16" s="7">
        <v>85960</v>
      </c>
      <c r="N16" s="1">
        <v>4627551</v>
      </c>
      <c r="O16" s="6">
        <v>4458921</v>
      </c>
      <c r="P16" s="7">
        <v>4860444</v>
      </c>
      <c r="Q16" s="1">
        <v>4582983</v>
      </c>
      <c r="R16" s="6">
        <v>1680542</v>
      </c>
      <c r="S16" s="7" t="s">
        <v>18</v>
      </c>
      <c r="T16" s="1">
        <v>252217</v>
      </c>
      <c r="U16" s="6">
        <v>606938</v>
      </c>
      <c r="V16" s="7">
        <v>461722</v>
      </c>
      <c r="W16" s="1">
        <v>2778457</v>
      </c>
      <c r="X16" s="6">
        <v>2323593</v>
      </c>
      <c r="Y16" s="7" t="s">
        <v>18</v>
      </c>
      <c r="Z16" s="1">
        <v>579378</v>
      </c>
      <c r="AA16" s="6">
        <v>713538</v>
      </c>
      <c r="AB16" s="7">
        <v>859406</v>
      </c>
      <c r="AC16" s="1">
        <v>785110</v>
      </c>
      <c r="AD16" s="6">
        <v>927028</v>
      </c>
      <c r="AE16" s="7">
        <v>854148</v>
      </c>
      <c r="AF16" s="1">
        <v>9478934</v>
      </c>
      <c r="AG16" s="6">
        <v>10245973</v>
      </c>
      <c r="AH16" s="7" t="s">
        <v>18</v>
      </c>
      <c r="AI16" s="1">
        <v>2481140</v>
      </c>
      <c r="AJ16" s="6">
        <v>2310760</v>
      </c>
      <c r="AK16" s="7">
        <v>2387736</v>
      </c>
      <c r="AL16" s="1">
        <v>10915920</v>
      </c>
      <c r="AM16" s="6">
        <v>15861323</v>
      </c>
      <c r="AN16" s="7">
        <v>14358732</v>
      </c>
      <c r="AO16" s="1">
        <v>2418339</v>
      </c>
      <c r="AP16" s="6" t="s">
        <v>18</v>
      </c>
      <c r="AQ16" s="7" t="s">
        <v>18</v>
      </c>
      <c r="AR16" s="1">
        <v>389549</v>
      </c>
      <c r="AS16" s="6" t="s">
        <v>18</v>
      </c>
      <c r="AT16" s="7" t="s">
        <v>18</v>
      </c>
      <c r="AU16" s="1">
        <v>2213650</v>
      </c>
      <c r="AV16" s="6" t="s">
        <v>18</v>
      </c>
      <c r="AW16" s="7" t="s">
        <v>18</v>
      </c>
      <c r="AX16" s="1">
        <v>10220498</v>
      </c>
      <c r="AY16" s="6">
        <v>10697442</v>
      </c>
      <c r="AZ16" s="7">
        <v>10711102</v>
      </c>
      <c r="BA16" s="1">
        <v>1356609</v>
      </c>
      <c r="BB16" s="6">
        <v>1241985</v>
      </c>
      <c r="BC16" s="7" t="s">
        <v>18</v>
      </c>
    </row>
    <row r="17" spans="1:55" x14ac:dyDescent="0.25">
      <c r="B17" s="1"/>
      <c r="C17" s="2"/>
      <c r="D17" s="3"/>
      <c r="E17" s="1"/>
      <c r="F17" s="2"/>
      <c r="G17" s="3"/>
      <c r="H17" s="1"/>
      <c r="I17" s="2"/>
      <c r="J17" s="3"/>
      <c r="K17" s="1"/>
      <c r="L17" s="2"/>
      <c r="M17" s="3"/>
      <c r="N17" s="1"/>
      <c r="O17" s="2"/>
      <c r="P17" s="3"/>
      <c r="Q17" s="1"/>
      <c r="R17" s="2"/>
      <c r="S17" s="3"/>
      <c r="T17" s="1"/>
      <c r="U17" s="2"/>
      <c r="V17" s="3"/>
      <c r="W17" s="1"/>
      <c r="X17" s="2"/>
      <c r="Y17" s="3"/>
      <c r="Z17" s="1"/>
      <c r="AA17" s="2"/>
      <c r="AB17" s="3"/>
      <c r="AC17" s="1"/>
      <c r="AD17" s="2"/>
      <c r="AE17" s="3"/>
      <c r="AF17" s="1"/>
      <c r="AG17" s="2"/>
      <c r="AH17" s="3"/>
      <c r="AI17" s="1"/>
      <c r="AJ17" s="2"/>
      <c r="AK17" s="3"/>
      <c r="AL17" s="1"/>
      <c r="AM17" s="2"/>
      <c r="AN17" s="3"/>
      <c r="AO17" s="1"/>
      <c r="AP17" s="2"/>
      <c r="AQ17" s="3"/>
      <c r="AR17" s="1"/>
      <c r="AS17" s="2"/>
      <c r="AT17" s="3"/>
      <c r="AU17" s="1"/>
      <c r="AV17" s="2"/>
      <c r="AW17" s="3"/>
      <c r="AX17" s="1"/>
      <c r="AY17" s="2"/>
      <c r="AZ17" s="3"/>
      <c r="BA17" s="1"/>
      <c r="BB17" s="2"/>
      <c r="BC17" s="3"/>
    </row>
    <row r="18" spans="1:55" ht="15.6" x14ac:dyDescent="0.3">
      <c r="A18" s="17" t="s">
        <v>44</v>
      </c>
      <c r="B18" s="1"/>
      <c r="C18" s="2"/>
      <c r="D18" s="3"/>
      <c r="E18" s="1"/>
      <c r="F18" s="2"/>
      <c r="G18" s="3"/>
      <c r="H18" s="1"/>
      <c r="I18" s="2"/>
      <c r="J18" s="3"/>
      <c r="K18" s="1"/>
      <c r="L18" s="2"/>
      <c r="M18" s="3"/>
      <c r="N18" s="1"/>
      <c r="O18" s="2"/>
      <c r="P18" s="3"/>
      <c r="Q18" s="1"/>
      <c r="R18" s="2"/>
      <c r="S18" s="3"/>
      <c r="T18" s="1"/>
      <c r="U18" s="2"/>
      <c r="V18" s="3"/>
      <c r="W18" s="1"/>
      <c r="X18" s="2"/>
      <c r="Y18" s="3"/>
      <c r="Z18" s="1"/>
      <c r="AA18" s="2"/>
      <c r="AB18" s="3"/>
      <c r="AC18" s="1"/>
      <c r="AD18" s="2"/>
      <c r="AE18" s="3"/>
      <c r="AF18" s="1"/>
      <c r="AG18" s="2"/>
      <c r="AH18" s="3"/>
      <c r="AI18" s="1"/>
      <c r="AJ18" s="2"/>
      <c r="AK18" s="3"/>
      <c r="AL18" s="1"/>
      <c r="AM18" s="2"/>
      <c r="AN18" s="3"/>
      <c r="AO18" s="1"/>
      <c r="AP18" s="2"/>
      <c r="AQ18" s="3"/>
      <c r="AR18" s="1"/>
      <c r="AS18" s="2"/>
      <c r="AT18" s="3"/>
      <c r="AU18" s="1"/>
      <c r="AV18" s="2"/>
      <c r="AW18" s="3"/>
      <c r="AX18" s="1"/>
      <c r="AY18" s="2"/>
      <c r="AZ18" s="3"/>
      <c r="BA18" s="1"/>
      <c r="BB18" s="2"/>
      <c r="BC18" s="3"/>
    </row>
    <row r="19" spans="1:55" x14ac:dyDescent="0.25">
      <c r="A19" t="s">
        <v>14</v>
      </c>
      <c r="B19" s="1">
        <v>569935</v>
      </c>
      <c r="C19" s="6" t="s">
        <v>18</v>
      </c>
      <c r="D19" s="7" t="s">
        <v>18</v>
      </c>
      <c r="E19" s="1">
        <v>1614544</v>
      </c>
      <c r="F19" s="6">
        <v>1452811</v>
      </c>
      <c r="G19" s="7">
        <v>1008039</v>
      </c>
      <c r="H19" s="1">
        <v>3740954</v>
      </c>
      <c r="I19" s="6">
        <v>3290522</v>
      </c>
      <c r="J19" s="7">
        <v>2871319</v>
      </c>
      <c r="K19" s="1">
        <v>338938</v>
      </c>
      <c r="L19" s="6">
        <v>296647</v>
      </c>
      <c r="M19" s="7">
        <v>255818</v>
      </c>
      <c r="N19" s="1">
        <v>2204906</v>
      </c>
      <c r="O19" s="6">
        <v>1862030</v>
      </c>
      <c r="P19" s="7">
        <v>1718093</v>
      </c>
      <c r="Q19" s="1">
        <v>2927960</v>
      </c>
      <c r="R19" s="6">
        <v>2260172</v>
      </c>
      <c r="S19" s="7" t="s">
        <v>18</v>
      </c>
      <c r="T19" s="1">
        <v>865822</v>
      </c>
      <c r="U19" s="6">
        <v>745952</v>
      </c>
      <c r="V19" s="7">
        <v>299175</v>
      </c>
      <c r="W19" s="1">
        <v>5121961</v>
      </c>
      <c r="X19" s="6">
        <v>4540853</v>
      </c>
      <c r="Y19" s="7" t="s">
        <v>18</v>
      </c>
      <c r="Z19" s="1">
        <v>2430983</v>
      </c>
      <c r="AA19" s="6">
        <v>2190174</v>
      </c>
      <c r="AB19" s="7" t="s">
        <v>18</v>
      </c>
      <c r="AC19" s="1">
        <v>1094945</v>
      </c>
      <c r="AD19" s="6">
        <v>967728</v>
      </c>
      <c r="AE19" s="7">
        <v>602852</v>
      </c>
      <c r="AF19" s="1">
        <v>5887139</v>
      </c>
      <c r="AG19" s="6">
        <v>4303656</v>
      </c>
      <c r="AH19" s="7" t="s">
        <v>18</v>
      </c>
      <c r="AI19" s="1">
        <v>8374606</v>
      </c>
      <c r="AJ19" s="6">
        <v>6338711</v>
      </c>
      <c r="AK19" s="7">
        <v>2426616</v>
      </c>
      <c r="AL19" s="1">
        <v>2334257</v>
      </c>
      <c r="AM19" s="6">
        <v>4231704</v>
      </c>
      <c r="AN19" s="7">
        <v>4208416</v>
      </c>
      <c r="AO19" s="1">
        <v>395917</v>
      </c>
      <c r="AP19" s="6" t="s">
        <v>18</v>
      </c>
      <c r="AQ19" s="7" t="s">
        <v>18</v>
      </c>
      <c r="AR19" s="1">
        <v>455907</v>
      </c>
      <c r="AS19" s="6" t="s">
        <v>18</v>
      </c>
      <c r="AT19" s="7" t="s">
        <v>18</v>
      </c>
      <c r="AU19" s="1">
        <v>752389</v>
      </c>
      <c r="AV19" s="6" t="s">
        <v>18</v>
      </c>
      <c r="AW19" s="7" t="s">
        <v>18</v>
      </c>
      <c r="AX19" s="1">
        <v>1742955</v>
      </c>
      <c r="AY19" s="6">
        <v>1543092</v>
      </c>
      <c r="AZ19" s="7">
        <v>1392038</v>
      </c>
      <c r="BA19" s="1">
        <v>1301942</v>
      </c>
      <c r="BB19" s="6">
        <v>672711</v>
      </c>
      <c r="BC19" s="7" t="s">
        <v>18</v>
      </c>
    </row>
    <row r="20" spans="1:55" x14ac:dyDescent="0.25">
      <c r="A20" t="s">
        <v>15</v>
      </c>
      <c r="B20" s="1">
        <v>-187018</v>
      </c>
      <c r="C20" s="6" t="s">
        <v>18</v>
      </c>
      <c r="D20" s="7" t="s">
        <v>18</v>
      </c>
      <c r="E20" s="1">
        <v>-393013</v>
      </c>
      <c r="F20" s="6">
        <v>-351762</v>
      </c>
      <c r="G20" s="7">
        <v>-248790</v>
      </c>
      <c r="H20" s="1">
        <v>-1015684</v>
      </c>
      <c r="I20" s="6">
        <v>-836112</v>
      </c>
      <c r="J20" s="7">
        <v>-627254</v>
      </c>
      <c r="K20" s="1">
        <v>-75987</v>
      </c>
      <c r="L20" s="6">
        <v>-59624</v>
      </c>
      <c r="M20" s="7">
        <v>-52265</v>
      </c>
      <c r="N20" s="1">
        <v>-593020</v>
      </c>
      <c r="O20" s="6">
        <f>-469057</f>
        <v>-469057</v>
      </c>
      <c r="P20" s="7">
        <f>-461352</f>
        <v>-461352</v>
      </c>
      <c r="Q20" s="1">
        <v>-686343</v>
      </c>
      <c r="R20" s="6">
        <v>-520257</v>
      </c>
      <c r="S20" s="7" t="s">
        <v>18</v>
      </c>
      <c r="T20" s="1">
        <v>-227398</v>
      </c>
      <c r="U20" s="6">
        <v>-184054</v>
      </c>
      <c r="V20" s="7">
        <v>-66045</v>
      </c>
      <c r="W20" s="1">
        <v>-1258334</v>
      </c>
      <c r="X20" s="6">
        <v>-1061793</v>
      </c>
      <c r="Y20" s="7" t="s">
        <v>18</v>
      </c>
      <c r="Z20" s="1">
        <v>-559405</v>
      </c>
      <c r="AA20" s="6">
        <f>-483278</f>
        <v>-483278</v>
      </c>
      <c r="AB20" s="7" t="s">
        <v>18</v>
      </c>
      <c r="AC20" s="1">
        <v>-287508</v>
      </c>
      <c r="AD20" s="6">
        <v>-246195</v>
      </c>
      <c r="AE20" s="7">
        <v>-144133</v>
      </c>
      <c r="AF20" s="1">
        <v>-144784</v>
      </c>
      <c r="AG20" s="6">
        <v>-104432</v>
      </c>
      <c r="AH20" s="7" t="s">
        <v>18</v>
      </c>
      <c r="AI20" s="1">
        <v>-2183811</v>
      </c>
      <c r="AJ20" s="6">
        <v>-1565662</v>
      </c>
      <c r="AK20" s="7">
        <v>-520066</v>
      </c>
      <c r="AL20" s="1">
        <v>-140899</v>
      </c>
      <c r="AM20" s="6">
        <v>-316449</v>
      </c>
      <c r="AN20" s="7">
        <v>-379182</v>
      </c>
      <c r="AO20" s="1">
        <v>-18307</v>
      </c>
      <c r="AP20" s="6" t="s">
        <v>18</v>
      </c>
      <c r="AQ20" s="7" t="s">
        <v>18</v>
      </c>
      <c r="AR20" s="1">
        <v>-23952</v>
      </c>
      <c r="AS20" s="6" t="s">
        <v>18</v>
      </c>
      <c r="AT20" s="7" t="s">
        <v>18</v>
      </c>
      <c r="AU20" s="1">
        <v>-26449</v>
      </c>
      <c r="AV20" s="6" t="s">
        <v>18</v>
      </c>
      <c r="AW20" s="7" t="s">
        <v>18</v>
      </c>
      <c r="AX20" s="1">
        <v>-139759</v>
      </c>
      <c r="AY20" s="6">
        <v>-111575</v>
      </c>
      <c r="AZ20" s="7">
        <v>-105136</v>
      </c>
      <c r="BA20" s="1">
        <v>-338284</v>
      </c>
      <c r="BB20" s="6">
        <v>-159551</v>
      </c>
      <c r="BC20" s="7" t="s">
        <v>18</v>
      </c>
    </row>
    <row r="21" spans="1:55" x14ac:dyDescent="0.25">
      <c r="A21" t="s">
        <v>13</v>
      </c>
      <c r="B21" s="1">
        <v>-380244</v>
      </c>
      <c r="C21" s="6" t="s">
        <v>18</v>
      </c>
      <c r="D21" s="7" t="s">
        <v>18</v>
      </c>
      <c r="E21" s="1">
        <v>-821680</v>
      </c>
      <c r="F21" s="6">
        <v>-751556</v>
      </c>
      <c r="G21" s="7">
        <v>-543163</v>
      </c>
      <c r="H21" s="1">
        <v>0</v>
      </c>
      <c r="I21" s="6">
        <v>0</v>
      </c>
      <c r="J21" s="7">
        <v>0</v>
      </c>
      <c r="K21" s="1">
        <v>-167916</v>
      </c>
      <c r="L21" s="6">
        <v>-147442</v>
      </c>
      <c r="M21" s="7">
        <v>-141683</v>
      </c>
      <c r="N21" s="1">
        <f>-1219057-N24</f>
        <v>-986640</v>
      </c>
      <c r="O21" s="6">
        <f>-1016793-O24</f>
        <v>-805748</v>
      </c>
      <c r="P21" s="7">
        <f>-927774-P24</f>
        <v>-703701</v>
      </c>
      <c r="Q21" s="1">
        <v>-1839740</v>
      </c>
      <c r="R21" s="6">
        <v>-1414820</v>
      </c>
      <c r="S21" s="7" t="s">
        <v>18</v>
      </c>
      <c r="T21" s="1">
        <v>-361168</v>
      </c>
      <c r="U21" s="6">
        <v>-304696</v>
      </c>
      <c r="V21" s="7">
        <v>-124446</v>
      </c>
      <c r="W21" s="1">
        <v>-3012700</v>
      </c>
      <c r="X21" s="6">
        <v>-2731740</v>
      </c>
      <c r="Y21" s="7" t="s">
        <v>18</v>
      </c>
      <c r="Z21" s="1">
        <f>-1963406-Z24</f>
        <v>-1857247</v>
      </c>
      <c r="AA21" s="6">
        <f>-1722563-AA24</f>
        <v>-1622634</v>
      </c>
      <c r="AB21" s="7" t="s">
        <v>18</v>
      </c>
      <c r="AC21" s="1">
        <v>-754493</v>
      </c>
      <c r="AD21" s="6">
        <v>-615620</v>
      </c>
      <c r="AE21" s="7">
        <v>-372476</v>
      </c>
      <c r="AF21" s="1">
        <v>0</v>
      </c>
      <c r="AG21" s="6">
        <v>0</v>
      </c>
      <c r="AH21" s="7" t="s">
        <v>18</v>
      </c>
      <c r="AI21" s="1">
        <v>-4981025</v>
      </c>
      <c r="AJ21" s="6">
        <v>-3702271</v>
      </c>
      <c r="AK21" s="7">
        <v>-1461189</v>
      </c>
      <c r="AL21" s="1">
        <v>-1749384</v>
      </c>
      <c r="AM21" s="6">
        <v>-2987110</v>
      </c>
      <c r="AN21" s="7">
        <v>-3239101</v>
      </c>
      <c r="AO21" s="1">
        <f>-270036-AO24</f>
        <v>-182758</v>
      </c>
      <c r="AP21" s="6" t="s">
        <v>18</v>
      </c>
      <c r="AQ21" s="7" t="s">
        <v>18</v>
      </c>
      <c r="AR21" s="1">
        <f>-352156-AR24</f>
        <v>-304442</v>
      </c>
      <c r="AS21" s="6" t="s">
        <v>18</v>
      </c>
      <c r="AT21" s="7" t="s">
        <v>18</v>
      </c>
      <c r="AU21" s="1">
        <f>-438551-AU24</f>
        <v>-308286</v>
      </c>
      <c r="AV21" s="6" t="s">
        <v>18</v>
      </c>
      <c r="AW21" s="7" t="s">
        <v>18</v>
      </c>
      <c r="AX21" s="1">
        <v>-709695</v>
      </c>
      <c r="AY21" s="6">
        <v>-776184</v>
      </c>
      <c r="AZ21" s="7">
        <v>-813310</v>
      </c>
      <c r="BA21" s="1">
        <f>-1040140-BA24</f>
        <v>-841212</v>
      </c>
      <c r="BB21" s="6">
        <f>-420453-BB24</f>
        <v>-375661</v>
      </c>
      <c r="BC21" s="7" t="s">
        <v>18</v>
      </c>
    </row>
    <row r="22" spans="1:55" x14ac:dyDescent="0.25">
      <c r="A22" t="s">
        <v>12</v>
      </c>
      <c r="B22" s="1">
        <f>-121132-(B27+B28)</f>
        <v>-232</v>
      </c>
      <c r="C22" s="6" t="s">
        <v>18</v>
      </c>
      <c r="D22" s="7" t="s">
        <v>18</v>
      </c>
      <c r="E22" s="1">
        <f>-505547-E24-E27-E28</f>
        <v>-139886</v>
      </c>
      <c r="F22" s="6">
        <f>-356300-F24-F27-F28</f>
        <v>-192399</v>
      </c>
      <c r="G22" s="7">
        <f>-122190-G24-G27-G28</f>
        <v>-108196</v>
      </c>
      <c r="H22" s="1">
        <f>-2821997-H24-H27-H28</f>
        <v>-1867508</v>
      </c>
      <c r="I22" s="6">
        <f>-2241320-I24-I27-I28</f>
        <v>-1417773</v>
      </c>
      <c r="J22" s="7">
        <f>-1977979-J24-J27-J28</f>
        <v>-1519296</v>
      </c>
      <c r="K22" s="1">
        <f>-74042-K24-K27-K28</f>
        <v>-35461</v>
      </c>
      <c r="L22" s="6">
        <f>-51278-L24-L27-L28</f>
        <v>-53494</v>
      </c>
      <c r="M22" s="7">
        <f>-141076-M24-M27-M28</f>
        <v>-103743</v>
      </c>
      <c r="N22" s="1">
        <f>-106786-N27-N28</f>
        <v>3755</v>
      </c>
      <c r="O22" s="6">
        <f>-48520-O27-O28</f>
        <v>-8631</v>
      </c>
      <c r="P22" s="7">
        <f>-56460-P27-P28</f>
        <v>0</v>
      </c>
      <c r="Q22" s="1">
        <f>-329093-Q28-Q27</f>
        <v>0</v>
      </c>
      <c r="R22" s="6">
        <f>-126827-R27-R28</f>
        <v>0</v>
      </c>
      <c r="S22" s="7" t="s">
        <v>18</v>
      </c>
      <c r="T22" s="1">
        <f>-807640-T24-T27-T28</f>
        <v>-138760</v>
      </c>
      <c r="U22" s="6">
        <f>-273184-U24-U27-U28</f>
        <v>-247106</v>
      </c>
      <c r="V22" s="7">
        <f>-222955-V24-V27-V28</f>
        <v>-210992</v>
      </c>
      <c r="W22" s="1">
        <f>-474336-W27-W28</f>
        <v>0</v>
      </c>
      <c r="X22" s="6">
        <f>-355517-X27-X28</f>
        <v>0</v>
      </c>
      <c r="Y22" s="7" t="s">
        <v>18</v>
      </c>
      <c r="Z22" s="1">
        <f>-90058-Z27-Z28</f>
        <v>0</v>
      </c>
      <c r="AA22" s="6">
        <f>-93101-AA27-AA28</f>
        <v>0</v>
      </c>
      <c r="AB22" s="7" t="s">
        <v>18</v>
      </c>
      <c r="AC22" s="1">
        <f>-265890-AC27-AC28</f>
        <v>0</v>
      </c>
      <c r="AD22" s="6">
        <f>-69566-AD27-AD28</f>
        <v>0</v>
      </c>
      <c r="AE22" s="7">
        <f>40203-AE27-AE28</f>
        <v>1398</v>
      </c>
      <c r="AF22" s="1">
        <f>-4503983-AF24</f>
        <v>-4042072</v>
      </c>
      <c r="AG22" s="6">
        <f>-3639370-AG24</f>
        <v>-3172323</v>
      </c>
      <c r="AH22" s="7" t="s">
        <v>18</v>
      </c>
      <c r="AI22" s="1">
        <f>-1248879-AI27-AI28</f>
        <v>0</v>
      </c>
      <c r="AJ22" s="6">
        <f>-796441-AJ27-AJ28</f>
        <v>0</v>
      </c>
      <c r="AK22" s="7">
        <f>-233756-AK27-AK28</f>
        <v>-40024</v>
      </c>
      <c r="AL22" s="1">
        <f>-2502388-AL27-AL28</f>
        <v>-2196831</v>
      </c>
      <c r="AM22" s="6">
        <f>-1468152-AM27-AM28</f>
        <v>-468359</v>
      </c>
      <c r="AN22" s="7">
        <f>-1778280-AN27-AN28</f>
        <v>-472704</v>
      </c>
      <c r="AO22" s="1">
        <f>-155243-AO27-AO28</f>
        <v>0</v>
      </c>
      <c r="AP22" s="6" t="s">
        <v>18</v>
      </c>
      <c r="AQ22" s="7" t="s">
        <v>18</v>
      </c>
      <c r="AR22" s="1">
        <f>-210604-AR27-AR28</f>
        <v>0</v>
      </c>
      <c r="AS22" s="6" t="s">
        <v>18</v>
      </c>
      <c r="AT22" s="7" t="s">
        <v>18</v>
      </c>
      <c r="AU22" s="1">
        <f>-398668-AU27-AU28</f>
        <v>-66862</v>
      </c>
      <c r="AV22" s="6" t="s">
        <v>18</v>
      </c>
      <c r="AW22" s="7" t="s">
        <v>18</v>
      </c>
      <c r="AX22" s="1">
        <f>-1543430-AX24-AX27-AX28</f>
        <v>-984197</v>
      </c>
      <c r="AY22" s="6">
        <f>-720881-AY24-AY27-AY28</f>
        <v>-265249</v>
      </c>
      <c r="AZ22" s="7">
        <f>-813432-AZ24-AZ27-AZ28</f>
        <v>-358188</v>
      </c>
      <c r="BA22" s="1">
        <f>-409700-BA27-BA28</f>
        <v>-17463</v>
      </c>
      <c r="BB22" s="6">
        <f>-19794-BB27-BB28</f>
        <v>-755</v>
      </c>
      <c r="BC22" s="7" t="s">
        <v>18</v>
      </c>
    </row>
    <row r="23" spans="1:55" x14ac:dyDescent="0.25">
      <c r="A23" t="s">
        <v>4</v>
      </c>
      <c r="B23" s="4">
        <f>SUM(B19:B22)</f>
        <v>2441</v>
      </c>
      <c r="C23" s="11" t="s">
        <v>18</v>
      </c>
      <c r="D23" s="12" t="s">
        <v>18</v>
      </c>
      <c r="E23" s="4">
        <f t="shared" ref="E23:X23" si="2">SUM(E19:E22)</f>
        <v>259965</v>
      </c>
      <c r="F23" s="11">
        <f t="shared" si="2"/>
        <v>157094</v>
      </c>
      <c r="G23" s="12">
        <f t="shared" si="2"/>
        <v>107890</v>
      </c>
      <c r="H23" s="4">
        <f t="shared" si="2"/>
        <v>857762</v>
      </c>
      <c r="I23" s="11">
        <f t="shared" si="2"/>
        <v>1036637</v>
      </c>
      <c r="J23" s="12">
        <f t="shared" si="2"/>
        <v>724769</v>
      </c>
      <c r="K23" s="4">
        <f t="shared" si="2"/>
        <v>59574</v>
      </c>
      <c r="L23" s="11">
        <f t="shared" si="2"/>
        <v>36087</v>
      </c>
      <c r="M23" s="12">
        <f t="shared" si="2"/>
        <v>-41873</v>
      </c>
      <c r="N23" s="4">
        <f t="shared" si="2"/>
        <v>629001</v>
      </c>
      <c r="O23" s="11">
        <f t="shared" si="2"/>
        <v>578594</v>
      </c>
      <c r="P23" s="12">
        <f t="shared" si="2"/>
        <v>553040</v>
      </c>
      <c r="Q23" s="4">
        <f t="shared" si="2"/>
        <v>401877</v>
      </c>
      <c r="R23" s="11">
        <f t="shared" si="2"/>
        <v>325095</v>
      </c>
      <c r="S23" s="12" t="s">
        <v>18</v>
      </c>
      <c r="T23" s="4">
        <f t="shared" si="2"/>
        <v>138496</v>
      </c>
      <c r="U23" s="11">
        <f t="shared" si="2"/>
        <v>10096</v>
      </c>
      <c r="V23" s="12">
        <f t="shared" si="2"/>
        <v>-102308</v>
      </c>
      <c r="W23" s="4">
        <f t="shared" si="2"/>
        <v>850927</v>
      </c>
      <c r="X23" s="11">
        <f t="shared" si="2"/>
        <v>747320</v>
      </c>
      <c r="Y23" s="12" t="s">
        <v>18</v>
      </c>
      <c r="Z23" s="4">
        <f>SUM(Z19:Z22)</f>
        <v>14331</v>
      </c>
      <c r="AA23" s="11">
        <f>SUM(AA19:AA22)</f>
        <v>84262</v>
      </c>
      <c r="AB23" s="12" t="s">
        <v>18</v>
      </c>
      <c r="AC23" s="4">
        <f t="shared" ref="AC23:AO23" si="3">SUM(AC19:AC22)</f>
        <v>52944</v>
      </c>
      <c r="AD23" s="11">
        <f t="shared" si="3"/>
        <v>105913</v>
      </c>
      <c r="AE23" s="12">
        <f t="shared" si="3"/>
        <v>87641</v>
      </c>
      <c r="AF23" s="4">
        <f>SUM(AF19:AF22)</f>
        <v>1700283</v>
      </c>
      <c r="AG23" s="11">
        <f>SUM(AG19:AG22)</f>
        <v>1026901</v>
      </c>
      <c r="AH23" s="12" t="s">
        <v>18</v>
      </c>
      <c r="AI23" s="4">
        <f t="shared" si="3"/>
        <v>1209770</v>
      </c>
      <c r="AJ23" s="11">
        <f t="shared" si="3"/>
        <v>1070778</v>
      </c>
      <c r="AK23" s="12">
        <f t="shared" si="3"/>
        <v>405337</v>
      </c>
      <c r="AL23" s="4">
        <f t="shared" si="3"/>
        <v>-1752857</v>
      </c>
      <c r="AM23" s="11">
        <f t="shared" si="3"/>
        <v>459786</v>
      </c>
      <c r="AN23" s="12">
        <f t="shared" si="3"/>
        <v>117429</v>
      </c>
      <c r="AO23" s="4">
        <f t="shared" si="3"/>
        <v>194852</v>
      </c>
      <c r="AP23" s="11" t="s">
        <v>18</v>
      </c>
      <c r="AQ23" s="12" t="s">
        <v>18</v>
      </c>
      <c r="AR23" s="4">
        <f>SUM(AR19:AR22)</f>
        <v>127513</v>
      </c>
      <c r="AS23" s="11" t="s">
        <v>18</v>
      </c>
      <c r="AT23" s="12" t="s">
        <v>18</v>
      </c>
      <c r="AU23" s="4">
        <f>SUM(AU19:AU22)</f>
        <v>350792</v>
      </c>
      <c r="AV23" s="11" t="s">
        <v>18</v>
      </c>
      <c r="AW23" s="12" t="s">
        <v>18</v>
      </c>
      <c r="AX23" s="4">
        <f>SUM(AX19:AX22)</f>
        <v>-90696</v>
      </c>
      <c r="AY23" s="11">
        <f>SUM(AY19:AY22)</f>
        <v>390084</v>
      </c>
      <c r="AZ23" s="12">
        <f>SUM(AZ19:AZ22)</f>
        <v>115404</v>
      </c>
      <c r="BA23" s="4">
        <f>SUM(BA19:BA22)</f>
        <v>104983</v>
      </c>
      <c r="BB23" s="11">
        <f>SUM(BB19:BB22)</f>
        <v>136744</v>
      </c>
      <c r="BC23" s="12" t="s">
        <v>18</v>
      </c>
    </row>
    <row r="24" spans="1:55" x14ac:dyDescent="0.25">
      <c r="A24" t="s">
        <v>10</v>
      </c>
      <c r="B24" s="1">
        <v>0</v>
      </c>
      <c r="C24" s="6" t="s">
        <v>18</v>
      </c>
      <c r="D24" s="7" t="s">
        <v>18</v>
      </c>
      <c r="E24" s="1">
        <f>-7018-1166</f>
        <v>-8184</v>
      </c>
      <c r="F24" s="6">
        <f>-10674+2189</f>
        <v>-8485</v>
      </c>
      <c r="G24" s="7">
        <f>-2381+5320</f>
        <v>2939</v>
      </c>
      <c r="H24" s="1">
        <v>-448274</v>
      </c>
      <c r="I24" s="6">
        <v>-351788</v>
      </c>
      <c r="J24" s="7">
        <v>-324509</v>
      </c>
      <c r="K24" s="1">
        <v>-1060</v>
      </c>
      <c r="L24" s="6">
        <v>-3145</v>
      </c>
      <c r="M24" s="7">
        <v>-854</v>
      </c>
      <c r="N24" s="1">
        <v>-232417</v>
      </c>
      <c r="O24" s="6">
        <v>-211045</v>
      </c>
      <c r="P24" s="7">
        <v>-224073</v>
      </c>
      <c r="Q24" s="1">
        <v>0</v>
      </c>
      <c r="R24" s="6">
        <v>0</v>
      </c>
      <c r="S24" s="7" t="s">
        <v>18</v>
      </c>
      <c r="T24" s="1">
        <v>-57130</v>
      </c>
      <c r="U24" s="6">
        <v>-31477</v>
      </c>
      <c r="V24" s="7">
        <v>-12402</v>
      </c>
      <c r="W24" s="1">
        <v>0</v>
      </c>
      <c r="X24" s="6">
        <v>0</v>
      </c>
      <c r="Y24" s="7" t="s">
        <v>18</v>
      </c>
      <c r="Z24" s="1">
        <v>-106159</v>
      </c>
      <c r="AA24" s="6">
        <v>-99929</v>
      </c>
      <c r="AB24" s="7" t="s">
        <v>18</v>
      </c>
      <c r="AC24" s="1">
        <v>0</v>
      </c>
      <c r="AD24" s="6">
        <v>0</v>
      </c>
      <c r="AE24" s="7">
        <v>0</v>
      </c>
      <c r="AF24" s="1">
        <v>-461911</v>
      </c>
      <c r="AG24" s="6">
        <v>-467047</v>
      </c>
      <c r="AH24" s="7" t="s">
        <v>18</v>
      </c>
      <c r="AI24" s="1">
        <v>0</v>
      </c>
      <c r="AJ24" s="6">
        <v>0</v>
      </c>
      <c r="AK24" s="7">
        <v>0</v>
      </c>
      <c r="AL24" s="1">
        <v>0</v>
      </c>
      <c r="AM24" s="6">
        <v>0</v>
      </c>
      <c r="AN24" s="7">
        <v>0</v>
      </c>
      <c r="AO24" s="1">
        <v>-87278</v>
      </c>
      <c r="AP24" s="6" t="s">
        <v>18</v>
      </c>
      <c r="AQ24" s="7" t="s">
        <v>18</v>
      </c>
      <c r="AR24" s="1">
        <v>-47714</v>
      </c>
      <c r="AS24" s="6" t="s">
        <v>18</v>
      </c>
      <c r="AT24" s="7" t="s">
        <v>18</v>
      </c>
      <c r="AU24" s="1">
        <v>-130265</v>
      </c>
      <c r="AV24" s="6" t="s">
        <v>18</v>
      </c>
      <c r="AW24" s="7" t="s">
        <v>18</v>
      </c>
      <c r="AX24" s="1">
        <v>0</v>
      </c>
      <c r="AY24" s="6">
        <v>-22</v>
      </c>
      <c r="AZ24" s="7">
        <v>-4</v>
      </c>
      <c r="BA24" s="1">
        <v>-198928</v>
      </c>
      <c r="BB24" s="6">
        <v>-44792</v>
      </c>
      <c r="BC24" s="7" t="s">
        <v>18</v>
      </c>
    </row>
    <row r="25" spans="1:55" x14ac:dyDescent="0.25">
      <c r="A25" t="s">
        <v>20</v>
      </c>
      <c r="B25" s="1">
        <v>6524</v>
      </c>
      <c r="C25" s="6" t="s">
        <v>18</v>
      </c>
      <c r="D25" s="7" t="s">
        <v>18</v>
      </c>
      <c r="E25" s="1">
        <v>-7960</v>
      </c>
      <c r="F25" s="6">
        <v>2716</v>
      </c>
      <c r="G25" s="7">
        <v>-5573</v>
      </c>
      <c r="H25" s="1">
        <v>-76315</v>
      </c>
      <c r="I25" s="6">
        <v>-31318</v>
      </c>
      <c r="J25" s="7">
        <v>-17533</v>
      </c>
      <c r="K25" s="1">
        <v>-1095</v>
      </c>
      <c r="L25" s="6">
        <v>-402</v>
      </c>
      <c r="M25" s="7">
        <v>-13833</v>
      </c>
      <c r="N25" s="1">
        <v>-20257</v>
      </c>
      <c r="O25" s="6">
        <v>55967</v>
      </c>
      <c r="P25" s="7">
        <v>-22916</v>
      </c>
      <c r="Q25" s="1">
        <v>-6541</v>
      </c>
      <c r="R25" s="6">
        <v>-12285</v>
      </c>
      <c r="S25" s="7" t="s">
        <v>18</v>
      </c>
      <c r="T25" s="1">
        <v>2774</v>
      </c>
      <c r="U25" s="6">
        <v>2331</v>
      </c>
      <c r="V25" s="7">
        <v>1960</v>
      </c>
      <c r="W25" s="1">
        <v>-47646</v>
      </c>
      <c r="X25" s="6">
        <v>-18036</v>
      </c>
      <c r="Y25" s="7" t="s">
        <v>18</v>
      </c>
      <c r="Z25" s="1">
        <v>-7365</v>
      </c>
      <c r="AA25" s="6">
        <v>-16116</v>
      </c>
      <c r="AB25" s="7" t="s">
        <v>18</v>
      </c>
      <c r="AC25" s="1">
        <v>-3823</v>
      </c>
      <c r="AD25" s="6">
        <v>-10653</v>
      </c>
      <c r="AE25" s="7">
        <v>-5433</v>
      </c>
      <c r="AF25" s="1">
        <v>-84887</v>
      </c>
      <c r="AG25" s="6">
        <v>-21759</v>
      </c>
      <c r="AH25" s="7" t="s">
        <v>18</v>
      </c>
      <c r="AI25" s="1">
        <v>-28740</v>
      </c>
      <c r="AJ25" s="6">
        <v>-30283</v>
      </c>
      <c r="AK25" s="7">
        <v>-2562</v>
      </c>
      <c r="AL25" s="1">
        <v>2087613</v>
      </c>
      <c r="AM25" s="6">
        <v>1245123</v>
      </c>
      <c r="AN25" s="7">
        <v>2367103</v>
      </c>
      <c r="AO25" s="1">
        <v>-74719</v>
      </c>
      <c r="AP25" s="6" t="s">
        <v>18</v>
      </c>
      <c r="AQ25" s="7" t="s">
        <v>18</v>
      </c>
      <c r="AR25" s="1">
        <v>-121535</v>
      </c>
      <c r="AS25" s="6" t="s">
        <v>18</v>
      </c>
      <c r="AT25" s="7" t="s">
        <v>18</v>
      </c>
      <c r="AU25" s="1">
        <v>-2243</v>
      </c>
      <c r="AV25" s="6" t="s">
        <v>18</v>
      </c>
      <c r="AW25" s="7" t="s">
        <v>18</v>
      </c>
      <c r="AX25" s="1">
        <v>-1732</v>
      </c>
      <c r="AY25" s="6">
        <v>-860</v>
      </c>
      <c r="AZ25" s="7">
        <v>-1033</v>
      </c>
      <c r="BA25" s="1">
        <v>-20005</v>
      </c>
      <c r="BB25" s="6">
        <v>-6419</v>
      </c>
      <c r="BC25" s="7" t="s">
        <v>18</v>
      </c>
    </row>
    <row r="26" spans="1:55" x14ac:dyDescent="0.25">
      <c r="A26" t="s">
        <v>5</v>
      </c>
      <c r="B26" s="4">
        <f>SUM(B23:B25)</f>
        <v>8965</v>
      </c>
      <c r="C26" s="11" t="s">
        <v>18</v>
      </c>
      <c r="D26" s="12" t="s">
        <v>18</v>
      </c>
      <c r="E26" s="4">
        <f t="shared" ref="E26:X26" si="4">SUM(E23:E25)</f>
        <v>243821</v>
      </c>
      <c r="F26" s="11">
        <f t="shared" si="4"/>
        <v>151325</v>
      </c>
      <c r="G26" s="12">
        <f t="shared" si="4"/>
        <v>105256</v>
      </c>
      <c r="H26" s="4">
        <f t="shared" si="4"/>
        <v>333173</v>
      </c>
      <c r="I26" s="11">
        <f t="shared" si="4"/>
        <v>653531</v>
      </c>
      <c r="J26" s="12">
        <f t="shared" si="4"/>
        <v>382727</v>
      </c>
      <c r="K26" s="4">
        <f t="shared" si="4"/>
        <v>57419</v>
      </c>
      <c r="L26" s="11">
        <f t="shared" si="4"/>
        <v>32540</v>
      </c>
      <c r="M26" s="12">
        <f t="shared" si="4"/>
        <v>-56560</v>
      </c>
      <c r="N26" s="4">
        <f t="shared" si="4"/>
        <v>376327</v>
      </c>
      <c r="O26" s="11">
        <f t="shared" si="4"/>
        <v>423516</v>
      </c>
      <c r="P26" s="12">
        <f t="shared" si="4"/>
        <v>306051</v>
      </c>
      <c r="Q26" s="4">
        <f t="shared" si="4"/>
        <v>395336</v>
      </c>
      <c r="R26" s="11">
        <f t="shared" si="4"/>
        <v>312810</v>
      </c>
      <c r="S26" s="12" t="s">
        <v>18</v>
      </c>
      <c r="T26" s="4">
        <f t="shared" si="4"/>
        <v>84140</v>
      </c>
      <c r="U26" s="11">
        <f t="shared" si="4"/>
        <v>-19050</v>
      </c>
      <c r="V26" s="12">
        <f t="shared" si="4"/>
        <v>-112750</v>
      </c>
      <c r="W26" s="4">
        <f t="shared" si="4"/>
        <v>803281</v>
      </c>
      <c r="X26" s="11">
        <f t="shared" si="4"/>
        <v>729284</v>
      </c>
      <c r="Y26" s="12" t="s">
        <v>18</v>
      </c>
      <c r="Z26" s="4">
        <f>SUM(Z23:Z25)</f>
        <v>-99193</v>
      </c>
      <c r="AA26" s="11">
        <f>SUM(AA23:AA25)</f>
        <v>-31783</v>
      </c>
      <c r="AB26" s="12" t="s">
        <v>18</v>
      </c>
      <c r="AC26" s="4">
        <f t="shared" ref="AC26:AO26" si="5">SUM(AC23:AC25)</f>
        <v>49121</v>
      </c>
      <c r="AD26" s="11">
        <f t="shared" si="5"/>
        <v>95260</v>
      </c>
      <c r="AE26" s="12">
        <f t="shared" si="5"/>
        <v>82208</v>
      </c>
      <c r="AF26" s="4">
        <f>SUM(AF23:AF25)</f>
        <v>1153485</v>
      </c>
      <c r="AG26" s="11">
        <f>SUM(AG23:AG25)</f>
        <v>538095</v>
      </c>
      <c r="AH26" s="12" t="s">
        <v>18</v>
      </c>
      <c r="AI26" s="4">
        <f t="shared" si="5"/>
        <v>1181030</v>
      </c>
      <c r="AJ26" s="11">
        <f t="shared" si="5"/>
        <v>1040495</v>
      </c>
      <c r="AK26" s="12">
        <f t="shared" si="5"/>
        <v>402775</v>
      </c>
      <c r="AL26" s="4">
        <f t="shared" si="5"/>
        <v>334756</v>
      </c>
      <c r="AM26" s="11">
        <f t="shared" si="5"/>
        <v>1704909</v>
      </c>
      <c r="AN26" s="12">
        <f t="shared" si="5"/>
        <v>2484532</v>
      </c>
      <c r="AO26" s="4">
        <f t="shared" si="5"/>
        <v>32855</v>
      </c>
      <c r="AP26" s="11" t="s">
        <v>18</v>
      </c>
      <c r="AQ26" s="12" t="s">
        <v>18</v>
      </c>
      <c r="AR26" s="4">
        <f>SUM(AR23:AR25)</f>
        <v>-41736</v>
      </c>
      <c r="AS26" s="11" t="s">
        <v>18</v>
      </c>
      <c r="AT26" s="12" t="s">
        <v>18</v>
      </c>
      <c r="AU26" s="4">
        <f>SUM(AU23:AU25)</f>
        <v>218284</v>
      </c>
      <c r="AV26" s="11" t="s">
        <v>18</v>
      </c>
      <c r="AW26" s="12" t="s">
        <v>18</v>
      </c>
      <c r="AX26" s="4">
        <f>SUM(AX23:AX25)</f>
        <v>-92428</v>
      </c>
      <c r="AY26" s="11">
        <f>SUM(AY23:AY25)</f>
        <v>389202</v>
      </c>
      <c r="AZ26" s="12">
        <f>SUM(AZ23:AZ25)</f>
        <v>114367</v>
      </c>
      <c r="BA26" s="4">
        <f>SUM(BA23:BA25)</f>
        <v>-113950</v>
      </c>
      <c r="BB26" s="11">
        <f>SUM(BB23:BB25)</f>
        <v>85533</v>
      </c>
      <c r="BC26" s="12" t="s">
        <v>18</v>
      </c>
    </row>
    <row r="27" spans="1:55" x14ac:dyDescent="0.25">
      <c r="A27" t="s">
        <v>49</v>
      </c>
      <c r="B27" s="1">
        <v>-142400</v>
      </c>
      <c r="C27" s="6" t="s">
        <v>18</v>
      </c>
      <c r="D27" s="7" t="s">
        <v>18</v>
      </c>
      <c r="E27" s="1">
        <v>-396496</v>
      </c>
      <c r="F27" s="6">
        <v>-203932</v>
      </c>
      <c r="G27" s="7">
        <v>-45852</v>
      </c>
      <c r="H27" s="1">
        <v>-802007</v>
      </c>
      <c r="I27" s="6">
        <v>-612774</v>
      </c>
      <c r="J27" s="7">
        <v>-334890</v>
      </c>
      <c r="K27" s="1">
        <v>-58602</v>
      </c>
      <c r="L27" s="6">
        <v>-23320</v>
      </c>
      <c r="M27" s="7">
        <v>-40715</v>
      </c>
      <c r="N27" s="1">
        <v>-374038</v>
      </c>
      <c r="O27" s="6">
        <v>-227300</v>
      </c>
      <c r="P27" s="7">
        <v>-271712</v>
      </c>
      <c r="Q27" s="1">
        <v>-637857</v>
      </c>
      <c r="R27" s="6">
        <v>-256071</v>
      </c>
      <c r="S27" s="7" t="s">
        <v>18</v>
      </c>
      <c r="T27" s="1">
        <v>-826326</v>
      </c>
      <c r="U27" s="6">
        <v>-10997</v>
      </c>
      <c r="V27" s="7">
        <v>-2324</v>
      </c>
      <c r="W27" s="1">
        <v>-557382</v>
      </c>
      <c r="X27" s="6">
        <v>-440904</v>
      </c>
      <c r="Y27" s="7" t="s">
        <v>18</v>
      </c>
      <c r="Z27" s="1">
        <v>-120454</v>
      </c>
      <c r="AA27" s="6">
        <v>-114054</v>
      </c>
      <c r="AB27" s="7" t="s">
        <v>18</v>
      </c>
      <c r="AC27" s="1">
        <v>-484928</v>
      </c>
      <c r="AD27" s="6">
        <v>-199928</v>
      </c>
      <c r="AE27" s="7">
        <v>-64368</v>
      </c>
      <c r="AF27" s="1">
        <f>-77092-159720-313454-33110-10446-338617-21529-100000</f>
        <v>-1053968</v>
      </c>
      <c r="AG27" s="6">
        <f>-65364-26738-51522-54750-477-373000</f>
        <v>-571851</v>
      </c>
      <c r="AH27" s="7" t="s">
        <v>18</v>
      </c>
      <c r="AI27" s="1">
        <v>-1507151</v>
      </c>
      <c r="AJ27" s="6">
        <v>-934234</v>
      </c>
      <c r="AK27" s="7">
        <v>-262509</v>
      </c>
      <c r="AL27" s="1">
        <v>-866434</v>
      </c>
      <c r="AM27" s="6">
        <v>-1159859</v>
      </c>
      <c r="AN27" s="7">
        <v>-1438450</v>
      </c>
      <c r="AO27" s="1">
        <v>-160514</v>
      </c>
      <c r="AP27" s="6" t="s">
        <v>18</v>
      </c>
      <c r="AQ27" s="7" t="s">
        <v>18</v>
      </c>
      <c r="AR27" s="1">
        <v>-212049</v>
      </c>
      <c r="AS27" s="6" t="s">
        <v>18</v>
      </c>
      <c r="AT27" s="7" t="s">
        <v>18</v>
      </c>
      <c r="AU27" s="1">
        <v>-347259</v>
      </c>
      <c r="AV27" s="6" t="s">
        <v>18</v>
      </c>
      <c r="AW27" s="7" t="s">
        <v>18</v>
      </c>
      <c r="AX27" s="1">
        <v>-586990</v>
      </c>
      <c r="AY27" s="6">
        <v>-512996</v>
      </c>
      <c r="AZ27" s="7">
        <v>-492321</v>
      </c>
      <c r="BA27" s="1">
        <v>-770837</v>
      </c>
      <c r="BB27" s="6">
        <v>-33937</v>
      </c>
      <c r="BC27" s="7" t="s">
        <v>18</v>
      </c>
    </row>
    <row r="28" spans="1:55" x14ac:dyDescent="0.25">
      <c r="A28" t="s">
        <v>6</v>
      </c>
      <c r="B28" s="1">
        <v>21500</v>
      </c>
      <c r="C28" s="6" t="s">
        <v>18</v>
      </c>
      <c r="D28" s="7" t="s">
        <v>18</v>
      </c>
      <c r="E28" s="1">
        <v>39019</v>
      </c>
      <c r="F28" s="6">
        <v>48516</v>
      </c>
      <c r="G28" s="7">
        <v>28919</v>
      </c>
      <c r="H28" s="1">
        <v>295792</v>
      </c>
      <c r="I28" s="6">
        <v>141015</v>
      </c>
      <c r="J28" s="7">
        <v>200716</v>
      </c>
      <c r="K28" s="1">
        <v>21081</v>
      </c>
      <c r="L28" s="6">
        <v>28681</v>
      </c>
      <c r="M28" s="7">
        <v>4236</v>
      </c>
      <c r="N28" s="1">
        <v>263497</v>
      </c>
      <c r="O28" s="6">
        <v>187411</v>
      </c>
      <c r="P28" s="7">
        <v>215252</v>
      </c>
      <c r="Q28" s="1">
        <v>308764</v>
      </c>
      <c r="R28" s="6">
        <v>129244</v>
      </c>
      <c r="S28" s="7" t="s">
        <v>18</v>
      </c>
      <c r="T28" s="1">
        <v>214576</v>
      </c>
      <c r="U28" s="6">
        <v>16396</v>
      </c>
      <c r="V28" s="7">
        <v>2763</v>
      </c>
      <c r="W28" s="1">
        <v>83046</v>
      </c>
      <c r="X28" s="6">
        <v>85387</v>
      </c>
      <c r="Y28" s="7" t="s">
        <v>18</v>
      </c>
      <c r="Z28" s="1">
        <v>30396</v>
      </c>
      <c r="AA28" s="6">
        <v>20953</v>
      </c>
      <c r="AB28" s="7" t="s">
        <v>18</v>
      </c>
      <c r="AC28" s="1">
        <v>219038</v>
      </c>
      <c r="AD28" s="6">
        <v>130362</v>
      </c>
      <c r="AE28" s="7">
        <v>103173</v>
      </c>
      <c r="AF28" s="1">
        <f>65975+137409+65890</f>
        <v>269274</v>
      </c>
      <c r="AG28" s="6">
        <f>74175+28065+31878+6992</f>
        <v>141110</v>
      </c>
      <c r="AH28" s="7" t="s">
        <v>18</v>
      </c>
      <c r="AI28" s="1">
        <v>258272</v>
      </c>
      <c r="AJ28" s="6">
        <v>137793</v>
      </c>
      <c r="AK28" s="7">
        <v>68777</v>
      </c>
      <c r="AL28" s="1">
        <v>560877</v>
      </c>
      <c r="AM28" s="6">
        <v>160066</v>
      </c>
      <c r="AN28" s="7">
        <v>132874</v>
      </c>
      <c r="AO28" s="1">
        <v>5271</v>
      </c>
      <c r="AP28" s="6" t="s">
        <v>18</v>
      </c>
      <c r="AQ28" s="7" t="s">
        <v>18</v>
      </c>
      <c r="AR28" s="1">
        <v>1445</v>
      </c>
      <c r="AS28" s="6" t="s">
        <v>18</v>
      </c>
      <c r="AT28" s="7" t="s">
        <v>18</v>
      </c>
      <c r="AU28" s="1">
        <v>15453</v>
      </c>
      <c r="AV28" s="6" t="s">
        <v>18</v>
      </c>
      <c r="AW28" s="7" t="s">
        <v>18</v>
      </c>
      <c r="AX28" s="1">
        <v>27757</v>
      </c>
      <c r="AY28" s="6">
        <v>57386</v>
      </c>
      <c r="AZ28" s="7">
        <v>37081</v>
      </c>
      <c r="BA28" s="1">
        <v>378600</v>
      </c>
      <c r="BB28" s="6">
        <v>14898</v>
      </c>
      <c r="BC28" s="7" t="s">
        <v>18</v>
      </c>
    </row>
    <row r="29" spans="1:55" x14ac:dyDescent="0.25">
      <c r="A29" t="s">
        <v>7</v>
      </c>
      <c r="B29" s="4">
        <f>SUM(B26:B28)</f>
        <v>-111935</v>
      </c>
      <c r="C29" s="11" t="s">
        <v>18</v>
      </c>
      <c r="D29" s="12" t="s">
        <v>18</v>
      </c>
      <c r="E29" s="4">
        <f t="shared" ref="E29:X29" si="6">SUM(E26:E28)</f>
        <v>-113656</v>
      </c>
      <c r="F29" s="11">
        <f t="shared" si="6"/>
        <v>-4091</v>
      </c>
      <c r="G29" s="12">
        <f t="shared" si="6"/>
        <v>88323</v>
      </c>
      <c r="H29" s="4">
        <f t="shared" si="6"/>
        <v>-173042</v>
      </c>
      <c r="I29" s="11">
        <f t="shared" si="6"/>
        <v>181772</v>
      </c>
      <c r="J29" s="12">
        <f t="shared" si="6"/>
        <v>248553</v>
      </c>
      <c r="K29" s="4">
        <f t="shared" si="6"/>
        <v>19898</v>
      </c>
      <c r="L29" s="11">
        <f t="shared" si="6"/>
        <v>37901</v>
      </c>
      <c r="M29" s="12">
        <f t="shared" si="6"/>
        <v>-93039</v>
      </c>
      <c r="N29" s="4">
        <f t="shared" si="6"/>
        <v>265786</v>
      </c>
      <c r="O29" s="11">
        <f t="shared" si="6"/>
        <v>383627</v>
      </c>
      <c r="P29" s="12">
        <f t="shared" si="6"/>
        <v>249591</v>
      </c>
      <c r="Q29" s="4">
        <f t="shared" si="6"/>
        <v>66243</v>
      </c>
      <c r="R29" s="11">
        <f t="shared" si="6"/>
        <v>185983</v>
      </c>
      <c r="S29" s="12" t="s">
        <v>18</v>
      </c>
      <c r="T29" s="4">
        <f t="shared" si="6"/>
        <v>-527610</v>
      </c>
      <c r="U29" s="11">
        <f t="shared" si="6"/>
        <v>-13651</v>
      </c>
      <c r="V29" s="12">
        <f t="shared" si="6"/>
        <v>-112311</v>
      </c>
      <c r="W29" s="4">
        <f t="shared" si="6"/>
        <v>328945</v>
      </c>
      <c r="X29" s="11">
        <f t="shared" si="6"/>
        <v>373767</v>
      </c>
      <c r="Y29" s="12" t="s">
        <v>18</v>
      </c>
      <c r="Z29" s="4">
        <f>SUM(Z26:Z28)</f>
        <v>-189251</v>
      </c>
      <c r="AA29" s="11">
        <f>SUM(AA26:AA28)</f>
        <v>-124884</v>
      </c>
      <c r="AB29" s="12" t="s">
        <v>18</v>
      </c>
      <c r="AC29" s="4">
        <f t="shared" ref="AC29:AO29" si="7">SUM(AC26:AC28)</f>
        <v>-216769</v>
      </c>
      <c r="AD29" s="11">
        <f t="shared" si="7"/>
        <v>25694</v>
      </c>
      <c r="AE29" s="12">
        <f t="shared" si="7"/>
        <v>121013</v>
      </c>
      <c r="AF29" s="4">
        <f>SUM(AF26:AF28)</f>
        <v>368791</v>
      </c>
      <c r="AG29" s="11">
        <f>SUM(AG26:AG28)</f>
        <v>107354</v>
      </c>
      <c r="AH29" s="12" t="s">
        <v>18</v>
      </c>
      <c r="AI29" s="4">
        <f t="shared" si="7"/>
        <v>-67849</v>
      </c>
      <c r="AJ29" s="11">
        <f t="shared" si="7"/>
        <v>244054</v>
      </c>
      <c r="AK29" s="12">
        <f t="shared" si="7"/>
        <v>209043</v>
      </c>
      <c r="AL29" s="4">
        <f t="shared" si="7"/>
        <v>29199</v>
      </c>
      <c r="AM29" s="11">
        <f t="shared" si="7"/>
        <v>705116</v>
      </c>
      <c r="AN29" s="12">
        <f t="shared" si="7"/>
        <v>1178956</v>
      </c>
      <c r="AO29" s="4">
        <f t="shared" si="7"/>
        <v>-122388</v>
      </c>
      <c r="AP29" s="11" t="s">
        <v>18</v>
      </c>
      <c r="AQ29" s="12" t="s">
        <v>18</v>
      </c>
      <c r="AR29" s="4">
        <f>SUM(AR26:AR28)</f>
        <v>-252340</v>
      </c>
      <c r="AS29" s="11" t="s">
        <v>18</v>
      </c>
      <c r="AT29" s="12" t="s">
        <v>18</v>
      </c>
      <c r="AU29" s="4">
        <f>SUM(AU26:AU28)</f>
        <v>-113522</v>
      </c>
      <c r="AV29" s="11" t="s">
        <v>18</v>
      </c>
      <c r="AW29" s="12" t="s">
        <v>18</v>
      </c>
      <c r="AX29" s="4">
        <f>SUM(AX26:AX28)</f>
        <v>-651661</v>
      </c>
      <c r="AY29" s="11">
        <f>SUM(AY26:AY28)</f>
        <v>-66408</v>
      </c>
      <c r="AZ29" s="12">
        <f>SUM(AZ26:AZ28)</f>
        <v>-340873</v>
      </c>
      <c r="BA29" s="4">
        <f>SUM(BA26:BA28)</f>
        <v>-506187</v>
      </c>
      <c r="BB29" s="11">
        <f>SUM(BB26:BB28)</f>
        <v>66494</v>
      </c>
      <c r="BC29" s="12" t="s">
        <v>18</v>
      </c>
    </row>
    <row r="30" spans="1:55" x14ac:dyDescent="0.25">
      <c r="A30" t="s">
        <v>17</v>
      </c>
      <c r="B30" s="1">
        <v>51655</v>
      </c>
      <c r="C30" s="6" t="s">
        <v>18</v>
      </c>
      <c r="D30" s="7" t="s">
        <v>18</v>
      </c>
      <c r="E30" s="1">
        <v>3467</v>
      </c>
      <c r="F30" s="6">
        <v>-36970</v>
      </c>
      <c r="G30" s="7">
        <v>638</v>
      </c>
      <c r="H30" s="1">
        <v>47183</v>
      </c>
      <c r="I30" s="6">
        <v>-54083</v>
      </c>
      <c r="J30" s="7">
        <v>-84229</v>
      </c>
      <c r="K30" s="1">
        <v>-8011</v>
      </c>
      <c r="L30" s="6">
        <v>-5378</v>
      </c>
      <c r="M30" s="7">
        <v>0</v>
      </c>
      <c r="N30" s="1">
        <v>-88621</v>
      </c>
      <c r="O30" s="6">
        <v>-102562</v>
      </c>
      <c r="P30" s="7">
        <v>-72523</v>
      </c>
      <c r="Q30" s="1">
        <v>-23070</v>
      </c>
      <c r="R30" s="6">
        <v>37045</v>
      </c>
      <c r="S30" s="7" t="s">
        <v>18</v>
      </c>
      <c r="T30" s="1">
        <v>-77</v>
      </c>
      <c r="U30" s="6">
        <v>-4414</v>
      </c>
      <c r="V30" s="7">
        <v>-22866</v>
      </c>
      <c r="W30" s="1">
        <v>-26155</v>
      </c>
      <c r="X30" s="6">
        <v>-201619</v>
      </c>
      <c r="Y30" s="7" t="s">
        <v>18</v>
      </c>
      <c r="Z30" s="1">
        <v>0</v>
      </c>
      <c r="AA30" s="6">
        <v>-1116</v>
      </c>
      <c r="AB30" s="7" t="s">
        <v>18</v>
      </c>
      <c r="AC30" s="1">
        <v>72931</v>
      </c>
      <c r="AD30" s="6">
        <v>117056</v>
      </c>
      <c r="AE30" s="7">
        <v>-36767</v>
      </c>
      <c r="AF30" s="1">
        <f>-4257-112788</f>
        <v>-117045</v>
      </c>
      <c r="AG30" s="6">
        <f>-4898-9110</f>
        <v>-14008</v>
      </c>
      <c r="AH30" s="7" t="s">
        <v>18</v>
      </c>
      <c r="AI30" s="1">
        <v>-26160</v>
      </c>
      <c r="AJ30" s="6">
        <v>-206041</v>
      </c>
      <c r="AK30" s="7">
        <v>-93403</v>
      </c>
      <c r="AL30" s="1">
        <v>0</v>
      </c>
      <c r="AM30" s="6">
        <v>-155487</v>
      </c>
      <c r="AN30" s="7">
        <v>-294200</v>
      </c>
      <c r="AO30" s="1">
        <v>0</v>
      </c>
      <c r="AP30" s="6" t="s">
        <v>18</v>
      </c>
      <c r="AQ30" s="7" t="s">
        <v>18</v>
      </c>
      <c r="AR30" s="1">
        <v>0</v>
      </c>
      <c r="AS30" s="6" t="s">
        <v>18</v>
      </c>
      <c r="AT30" s="7" t="s">
        <v>18</v>
      </c>
      <c r="AU30" s="1">
        <v>0</v>
      </c>
      <c r="AV30" s="6" t="s">
        <v>18</v>
      </c>
      <c r="AW30" s="7" t="s">
        <v>18</v>
      </c>
      <c r="AX30" s="1">
        <v>-7398</v>
      </c>
      <c r="AY30" s="6">
        <v>-2382</v>
      </c>
      <c r="AZ30" s="7">
        <v>-30790</v>
      </c>
      <c r="BA30" s="1">
        <v>0</v>
      </c>
      <c r="BB30" s="6">
        <v>-23294</v>
      </c>
      <c r="BC30" s="7" t="s">
        <v>18</v>
      </c>
    </row>
    <row r="31" spans="1:55" x14ac:dyDescent="0.25">
      <c r="A31" t="s">
        <v>21</v>
      </c>
      <c r="B31" s="1">
        <v>0</v>
      </c>
      <c r="C31" s="6">
        <v>0</v>
      </c>
      <c r="D31" s="7">
        <v>0</v>
      </c>
      <c r="E31" s="1">
        <v>24434</v>
      </c>
      <c r="F31" s="6">
        <v>183341</v>
      </c>
      <c r="G31" s="7">
        <v>0</v>
      </c>
      <c r="H31" s="1">
        <v>0</v>
      </c>
      <c r="I31" s="6">
        <v>0</v>
      </c>
      <c r="J31" s="7">
        <v>0</v>
      </c>
      <c r="K31" s="1">
        <v>0</v>
      </c>
      <c r="L31" s="6">
        <v>54378</v>
      </c>
      <c r="M31" s="7">
        <v>0</v>
      </c>
      <c r="N31" s="1">
        <v>0</v>
      </c>
      <c r="O31" s="6">
        <v>0</v>
      </c>
      <c r="P31" s="7">
        <v>0</v>
      </c>
      <c r="Q31" s="1">
        <v>0</v>
      </c>
      <c r="R31" s="6">
        <v>0</v>
      </c>
      <c r="S31" s="7">
        <v>0</v>
      </c>
      <c r="T31" s="1">
        <v>173730</v>
      </c>
      <c r="U31" s="6">
        <v>8577</v>
      </c>
      <c r="V31" s="7">
        <v>59939</v>
      </c>
      <c r="W31" s="1">
        <v>-58929</v>
      </c>
      <c r="X31" s="6">
        <v>76944</v>
      </c>
      <c r="Y31" s="7">
        <v>0</v>
      </c>
      <c r="Z31" s="1">
        <v>55091</v>
      </c>
      <c r="AA31" s="6">
        <v>41585</v>
      </c>
      <c r="AB31" s="7">
        <v>0</v>
      </c>
      <c r="AC31" s="1">
        <v>0</v>
      </c>
      <c r="AD31" s="6">
        <v>0</v>
      </c>
      <c r="AE31" s="7">
        <v>0</v>
      </c>
      <c r="AF31" s="1">
        <v>0</v>
      </c>
      <c r="AG31" s="6">
        <v>0</v>
      </c>
      <c r="AH31" s="7">
        <v>0</v>
      </c>
      <c r="AI31" s="1">
        <v>49052</v>
      </c>
      <c r="AJ31" s="6">
        <v>129011</v>
      </c>
      <c r="AK31" s="7">
        <v>13718</v>
      </c>
      <c r="AL31" s="1">
        <v>0</v>
      </c>
      <c r="AM31" s="6">
        <v>0</v>
      </c>
      <c r="AN31" s="7">
        <v>0</v>
      </c>
      <c r="AO31" s="1">
        <v>0</v>
      </c>
      <c r="AP31" s="6">
        <v>0</v>
      </c>
      <c r="AQ31" s="7">
        <v>0</v>
      </c>
      <c r="AR31" s="1">
        <v>57317</v>
      </c>
      <c r="AS31" s="6">
        <v>0</v>
      </c>
      <c r="AT31" s="7">
        <v>0</v>
      </c>
      <c r="AU31" s="1">
        <v>40937</v>
      </c>
      <c r="AV31" s="6">
        <v>0</v>
      </c>
      <c r="AW31" s="7">
        <v>0</v>
      </c>
      <c r="AX31" s="1">
        <v>174495</v>
      </c>
      <c r="AY31" s="6">
        <v>90036</v>
      </c>
      <c r="AZ31" s="7">
        <v>129006</v>
      </c>
      <c r="BA31" s="1">
        <v>171135</v>
      </c>
      <c r="BB31" s="6"/>
      <c r="BC31" s="7">
        <v>0</v>
      </c>
    </row>
    <row r="32" spans="1:55" x14ac:dyDescent="0.25">
      <c r="A32" t="s">
        <v>8</v>
      </c>
      <c r="B32" s="1">
        <v>0</v>
      </c>
      <c r="C32" s="6" t="s">
        <v>18</v>
      </c>
      <c r="D32" s="7" t="s">
        <v>18</v>
      </c>
      <c r="E32" s="1">
        <v>18979</v>
      </c>
      <c r="F32" s="6">
        <v>91807</v>
      </c>
      <c r="G32" s="7">
        <v>0</v>
      </c>
      <c r="H32" s="1">
        <v>186978</v>
      </c>
      <c r="I32" s="6">
        <v>390000</v>
      </c>
      <c r="J32" s="7">
        <v>152788</v>
      </c>
      <c r="K32" s="1">
        <v>18979</v>
      </c>
      <c r="L32" s="6">
        <v>0</v>
      </c>
      <c r="M32" s="7">
        <v>0</v>
      </c>
      <c r="N32" s="1">
        <v>110000</v>
      </c>
      <c r="O32" s="6">
        <v>136200</v>
      </c>
      <c r="P32" s="7">
        <v>150000</v>
      </c>
      <c r="Q32" s="1">
        <v>92036</v>
      </c>
      <c r="R32" s="6">
        <v>144282</v>
      </c>
      <c r="S32" s="7" t="s">
        <v>18</v>
      </c>
      <c r="T32" s="1">
        <v>0</v>
      </c>
      <c r="U32" s="6">
        <v>0</v>
      </c>
      <c r="V32" s="7">
        <v>0</v>
      </c>
      <c r="W32" s="1">
        <v>160500</v>
      </c>
      <c r="X32" s="6">
        <v>0</v>
      </c>
      <c r="Y32" s="7" t="s">
        <v>18</v>
      </c>
      <c r="Z32" s="1">
        <v>0</v>
      </c>
      <c r="AA32" s="6">
        <v>0</v>
      </c>
      <c r="AB32" s="7" t="s">
        <v>18</v>
      </c>
      <c r="AC32" s="1">
        <v>0</v>
      </c>
      <c r="AD32" s="6">
        <v>0</v>
      </c>
      <c r="AE32" s="7">
        <v>0</v>
      </c>
      <c r="AF32" s="1">
        <v>100000</v>
      </c>
      <c r="AG32" s="6">
        <v>373000</v>
      </c>
      <c r="AH32" s="7" t="s">
        <v>18</v>
      </c>
      <c r="AI32" s="1">
        <v>160500</v>
      </c>
      <c r="AJ32" s="6">
        <v>212000</v>
      </c>
      <c r="AK32" s="7">
        <v>195000</v>
      </c>
      <c r="AL32" s="1">
        <v>0</v>
      </c>
      <c r="AM32" s="6">
        <v>311743</v>
      </c>
      <c r="AN32" s="7">
        <v>366757</v>
      </c>
      <c r="AO32" s="1">
        <v>0</v>
      </c>
      <c r="AP32" s="6" t="s">
        <v>18</v>
      </c>
      <c r="AQ32" s="7" t="s">
        <v>18</v>
      </c>
      <c r="AR32" s="1">
        <v>0</v>
      </c>
      <c r="AS32" s="6" t="s">
        <v>18</v>
      </c>
      <c r="AT32" s="7" t="s">
        <v>18</v>
      </c>
      <c r="AU32" s="1">
        <v>0</v>
      </c>
      <c r="AV32" s="6" t="s">
        <v>18</v>
      </c>
      <c r="AW32" s="7" t="s">
        <v>18</v>
      </c>
      <c r="AX32" s="1">
        <v>0</v>
      </c>
      <c r="AY32" s="6">
        <v>0</v>
      </c>
      <c r="AZ32" s="7">
        <v>0</v>
      </c>
      <c r="BA32" s="1">
        <v>14661</v>
      </c>
      <c r="BB32" s="6">
        <v>0</v>
      </c>
      <c r="BC32" s="7" t="s">
        <v>18</v>
      </c>
    </row>
    <row r="33" spans="1:55" x14ac:dyDescent="0.25">
      <c r="A33" t="s">
        <v>47</v>
      </c>
      <c r="B33" s="1">
        <v>0</v>
      </c>
      <c r="C33" s="6" t="s">
        <v>18</v>
      </c>
      <c r="D33" s="7" t="s">
        <v>18</v>
      </c>
      <c r="E33" s="1">
        <v>-15095</v>
      </c>
      <c r="F33" s="6">
        <v>-39912</v>
      </c>
      <c r="G33" s="7">
        <v>629</v>
      </c>
      <c r="H33" s="1">
        <v>0</v>
      </c>
      <c r="I33" s="6">
        <v>0</v>
      </c>
      <c r="J33" s="7">
        <v>0</v>
      </c>
      <c r="K33" s="1">
        <v>0</v>
      </c>
      <c r="L33" s="6">
        <v>0</v>
      </c>
      <c r="M33" s="7">
        <v>0</v>
      </c>
      <c r="N33" s="1">
        <v>0</v>
      </c>
      <c r="O33" s="6">
        <v>0</v>
      </c>
      <c r="P33" s="7">
        <v>0</v>
      </c>
      <c r="Q33" s="1">
        <v>0</v>
      </c>
      <c r="R33" s="6">
        <v>0</v>
      </c>
      <c r="S33" s="7" t="s">
        <v>18</v>
      </c>
      <c r="T33" s="1">
        <v>0</v>
      </c>
      <c r="U33" s="6">
        <v>0</v>
      </c>
      <c r="V33" s="7">
        <v>0</v>
      </c>
      <c r="W33" s="1">
        <v>0</v>
      </c>
      <c r="X33" s="6">
        <v>0</v>
      </c>
      <c r="Y33" s="7" t="s">
        <v>18</v>
      </c>
      <c r="Z33" s="1">
        <v>0</v>
      </c>
      <c r="AA33" s="6">
        <v>0</v>
      </c>
      <c r="AB33" s="7" t="s">
        <v>18</v>
      </c>
      <c r="AC33" s="1">
        <v>12727</v>
      </c>
      <c r="AD33" s="6">
        <v>-49321</v>
      </c>
      <c r="AE33" s="7">
        <v>1277</v>
      </c>
      <c r="AF33" s="1">
        <v>0</v>
      </c>
      <c r="AG33" s="6">
        <v>0</v>
      </c>
      <c r="AH33" s="7" t="s">
        <v>18</v>
      </c>
      <c r="AI33" s="1">
        <v>-368763</v>
      </c>
      <c r="AJ33" s="6">
        <v>-185966</v>
      </c>
      <c r="AK33" s="7">
        <v>0</v>
      </c>
      <c r="AL33" s="1">
        <v>0</v>
      </c>
      <c r="AM33" s="6">
        <v>0</v>
      </c>
      <c r="AN33" s="7"/>
      <c r="AO33" s="1">
        <v>0</v>
      </c>
      <c r="AP33" s="6" t="s">
        <v>18</v>
      </c>
      <c r="AQ33" s="7" t="s">
        <v>18</v>
      </c>
      <c r="AR33" s="1">
        <v>0</v>
      </c>
      <c r="AS33" s="6" t="s">
        <v>18</v>
      </c>
      <c r="AT33" s="7" t="s">
        <v>18</v>
      </c>
      <c r="AU33" s="1">
        <v>0</v>
      </c>
      <c r="AV33" s="6" t="s">
        <v>18</v>
      </c>
      <c r="AW33" s="7" t="s">
        <v>18</v>
      </c>
      <c r="AX33" s="1">
        <v>0</v>
      </c>
      <c r="AY33" s="6">
        <v>0</v>
      </c>
      <c r="AZ33" s="7">
        <v>0</v>
      </c>
      <c r="BA33" s="1"/>
      <c r="BB33" s="6"/>
      <c r="BC33" s="7" t="s">
        <v>18</v>
      </c>
    </row>
    <row r="34" spans="1:55" x14ac:dyDescent="0.25">
      <c r="A34" t="s">
        <v>22</v>
      </c>
      <c r="B34" s="1">
        <v>0</v>
      </c>
      <c r="C34" s="6">
        <v>0</v>
      </c>
      <c r="D34" s="7">
        <v>0</v>
      </c>
      <c r="E34" s="1">
        <v>-390</v>
      </c>
      <c r="F34" s="6">
        <v>-3441</v>
      </c>
      <c r="G34" s="7">
        <v>0</v>
      </c>
      <c r="H34" s="1">
        <v>-27400</v>
      </c>
      <c r="I34" s="6">
        <v>-34909</v>
      </c>
      <c r="J34" s="7">
        <v>-7000</v>
      </c>
      <c r="K34" s="1">
        <v>-390</v>
      </c>
      <c r="L34" s="6">
        <v>-441</v>
      </c>
      <c r="M34" s="7">
        <v>0</v>
      </c>
      <c r="N34" s="1">
        <v>-10000</v>
      </c>
      <c r="O34" s="6">
        <v>-14000</v>
      </c>
      <c r="P34" s="7">
        <v>-24500</v>
      </c>
      <c r="Q34" s="1">
        <v>-10972</v>
      </c>
      <c r="R34" s="6">
        <v>-11283</v>
      </c>
      <c r="S34" s="7">
        <v>0</v>
      </c>
      <c r="T34" s="1">
        <v>0</v>
      </c>
      <c r="U34" s="6">
        <v>0</v>
      </c>
      <c r="V34" s="7">
        <v>0</v>
      </c>
      <c r="W34" s="1">
        <v>0</v>
      </c>
      <c r="X34" s="6">
        <v>-720563</v>
      </c>
      <c r="Y34" s="7">
        <v>0</v>
      </c>
      <c r="Z34" s="1">
        <v>0</v>
      </c>
      <c r="AA34" s="6">
        <v>0</v>
      </c>
      <c r="AB34" s="7">
        <v>0</v>
      </c>
      <c r="AC34" s="1">
        <v>0</v>
      </c>
      <c r="AD34" s="6">
        <v>0</v>
      </c>
      <c r="AE34" s="7">
        <v>0</v>
      </c>
      <c r="AF34" s="1">
        <v>-17736</v>
      </c>
      <c r="AG34" s="6">
        <v>-12922</v>
      </c>
      <c r="AH34" s="7">
        <v>0</v>
      </c>
      <c r="AI34" s="1">
        <v>0</v>
      </c>
      <c r="AJ34" s="6">
        <v>0</v>
      </c>
      <c r="AK34" s="7">
        <v>0</v>
      </c>
      <c r="AL34" s="1">
        <v>0</v>
      </c>
      <c r="AM34" s="6">
        <v>0</v>
      </c>
      <c r="AN34" s="7">
        <v>0</v>
      </c>
      <c r="AO34" s="1">
        <v>0</v>
      </c>
      <c r="AP34" s="6">
        <v>0</v>
      </c>
      <c r="AQ34" s="7">
        <v>0</v>
      </c>
      <c r="AR34" s="1">
        <v>-932</v>
      </c>
      <c r="AS34" s="6">
        <v>0</v>
      </c>
      <c r="AT34" s="7">
        <v>0</v>
      </c>
      <c r="AU34" s="1">
        <v>0</v>
      </c>
      <c r="AV34" s="6">
        <v>0</v>
      </c>
      <c r="AW34" s="7">
        <v>0</v>
      </c>
      <c r="AX34" s="1">
        <v>0</v>
      </c>
      <c r="AY34" s="6">
        <v>-9249</v>
      </c>
      <c r="AZ34" s="7">
        <v>0</v>
      </c>
      <c r="BA34" s="1"/>
      <c r="BB34" s="6"/>
      <c r="BC34" s="7">
        <v>0</v>
      </c>
    </row>
    <row r="35" spans="1:55" ht="13.8" thickBot="1" x14ac:dyDescent="0.3">
      <c r="A35" t="s">
        <v>9</v>
      </c>
      <c r="B35" s="5">
        <f>SUM(B29:B34)</f>
        <v>-60280</v>
      </c>
      <c r="C35" s="13" t="s">
        <v>18</v>
      </c>
      <c r="D35" s="14" t="s">
        <v>18</v>
      </c>
      <c r="E35" s="5">
        <f t="shared" ref="E35:X35" si="8">SUM(E29:E34)</f>
        <v>-82261</v>
      </c>
      <c r="F35" s="13">
        <f t="shared" si="8"/>
        <v>190734</v>
      </c>
      <c r="G35" s="14">
        <f t="shared" si="8"/>
        <v>89590</v>
      </c>
      <c r="H35" s="5">
        <f t="shared" si="8"/>
        <v>33719</v>
      </c>
      <c r="I35" s="13">
        <f t="shared" si="8"/>
        <v>482780</v>
      </c>
      <c r="J35" s="14">
        <f t="shared" si="8"/>
        <v>310112</v>
      </c>
      <c r="K35" s="5">
        <f t="shared" si="8"/>
        <v>30476</v>
      </c>
      <c r="L35" s="13">
        <f t="shared" si="8"/>
        <v>86460</v>
      </c>
      <c r="M35" s="14">
        <f t="shared" si="8"/>
        <v>-93039</v>
      </c>
      <c r="N35" s="5">
        <f t="shared" si="8"/>
        <v>277165</v>
      </c>
      <c r="O35" s="13">
        <f t="shared" si="8"/>
        <v>403265</v>
      </c>
      <c r="P35" s="14">
        <f t="shared" si="8"/>
        <v>302568</v>
      </c>
      <c r="Q35" s="5">
        <f t="shared" si="8"/>
        <v>124237</v>
      </c>
      <c r="R35" s="13">
        <f t="shared" si="8"/>
        <v>356027</v>
      </c>
      <c r="S35" s="14" t="s">
        <v>18</v>
      </c>
      <c r="T35" s="5">
        <f t="shared" si="8"/>
        <v>-353957</v>
      </c>
      <c r="U35" s="13">
        <f t="shared" si="8"/>
        <v>-9488</v>
      </c>
      <c r="V35" s="14">
        <f t="shared" si="8"/>
        <v>-75238</v>
      </c>
      <c r="W35" s="5">
        <f t="shared" si="8"/>
        <v>404361</v>
      </c>
      <c r="X35" s="13">
        <f t="shared" si="8"/>
        <v>-471471</v>
      </c>
      <c r="Y35" s="14" t="s">
        <v>18</v>
      </c>
      <c r="Z35" s="5">
        <f>SUM(Z29:Z34)</f>
        <v>-134160</v>
      </c>
      <c r="AA35" s="13">
        <f>SUM(AA29:AA34)</f>
        <v>-84415</v>
      </c>
      <c r="AB35" s="14" t="s">
        <v>18</v>
      </c>
      <c r="AC35" s="5">
        <f t="shared" ref="AC35:AO35" si="9">SUM(AC29:AC34)</f>
        <v>-131111</v>
      </c>
      <c r="AD35" s="13">
        <f t="shared" si="9"/>
        <v>93429</v>
      </c>
      <c r="AE35" s="14">
        <f t="shared" si="9"/>
        <v>85523</v>
      </c>
      <c r="AF35" s="5">
        <f>SUM(AF29:AF34)</f>
        <v>334010</v>
      </c>
      <c r="AG35" s="13">
        <f>SUM(AG29:AG34)</f>
        <v>453424</v>
      </c>
      <c r="AH35" s="14" t="s">
        <v>18</v>
      </c>
      <c r="AI35" s="5">
        <f t="shared" si="9"/>
        <v>-253220</v>
      </c>
      <c r="AJ35" s="13">
        <f t="shared" si="9"/>
        <v>193058</v>
      </c>
      <c r="AK35" s="14">
        <f t="shared" si="9"/>
        <v>324358</v>
      </c>
      <c r="AL35" s="5">
        <f t="shared" si="9"/>
        <v>29199</v>
      </c>
      <c r="AM35" s="13">
        <f t="shared" si="9"/>
        <v>861372</v>
      </c>
      <c r="AN35" s="14">
        <f t="shared" si="9"/>
        <v>1251513</v>
      </c>
      <c r="AO35" s="5">
        <f t="shared" si="9"/>
        <v>-122388</v>
      </c>
      <c r="AP35" s="13" t="s">
        <v>18</v>
      </c>
      <c r="AQ35" s="14" t="s">
        <v>18</v>
      </c>
      <c r="AR35" s="5">
        <f>SUM(AR29:AR34)</f>
        <v>-195955</v>
      </c>
      <c r="AS35" s="13" t="s">
        <v>18</v>
      </c>
      <c r="AT35" s="14" t="s">
        <v>18</v>
      </c>
      <c r="AU35" s="5">
        <f>SUM(AU29:AU34)</f>
        <v>-72585</v>
      </c>
      <c r="AV35" s="13" t="s">
        <v>18</v>
      </c>
      <c r="AW35" s="14" t="s">
        <v>18</v>
      </c>
      <c r="AX35" s="5">
        <f>SUM(AX29:AX34)</f>
        <v>-484564</v>
      </c>
      <c r="AY35" s="13">
        <f>SUM(AY29:AY34)</f>
        <v>11997</v>
      </c>
      <c r="AZ35" s="14">
        <f>SUM(AZ29:AZ34)</f>
        <v>-242657</v>
      </c>
      <c r="BA35" s="5">
        <f>SUM(BA29:BA34)</f>
        <v>-320391</v>
      </c>
      <c r="BB35" s="13">
        <f>SUM(BB29:BB34)</f>
        <v>43200</v>
      </c>
      <c r="BC35" s="14" t="s">
        <v>18</v>
      </c>
    </row>
    <row r="36" spans="1:55" x14ac:dyDescent="0.25">
      <c r="E36" s="15"/>
    </row>
  </sheetData>
  <mergeCells count="18">
    <mergeCell ref="N4:P4"/>
    <mergeCell ref="Q4:S4"/>
    <mergeCell ref="T4:V4"/>
    <mergeCell ref="W4:Y4"/>
    <mergeCell ref="B4:D4"/>
    <mergeCell ref="E4:G4"/>
    <mergeCell ref="H4:J4"/>
    <mergeCell ref="K4:M4"/>
    <mergeCell ref="BA4:BC4"/>
    <mergeCell ref="AO4:AQ4"/>
    <mergeCell ref="AR4:AT4"/>
    <mergeCell ref="AU4:AW4"/>
    <mergeCell ref="AX4:AZ4"/>
    <mergeCell ref="Z4:AB4"/>
    <mergeCell ref="AC4:AE4"/>
    <mergeCell ref="AF4:AH4"/>
    <mergeCell ref="AL4:AN4"/>
    <mergeCell ref="AI4:AK4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Servicos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2000-04-06T18:03:47Z</dcterms:created>
  <dcterms:modified xsi:type="dcterms:W3CDTF">2023-09-10T16:00:29Z</dcterms:modified>
</cp:coreProperties>
</file>