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<sst xmlns="http://schemas.openxmlformats.org/spreadsheetml/2006/main" count="1447" uniqueCount="556">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</sst>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5" sqref="E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9" t="s">
        <v>128</v>
      </c>
      <c r="C2" s="289"/>
      <c r="D2" s="289"/>
      <c r="E2" s="28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6"/>
      <c r="D4" s="64"/>
      <c r="E4" s="64"/>
      <c r="F4" s="63"/>
    </row>
    <row r="5" spans="1:6" x14ac:dyDescent="0.3">
      <c r="A5" s="62"/>
      <c r="B5" s="64" t="s">
        <v>15</v>
      </c>
      <c r="C5" s="66">
        <f>+'MPR Raptor'!U3</f>
        <v>36962</v>
      </c>
      <c r="D5" s="67" t="s">
        <v>20</v>
      </c>
      <c r="E5" s="68">
        <f>+C5-1</f>
        <v>36961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215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-422676035.56887054</v>
      </c>
      <c r="D12" s="71">
        <f>+'Daily Position'!S59</f>
        <v>-73827735.572398722</v>
      </c>
      <c r="E12" s="71">
        <f>+C12-D12</f>
        <v>-348848299.99647182</v>
      </c>
      <c r="F12" s="63"/>
    </row>
    <row r="13" spans="1:6" x14ac:dyDescent="0.3">
      <c r="A13" s="62"/>
      <c r="B13" s="64" t="s">
        <v>10</v>
      </c>
      <c r="C13" s="56">
        <f>+C15-C12</f>
        <v>-5543414.5370499492</v>
      </c>
      <c r="D13" s="56">
        <f>+D15-D12</f>
        <v>0</v>
      </c>
      <c r="E13" s="56">
        <f>+E15-E12</f>
        <v>-5543414.5370499492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-428219450.10592049</v>
      </c>
      <c r="D15" s="57">
        <f>+'Daily Position'!Q59</f>
        <v>-73827735.572398722</v>
      </c>
      <c r="E15" s="57">
        <f>+C15-D15</f>
        <v>-354391714.53352177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-142554795.40000001</v>
      </c>
      <c r="D21" s="64"/>
      <c r="E21" s="64"/>
      <c r="F21" s="63"/>
    </row>
    <row r="22" spans="1:6" x14ac:dyDescent="0.3">
      <c r="A22" s="62"/>
      <c r="B22" s="64"/>
      <c r="C22" s="71"/>
      <c r="D22" s="215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.6" x14ac:dyDescent="0.3"/>
  <cols>
    <col min="1" max="1" width="23.09765625" customWidth="1"/>
    <col min="2" max="2" width="7.8984375" style="266" customWidth="1"/>
    <col min="3" max="3" width="10.8984375" style="266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0" customWidth="1"/>
    <col min="16" max="16" width="14.09765625" customWidth="1"/>
    <col min="17" max="17" width="16" customWidth="1"/>
    <col min="18" max="18" width="14.5" customWidth="1"/>
    <col min="19" max="19" width="12.5976562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customWidth="1"/>
    <col min="25" max="25" width="19.3984375" customWidth="1"/>
    <col min="26" max="26" width="12.59765625" style="4" customWidth="1"/>
    <col min="27" max="27" width="14.3984375" customWidth="1"/>
    <col min="28" max="28" width="12.59765625" style="4" customWidth="1"/>
    <col min="29" max="29" width="14.3984375" customWidth="1"/>
    <col min="30" max="30" width="12.59765625" bestFit="1" customWidth="1"/>
  </cols>
  <sheetData>
    <row r="1" spans="1:30" s="79" customFormat="1" x14ac:dyDescent="0.3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92" t="s">
        <v>138</v>
      </c>
      <c r="I1" s="293"/>
      <c r="J1" s="294" t="s">
        <v>505</v>
      </c>
      <c r="K1" s="295"/>
      <c r="L1" s="295"/>
      <c r="M1" s="29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90" t="s">
        <v>144</v>
      </c>
      <c r="T1" s="291"/>
      <c r="U1" s="86" t="s">
        <v>144</v>
      </c>
      <c r="V1" s="90"/>
      <c r="W1" s="87"/>
      <c r="Z1" s="290" t="s">
        <v>546</v>
      </c>
      <c r="AA1" s="291"/>
      <c r="AB1" s="290" t="s">
        <v>545</v>
      </c>
      <c r="AC1" s="291"/>
    </row>
    <row r="2" spans="1:30" s="80" customFormat="1" ht="15" customHeight="1" thickBot="1" x14ac:dyDescent="0.35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230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230</v>
      </c>
      <c r="V2" s="83" t="s">
        <v>471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3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3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2.5504560589854597</v>
      </c>
      <c r="O4" s="260">
        <f>+Summary!$C$5</f>
        <v>36962</v>
      </c>
      <c r="P4" s="4">
        <f>IF(O4&lt;B4,0,ROUND((+N4*(H4-IF(J4&gt;O4-1,0,L4))),2)-ROUND(((H4-IF(J4&gt;O4-1,0,L4))*G4),2))</f>
        <v>106998.23000000001</v>
      </c>
      <c r="Q4" s="4">
        <v>0</v>
      </c>
      <c r="R4" s="5">
        <f t="shared" ref="R4:R13" si="1">+P4+Q4</f>
        <v>106998.23000000001</v>
      </c>
      <c r="S4" s="4">
        <v>0</v>
      </c>
      <c r="T4" s="4">
        <f>IF(Summary!$E$5&lt;'Daily Position'!B4,0,ROUND(+U4*(H4-L4),2)+M4-I4)</f>
        <v>131034.67000000001</v>
      </c>
      <c r="U4" s="2">
        <f>+VLOOKUP(+Summary!$E$5,StkPrices,+'Stock Prices'!H$2)</f>
        <v>2.8586155579726116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-12829.29</v>
      </c>
      <c r="AD4" s="140">
        <f>-AC4+'MPR Raptor'!AH58</f>
        <v>-4.7679624549346045E-4</v>
      </c>
    </row>
    <row r="5" spans="1:30" x14ac:dyDescent="0.3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17.5625</v>
      </c>
      <c r="O5" s="260">
        <f>+Summary!$C$5</f>
        <v>36962</v>
      </c>
      <c r="P5" s="4">
        <f>IF(O5&lt;B5,0,ROUND((+N5*(H5-IF(J5&gt;O5-1,0,L5))),2)-ROUND(((H5-IF(J5&gt;O5-1,0,L5))*G5),2))</f>
        <v>-36185479.510000005</v>
      </c>
      <c r="Q5" s="4">
        <f>IF(J5&lt;(O5+1),(+K5-G5)*L5,0)</f>
        <v>-7079860.9399998812</v>
      </c>
      <c r="R5" s="5">
        <f>+P5+Q5</f>
        <v>-43265340.449999884</v>
      </c>
      <c r="S5" s="4">
        <f>IF(J5&lt;O5,+Q5,0)</f>
        <v>-7079860.9399998812</v>
      </c>
      <c r="T5" s="4">
        <f>IF(Summary!$E$5&lt;'Daily Position'!B5,0,ROUND(+U5*(H5-L5),2)+M5-I5)</f>
        <v>-42052775.890000001</v>
      </c>
      <c r="U5" s="2">
        <f>+VLOOKUP(+Summary!$E$5,StkPrices,+'Stock Prices'!D$2)</f>
        <v>18.75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-3617693.26</v>
      </c>
      <c r="AD5" s="140">
        <f>'MPR Raptor'!AH29-AC5</f>
        <v>-4.999999888241291E-3</v>
      </c>
    </row>
    <row r="6" spans="1:30" x14ac:dyDescent="0.3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10.3125</v>
      </c>
      <c r="O6" s="260">
        <f>+Summary!$C$5</f>
        <v>36962</v>
      </c>
      <c r="P6" s="4">
        <f>IF(O6&lt;B6,0,ROUND((+N6*(H6-IF(J6&gt;O6-1,0,L6))),2)-ROUND(((H6-IF(J6&gt;O6-1,0,L6))*G6),2))</f>
        <v>-166253581.87</v>
      </c>
      <c r="Q6" s="4">
        <f>IF(J6&lt;(O6+1),(+K6-G6)*L6,0)</f>
        <v>-132061.01999999999</v>
      </c>
      <c r="R6" s="5">
        <f>+P6+Q6</f>
        <v>-166385642.89000002</v>
      </c>
      <c r="S6" s="4">
        <f>IF(J6&lt;O6,+Q6,0)</f>
        <v>-132061.01999999999</v>
      </c>
      <c r="T6" s="4">
        <f>IF(Summary!$E$5&lt;'Daily Position'!B6,0,ROUND(+U6*(H6-L6),2)+M6-I6)</f>
        <v>-162425598.63999999</v>
      </c>
      <c r="U6" s="2">
        <f>+VLOOKUP(+Summary!$E$5,StkPrices,+'Stock Prices'!C$2)</f>
        <v>13.9375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-15629533.140000001</v>
      </c>
      <c r="AD6" s="140">
        <f>'MPR Raptor'!AH7-AC6</f>
        <v>-1.6666650772094727E-3</v>
      </c>
    </row>
    <row r="7" spans="1:30" x14ac:dyDescent="0.3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4.6702217882267902</v>
      </c>
      <c r="O7" s="260">
        <f>+Summary!$C$5</f>
        <v>36962</v>
      </c>
      <c r="P7" s="4">
        <f t="shared" ref="P7:P13" si="4">IF(O7&lt;B7,0,ROUND((+N7*(H7-IF(J7&gt;O7-1,0,L7))),2)-ROUND(((H7-IF(J7&gt;O7-1,0,L7))*G7),2))</f>
        <v>74190.510000000009</v>
      </c>
      <c r="Q7" s="4">
        <v>0</v>
      </c>
      <c r="R7" s="5">
        <f t="shared" si="1"/>
        <v>74190.510000000009</v>
      </c>
      <c r="S7" s="4">
        <v>0</v>
      </c>
      <c r="T7" s="4">
        <f>IF(Summary!$E$5&lt;'Daily Position'!B7,0,ROUND(+U7*(H7-L7),2)+M7-I7)</f>
        <v>148045.21999999997</v>
      </c>
      <c r="U7" s="2">
        <f>+VLOOKUP(+Summary!$E$5,StkPrices,+'Stock Prices'!G$2)</f>
        <v>5.1428918983446046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-214967.26</v>
      </c>
      <c r="AD7" s="140">
        <f>-AC7+'MPR Raptor'!AH57</f>
        <v>7.0285730762407184E-3</v>
      </c>
    </row>
    <row r="8" spans="1:30" x14ac:dyDescent="0.3">
      <c r="A8" s="137" t="s">
        <v>503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17.6875</v>
      </c>
      <c r="O8" s="260">
        <f>+Summary!$C$5</f>
        <v>36962</v>
      </c>
      <c r="P8" s="4">
        <f>IF(O8&lt;B8,0,ROUND((+N8*H8),2)-I8-Q8)</f>
        <v>-92426378.870000005</v>
      </c>
      <c r="Q8" s="4">
        <v>0</v>
      </c>
      <c r="R8" s="5">
        <f>+P8+Q8</f>
        <v>-92426378.870000005</v>
      </c>
      <c r="S8" s="4">
        <v>0</v>
      </c>
      <c r="T8" s="4">
        <f>IF(Summary!$E$5&lt;'Daily Position'!B8,0,ROUND(+U8*(H8-L8),2)+M8-I8)</f>
        <v>-92175262.75</v>
      </c>
      <c r="U8" s="2">
        <f>IF(O8&gt;X8-1,+VLOOKUP(+Summary!$E$5,StkPrices,'Stock Prices'!L2),0)</f>
        <v>17.875</v>
      </c>
      <c r="V8" s="2"/>
      <c r="W8" s="140">
        <f>+N8*H8-'MPR Raptor'!U69</f>
        <v>0</v>
      </c>
      <c r="X8" s="1">
        <v>36874</v>
      </c>
      <c r="Y8" t="s">
        <v>504</v>
      </c>
      <c r="Z8" s="4">
        <v>0</v>
      </c>
      <c r="AA8" s="5">
        <v>-93012316.5</v>
      </c>
      <c r="AB8" s="4">
        <f t="shared" si="2"/>
        <v>0</v>
      </c>
      <c r="AC8" s="4">
        <f t="shared" si="3"/>
        <v>585937.63</v>
      </c>
      <c r="AD8" s="140">
        <f>-AC8+'MPR Raptor'!AH69</f>
        <v>-5.0000000046566129E-3</v>
      </c>
    </row>
    <row r="9" spans="1:30" x14ac:dyDescent="0.3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5.84375</v>
      </c>
      <c r="O9" s="260">
        <f>+Summary!$C$5</f>
        <v>36962</v>
      </c>
      <c r="P9" s="4">
        <f t="shared" si="4"/>
        <v>-1871.5999999999767</v>
      </c>
      <c r="Q9" s="4">
        <v>0</v>
      </c>
      <c r="R9" s="5">
        <f t="shared" si="1"/>
        <v>-1871.5999999999767</v>
      </c>
      <c r="S9" s="4">
        <v>0</v>
      </c>
      <c r="T9" s="4">
        <f>IF(Summary!$E$5&lt;'Daily Position'!B9,0,ROUND(+U9*(H9-L9),2)+M9-I9)</f>
        <v>7486.3699999999953</v>
      </c>
      <c r="U9" s="2">
        <f>+VLOOKUP(+Summary!$E$5,StkPrices,+'Stock Prices'!J$2)</f>
        <v>6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80478.53</v>
      </c>
      <c r="AD9" s="140">
        <f>-AC9+'MPR Raptor'!AH68</f>
        <v>1.2500000011641532E-3</v>
      </c>
    </row>
    <row r="10" spans="1:30" x14ac:dyDescent="0.3">
      <c r="A10" t="s">
        <v>424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36962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3">
      <c r="A11" t="s">
        <v>509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8.3125</v>
      </c>
      <c r="O11" s="260">
        <f>+Summary!$C$5</f>
        <v>36962</v>
      </c>
      <c r="P11" s="4">
        <f t="shared" si="4"/>
        <v>-58043.55</v>
      </c>
      <c r="Q11" s="4">
        <f>IF(J11&lt;(O11+1),(+K11-G11)*L11,0)</f>
        <v>0</v>
      </c>
      <c r="R11" s="5">
        <f t="shared" si="1"/>
        <v>-58043.55</v>
      </c>
      <c r="S11" s="4">
        <f>IF(J11&lt;O11,+Q11,0)</f>
        <v>0</v>
      </c>
      <c r="T11" s="4">
        <f>IF(Summary!$E$5&lt;'Daily Position'!B11,0,ROUND(+U11*(H11-L11),2)+M11-I11)</f>
        <v>-59310.37000000001</v>
      </c>
      <c r="U11" s="2">
        <f>IF(O11=(X11+1),+'Stock Prices'!F65/(229391/12234952),+VLOOKUP(+Summary!$E$5,StkPrices,'Stock Prices'!F2))</f>
        <v>8.1875</v>
      </c>
      <c r="V11" s="2"/>
      <c r="W11" s="140">
        <f>+N11*(H11+H12-L11-L12)-'MPR Raptor'!U46</f>
        <v>0</v>
      </c>
      <c r="X11" s="270">
        <v>36824</v>
      </c>
      <c r="Y11" s="3" t="s">
        <v>508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4433.88</v>
      </c>
      <c r="AD11" s="140">
        <f>-AC11+'MPR Raptor'!AH46</f>
        <v>7.5000003635068424E-3</v>
      </c>
    </row>
    <row r="12" spans="1:30" x14ac:dyDescent="0.3">
      <c r="A12" t="s">
        <v>510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8.3125</v>
      </c>
      <c r="O12" s="260">
        <f>+Summary!$C$5</f>
        <v>36962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8.1875</v>
      </c>
      <c r="V12" s="2"/>
      <c r="W12" s="140"/>
      <c r="X12" s="270">
        <v>36824</v>
      </c>
      <c r="Y12" s="3" t="s">
        <v>508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3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36962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3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3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3">
      <c r="A16" s="214" t="s">
        <v>467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36962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3">
      <c r="A17" s="137" t="s">
        <v>216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36962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3">
      <c r="A18" s="137" t="s">
        <v>438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36962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3">
      <c r="A19" s="137" t="s">
        <v>217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506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36962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3">
      <c r="A20" s="137" t="s">
        <v>218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506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36962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3">
      <c r="A21" s="137" t="s">
        <v>502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36962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504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3">
      <c r="A22" s="137" t="s">
        <v>219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36962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3">
      <c r="A23" t="s">
        <v>463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36962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3">
      <c r="A24" s="137" t="s">
        <v>220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506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36962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3">
      <c r="A25" s="137" t="s">
        <v>453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36962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3">
      <c r="A26" s="137" t="s">
        <v>426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36962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3">
      <c r="A27" s="137" t="s">
        <v>454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36962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3">
      <c r="A28" s="137" t="s">
        <v>455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36962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3">
      <c r="A29" s="137" t="s">
        <v>221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36962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3">
      <c r="A30" s="137" t="s">
        <v>222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36962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3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36962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3">
      <c r="A32" s="137" t="s">
        <v>223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36962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3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36962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3">
      <c r="A34" s="137" t="s">
        <v>224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36962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3">
      <c r="A35" s="137" t="s">
        <v>231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36962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3">
      <c r="A36" s="137" t="s">
        <v>225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506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36962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3">
      <c r="A37" s="137" t="s">
        <v>226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0</v>
      </c>
      <c r="O37" s="260">
        <f>+Summary!$C$5</f>
        <v>36962</v>
      </c>
      <c r="P37" s="4">
        <f t="shared" si="6"/>
        <v>-1822363</v>
      </c>
      <c r="Q37" s="4">
        <v>0</v>
      </c>
      <c r="R37" s="5">
        <f t="shared" si="7"/>
        <v>-1822363</v>
      </c>
      <c r="S37" s="4">
        <v>0</v>
      </c>
      <c r="T37" s="4">
        <f t="shared" si="11"/>
        <v>-1822363</v>
      </c>
      <c r="U37" s="4">
        <f>VLOOKUP(+Summary!$E$5,Privates,V37)</f>
        <v>0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-2013591.66</v>
      </c>
      <c r="AD37" s="140">
        <f>-AC37+'MPR Raptor'!AH71</f>
        <v>1.6110017895698547E-5</v>
      </c>
    </row>
    <row r="38" spans="1:30" x14ac:dyDescent="0.3">
      <c r="A38" s="137" t="s">
        <v>227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0</v>
      </c>
      <c r="O38" s="260">
        <f>+Summary!$C$5</f>
        <v>36962</v>
      </c>
      <c r="P38" s="4">
        <f t="shared" si="6"/>
        <v>-1374750</v>
      </c>
      <c r="Q38" s="4">
        <v>0</v>
      </c>
      <c r="R38" s="5">
        <f t="shared" si="7"/>
        <v>-1374750</v>
      </c>
      <c r="S38" s="4">
        <v>0</v>
      </c>
      <c r="T38" s="4">
        <f t="shared" si="11"/>
        <v>-1374750</v>
      </c>
      <c r="U38" s="4">
        <f>VLOOKUP(+Summary!$E$5,Privates,V38)</f>
        <v>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-1374750</v>
      </c>
      <c r="AD38" s="140">
        <f>-AC38+'MPR Raptor'!AH74</f>
        <v>0</v>
      </c>
    </row>
    <row r="39" spans="1:30" x14ac:dyDescent="0.3">
      <c r="A39" s="137" t="s">
        <v>228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36962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3">
      <c r="A40" s="137" t="s">
        <v>464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36962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3">
      <c r="A41" s="137" t="s">
        <v>229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36962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3">
      <c r="A42" s="137" t="s">
        <v>232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36962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3">
      <c r="A43" t="s">
        <v>456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36962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3">
      <c r="A44" t="s">
        <v>457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36962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3">
      <c r="A45" s="137" t="s">
        <v>428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80202486.479999989</v>
      </c>
      <c r="O45" s="260">
        <f>+Summary!$C$5</f>
        <v>36962</v>
      </c>
      <c r="P45" s="4">
        <f t="shared" si="6"/>
        <v>-1277513.5200000107</v>
      </c>
      <c r="Q45" s="4">
        <v>0</v>
      </c>
      <c r="R45" s="5">
        <f t="shared" si="7"/>
        <v>-1277513.5200000107</v>
      </c>
      <c r="S45" s="4">
        <v>0</v>
      </c>
      <c r="T45" s="4">
        <f t="shared" si="11"/>
        <v>-1277513.5200000107</v>
      </c>
      <c r="U45" s="4">
        <f>VLOOKUP(+Summary!$E$5,Privates,V45)</f>
        <v>80202486.479999989</v>
      </c>
      <c r="V45" s="232">
        <f t="shared" si="10"/>
        <v>31</v>
      </c>
      <c r="W45" s="140">
        <f>+N45-'MPR Raptor'!U61+'Private Cash'!AE375</f>
        <v>-6.0535967350006104E-9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3">
      <c r="A46" s="137" t="s">
        <v>427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36962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3">
      <c r="A47" s="137" t="s">
        <v>183</v>
      </c>
      <c r="B47" s="266">
        <v>36741</v>
      </c>
      <c r="C47" s="266">
        <v>37836</v>
      </c>
      <c r="D47" s="77" t="s">
        <v>472</v>
      </c>
      <c r="E47" s="4">
        <v>36066314</v>
      </c>
      <c r="F47" s="77" t="s">
        <v>528</v>
      </c>
      <c r="I47" s="4">
        <v>93746590</v>
      </c>
      <c r="J47" s="260">
        <v>36910</v>
      </c>
      <c r="K47" s="69" t="s">
        <v>548</v>
      </c>
      <c r="L47" s="3"/>
      <c r="M47" s="4">
        <v>63109023.640000001</v>
      </c>
      <c r="N47" s="4">
        <f t="shared" si="5"/>
        <v>30637565.036477998</v>
      </c>
      <c r="O47" s="260">
        <f>+Summary!$C$5</f>
        <v>36962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3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3">
      <c r="A49" s="137" t="s">
        <v>233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3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2.5504560589854597</v>
      </c>
      <c r="O50" s="260">
        <f>+Summary!$C$5</f>
        <v>36962</v>
      </c>
      <c r="P50" s="4">
        <f>IF(O50&lt;B50,0,ROUND((+N50*H50),2)-I50-Q50)</f>
        <v>64412.930000000008</v>
      </c>
      <c r="Q50" s="4">
        <v>0</v>
      </c>
      <c r="R50" s="5">
        <f t="shared" ref="R50:R56" si="12">+P50+Q50</f>
        <v>64412.930000000008</v>
      </c>
      <c r="S50" s="4">
        <v>0</v>
      </c>
      <c r="T50" s="4">
        <f>IF(Summary!$E$5&lt;'Daily Position'!B50,0,ROUND(+U50*(H50-L50),2)+M50-I50)</f>
        <v>78882.87</v>
      </c>
      <c r="U50" s="69">
        <f>+U4</f>
        <v>2.8586155579726116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-7723.24</v>
      </c>
      <c r="AD50" s="140">
        <f>'MPR Raptor'!AH19-AC50</f>
        <v>7.1329686707031215E-3</v>
      </c>
    </row>
    <row r="51" spans="1:30" x14ac:dyDescent="0.3">
      <c r="A51" t="s">
        <v>424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36962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3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8.3125</v>
      </c>
      <c r="O52" s="260">
        <f>+Summary!$C$5</f>
        <v>36962</v>
      </c>
      <c r="P52" s="4">
        <f>IF(O52&lt;B52,0,ROUND((+N52*(H52-L52)),2)-ROUND(((H52-L52)*G52),2))</f>
        <v>-34942.210000000006</v>
      </c>
      <c r="Q52" s="4">
        <f>IF(J52&lt;(O52+1),(+K52-G52)*L52,0)</f>
        <v>0</v>
      </c>
      <c r="R52" s="5">
        <f t="shared" si="12"/>
        <v>-34942.210000000006</v>
      </c>
      <c r="S52" s="4">
        <f>IF(J52&lt;O52,+Q52,0)</f>
        <v>0</v>
      </c>
      <c r="T52" s="4">
        <f>IF(Summary!$E$5&lt;'Daily Position'!B52,0,ROUND(+U52*(H52-L52),2)+M52-I52)</f>
        <v>-35704.840000000004</v>
      </c>
      <c r="U52" s="69">
        <f>+U11</f>
        <v>8.1875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2669.21</v>
      </c>
      <c r="AD52" s="140">
        <f>'MPR Raptor'!AH34-AC52</f>
        <v>-9.7249999971609213E-3</v>
      </c>
    </row>
    <row r="53" spans="1:30" x14ac:dyDescent="0.3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8.3125</v>
      </c>
      <c r="O53" s="260">
        <f>+Summary!$C$5</f>
        <v>36962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8.1875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3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36962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3">
      <c r="A55" s="137" t="s">
        <v>216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36962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3">
      <c r="A56" s="137" t="s">
        <v>222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36962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3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2" thickBot="1" x14ac:dyDescent="0.35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-354391714.53352171</v>
      </c>
      <c r="Q59" s="78">
        <f>SUM(Q3:Q58)</f>
        <v>-73827735.572398722</v>
      </c>
      <c r="R59" s="78">
        <f>SUM(R3:R58)</f>
        <v>-428219450.10592049</v>
      </c>
      <c r="S59" s="239">
        <f>SUM(S3:S58)</f>
        <v>-73827735.572398722</v>
      </c>
      <c r="T59" s="78">
        <f>SUM(T3:T58)</f>
        <v>-422676035.56887054</v>
      </c>
      <c r="U59" s="215"/>
      <c r="V59" s="215"/>
      <c r="W59" s="78">
        <f>SUM(W3:W58)</f>
        <v>-0.12338000614545308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-124197780.11999999</v>
      </c>
      <c r="AD59" s="78">
        <f>SUM(AD3:AD58)</f>
        <v>-0.11894080907859461</v>
      </c>
    </row>
    <row r="60" spans="1:30" ht="16.2" thickTop="1" x14ac:dyDescent="0.3"/>
    <row r="61" spans="1:30" x14ac:dyDescent="0.3">
      <c r="G61" s="2" t="s">
        <v>505</v>
      </c>
      <c r="Q61" s="2">
        <f>SUMIF(Q3:Q58,"&lt;0",Q3:Q58)</f>
        <v>-74791624.710549891</v>
      </c>
      <c r="R61" t="s">
        <v>519</v>
      </c>
      <c r="W61" s="5"/>
      <c r="AA61" s="5"/>
      <c r="AC61" s="220">
        <f>+AC59-'MPR Raptor'!AH80+'MPR Raptor'!AH76+'MPR Raptor'!AH38+AD59</f>
        <v>-8.6502041085623205E-9</v>
      </c>
      <c r="AD61" t="s">
        <v>521</v>
      </c>
    </row>
    <row r="62" spans="1:30" x14ac:dyDescent="0.3">
      <c r="G62" s="2" t="s">
        <v>320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520</v>
      </c>
      <c r="W62" s="5"/>
      <c r="AA62" s="3"/>
    </row>
    <row r="63" spans="1:30" x14ac:dyDescent="0.3">
      <c r="G63" s="2" t="s">
        <v>314</v>
      </c>
      <c r="I63" s="56">
        <f>+I19+I20+I24+I36+M47</f>
        <v>81826448.640000001</v>
      </c>
      <c r="Q63" s="220">
        <f>+Q61+Q62-Q59</f>
        <v>0</v>
      </c>
      <c r="R63" t="s">
        <v>521</v>
      </c>
      <c r="W63" s="5"/>
      <c r="AA63" s="5"/>
    </row>
    <row r="64" spans="1:30" x14ac:dyDescent="0.3">
      <c r="W64" s="220"/>
    </row>
    <row r="65" spans="7:23" x14ac:dyDescent="0.3">
      <c r="G65" s="2" t="s">
        <v>507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9" activePane="bottomLeft" state="frozen"/>
      <selection pane="bottomLeft" activeCell="A161" sqref="A161"/>
    </sheetView>
  </sheetViews>
  <sheetFormatPr defaultRowHeight="15.6" x14ac:dyDescent="0.3"/>
  <cols>
    <col min="1" max="1" width="10" style="1" bestFit="1" customWidth="1"/>
    <col min="2" max="2" width="14.69921875" style="128" bestFit="1" customWidth="1"/>
    <col min="3" max="3" width="9.69921875" style="128" bestFit="1" customWidth="1"/>
    <col min="4" max="4" width="9.09765625" style="128" bestFit="1" customWidth="1"/>
    <col min="5" max="5" width="11.19921875" style="128" customWidth="1"/>
    <col min="6" max="8" width="9.09765625" style="128" bestFit="1" customWidth="1"/>
    <col min="9" max="9" width="9.69921875" style="128" bestFit="1" customWidth="1"/>
    <col min="10" max="11" width="9.09765625" style="128" bestFit="1" customWidth="1"/>
    <col min="12" max="12" width="9.09765625" style="128" customWidth="1"/>
  </cols>
  <sheetData>
    <row r="1" spans="1:15" x14ac:dyDescent="0.3">
      <c r="A1" s="261" t="s">
        <v>161</v>
      </c>
      <c r="B1" s="124"/>
      <c r="C1" s="127"/>
    </row>
    <row r="2" spans="1:15" x14ac:dyDescent="0.3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6.8" x14ac:dyDescent="0.3">
      <c r="A3" s="273"/>
      <c r="B3" s="274" t="s">
        <v>4</v>
      </c>
      <c r="C3" s="274" t="s">
        <v>13</v>
      </c>
      <c r="D3" s="274" t="s">
        <v>166</v>
      </c>
      <c r="E3" s="274" t="s">
        <v>518</v>
      </c>
      <c r="F3" s="274" t="s">
        <v>529</v>
      </c>
      <c r="G3" s="274" t="s">
        <v>167</v>
      </c>
      <c r="H3" s="274" t="s">
        <v>168</v>
      </c>
      <c r="I3" s="274" t="s">
        <v>451</v>
      </c>
      <c r="J3" s="274" t="s">
        <v>169</v>
      </c>
      <c r="K3" s="274" t="s">
        <v>170</v>
      </c>
      <c r="L3" s="274" t="s">
        <v>180</v>
      </c>
    </row>
    <row r="4" spans="1:15" x14ac:dyDescent="0.3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425</v>
      </c>
      <c r="F4" s="126" t="s">
        <v>529</v>
      </c>
      <c r="G4" s="126" t="s">
        <v>173</v>
      </c>
      <c r="H4" s="126" t="s">
        <v>174</v>
      </c>
      <c r="I4" s="126" t="s">
        <v>452</v>
      </c>
      <c r="J4" s="126" t="s">
        <v>176</v>
      </c>
      <c r="K4" s="126" t="s">
        <v>171</v>
      </c>
      <c r="L4" s="126" t="s">
        <v>511</v>
      </c>
    </row>
    <row r="5" spans="1:15" x14ac:dyDescent="0.3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3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3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3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3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3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3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3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3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3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3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3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3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3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3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3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3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3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3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3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3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3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3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3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3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3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3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3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3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3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3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3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3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3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3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3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3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3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3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3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3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3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3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3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3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3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3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3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3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3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3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3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3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3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3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3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3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3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3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3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3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3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3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3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3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3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3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3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3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3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3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3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3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3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3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3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3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3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3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3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3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3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3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3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3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3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3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3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3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3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3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3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3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3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3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3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3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3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3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3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3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3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3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3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3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3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3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3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3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3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3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3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3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3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3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3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3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3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3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3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3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3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3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3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3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3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3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3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3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3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3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3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3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3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3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3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141" spans="1:12" x14ac:dyDescent="0.3">
      <c r="A141" s="260">
        <v>36936</v>
      </c>
      <c r="B141" s="128">
        <v>80</v>
      </c>
      <c r="C141" s="128">
        <v>19.875</v>
      </c>
      <c r="D141" s="128">
        <v>20.8125</v>
      </c>
      <c r="F141" s="128">
        <v>8.5</v>
      </c>
      <c r="G141" s="128">
        <v>5.3018538670398732</v>
      </c>
      <c r="H141" s="128">
        <v>2.8709000379734335</v>
      </c>
      <c r="I141" s="128">
        <v>2.870900037973434</v>
      </c>
      <c r="J141" s="128">
        <v>5.8125</v>
      </c>
      <c r="L141" s="128">
        <v>16.125</v>
      </c>
    </row>
    <row r="142" spans="1:12" x14ac:dyDescent="0.3">
      <c r="A142" s="260">
        <v>36937</v>
      </c>
      <c r="B142" s="128">
        <v>77.900000000000006</v>
      </c>
      <c r="C142" s="128">
        <v>22.5625</v>
      </c>
      <c r="D142" s="128">
        <v>20.5</v>
      </c>
      <c r="F142" s="128">
        <v>8.375</v>
      </c>
      <c r="G142" s="128">
        <v>5.2776592137661691</v>
      </c>
      <c r="H142" s="128">
        <v>2.7337031422806715</v>
      </c>
      <c r="I142" s="128">
        <v>2.7337031422806719</v>
      </c>
      <c r="J142" s="128">
        <v>6</v>
      </c>
      <c r="L142" s="128">
        <v>17</v>
      </c>
    </row>
    <row r="143" spans="1:12" x14ac:dyDescent="0.3">
      <c r="A143" s="260">
        <v>36938</v>
      </c>
      <c r="B143" s="128">
        <v>76.19</v>
      </c>
      <c r="C143" s="128">
        <v>20.625</v>
      </c>
      <c r="D143" s="128">
        <v>20.375</v>
      </c>
      <c r="F143" s="128">
        <v>8.4375</v>
      </c>
      <c r="G143" s="128">
        <v>5.1756746130571578</v>
      </c>
      <c r="H143" s="128">
        <v>2.6326436767633159</v>
      </c>
      <c r="I143" s="128">
        <v>2.6326436767633159</v>
      </c>
      <c r="J143" s="128">
        <v>6</v>
      </c>
      <c r="L143" s="128">
        <v>16.9375</v>
      </c>
    </row>
    <row r="144" spans="1:12" x14ac:dyDescent="0.3">
      <c r="A144" s="260">
        <v>36942</v>
      </c>
      <c r="B144" s="128">
        <v>75.09</v>
      </c>
      <c r="C144" s="128">
        <v>17.640625</v>
      </c>
      <c r="D144" s="128">
        <v>20.625</v>
      </c>
      <c r="F144" s="128">
        <v>8.25</v>
      </c>
      <c r="G144" s="128">
        <v>5.3497548177857022</v>
      </c>
      <c r="H144" s="128">
        <v>2.4164318629064239</v>
      </c>
      <c r="I144" s="128">
        <v>2.4164318629064239</v>
      </c>
      <c r="J144" s="128">
        <v>5.84375</v>
      </c>
      <c r="L144" s="128">
        <v>16.9375</v>
      </c>
    </row>
    <row r="145" spans="1:12" x14ac:dyDescent="0.3">
      <c r="A145" s="260">
        <v>36943</v>
      </c>
      <c r="B145" s="128">
        <v>73.09</v>
      </c>
      <c r="C145" s="128">
        <v>15.125</v>
      </c>
      <c r="D145" s="128">
        <v>20.375</v>
      </c>
      <c r="F145" s="128">
        <v>8.375</v>
      </c>
      <c r="G145" s="128">
        <v>5.2920242898519003</v>
      </c>
      <c r="H145" s="128">
        <v>2.6719606603064947</v>
      </c>
      <c r="I145" s="128">
        <v>2.6719606603064947</v>
      </c>
      <c r="J145" s="128">
        <v>5.875</v>
      </c>
      <c r="L145" s="128">
        <v>16.9375</v>
      </c>
    </row>
    <row r="146" spans="1:12" x14ac:dyDescent="0.3">
      <c r="A146" s="260">
        <v>36944</v>
      </c>
      <c r="B146" s="128">
        <v>72.150000000000006</v>
      </c>
      <c r="C146" s="128">
        <v>13.0625</v>
      </c>
      <c r="D146" s="128">
        <v>19.5</v>
      </c>
      <c r="F146" s="128">
        <v>8.0625</v>
      </c>
      <c r="G146" s="128">
        <v>4.8758683106020921</v>
      </c>
      <c r="H146" s="128">
        <v>2.6596689453850995</v>
      </c>
      <c r="I146" s="128">
        <v>2.6596689453850999</v>
      </c>
      <c r="J146" s="128">
        <v>5.875</v>
      </c>
      <c r="L146" s="128">
        <v>16.9375</v>
      </c>
    </row>
    <row r="147" spans="1:12" x14ac:dyDescent="0.3">
      <c r="A147" s="260">
        <v>36945</v>
      </c>
      <c r="B147" s="128">
        <v>71</v>
      </c>
      <c r="C147" s="128">
        <v>16.109375</v>
      </c>
      <c r="D147" s="128">
        <v>20.625</v>
      </c>
      <c r="F147" s="128">
        <v>7.875</v>
      </c>
      <c r="G147" s="128">
        <v>4.4037629028498984</v>
      </c>
      <c r="H147" s="128">
        <v>2.6440963155107453</v>
      </c>
      <c r="I147" s="128">
        <v>2.6440963155107453</v>
      </c>
      <c r="J147" s="128">
        <v>5.53125</v>
      </c>
      <c r="L147" s="128">
        <v>16.9375</v>
      </c>
    </row>
    <row r="148" spans="1:12" x14ac:dyDescent="0.3">
      <c r="A148" s="260">
        <v>36948</v>
      </c>
      <c r="B148" s="128">
        <v>70.56</v>
      </c>
      <c r="C148" s="128">
        <v>16.5625</v>
      </c>
      <c r="D148" s="128">
        <v>21.375</v>
      </c>
      <c r="F148" s="128">
        <v>7.46875</v>
      </c>
      <c r="G148" s="128">
        <v>4.4547249613430084</v>
      </c>
      <c r="H148" s="128">
        <v>2.0625913297302505</v>
      </c>
      <c r="I148" s="128">
        <v>2.0625913297302509</v>
      </c>
      <c r="J148" s="128">
        <v>5.6875</v>
      </c>
      <c r="L148" s="128">
        <v>16.625</v>
      </c>
    </row>
    <row r="149" spans="1:12" x14ac:dyDescent="0.3">
      <c r="A149" s="260">
        <v>36949</v>
      </c>
      <c r="B149" s="128">
        <v>70.040000000000006</v>
      </c>
      <c r="C149" s="128">
        <v>15.75</v>
      </c>
      <c r="D149" s="128">
        <v>21.5625</v>
      </c>
      <c r="F149" s="128">
        <v>7.125</v>
      </c>
      <c r="G149" s="128">
        <v>4.5679408718647112</v>
      </c>
      <c r="H149" s="128">
        <v>2.1054351445246153</v>
      </c>
      <c r="I149" s="128">
        <v>2.1054351445246158</v>
      </c>
      <c r="J149" s="128">
        <v>5.6875</v>
      </c>
      <c r="L149" s="128">
        <v>16.9375</v>
      </c>
    </row>
    <row r="150" spans="1:12" x14ac:dyDescent="0.3">
      <c r="A150" s="260">
        <v>36950</v>
      </c>
      <c r="B150" s="128">
        <v>68.5</v>
      </c>
      <c r="C150" s="128">
        <v>15.0625</v>
      </c>
      <c r="D150" s="128">
        <v>19.875</v>
      </c>
      <c r="F150" s="128">
        <v>7.125</v>
      </c>
      <c r="G150" s="128">
        <v>4.3302110859019134</v>
      </c>
      <c r="H150" s="128">
        <v>2.1893262095961865</v>
      </c>
      <c r="I150" s="128">
        <v>2.189326209596187</v>
      </c>
      <c r="J150" s="128">
        <v>5.5</v>
      </c>
      <c r="L150" s="128">
        <v>16.25</v>
      </c>
    </row>
    <row r="151" spans="1:12" x14ac:dyDescent="0.3">
      <c r="A151" s="260">
        <v>36951</v>
      </c>
      <c r="B151" s="128">
        <v>68.680000000000007</v>
      </c>
      <c r="C151" s="128">
        <v>16.25</v>
      </c>
      <c r="D151" s="128">
        <v>18.75</v>
      </c>
      <c r="F151" s="128">
        <v>7.125</v>
      </c>
      <c r="G151" s="128">
        <v>4.0414845288837773</v>
      </c>
      <c r="H151" s="128">
        <v>2.2565827814896915</v>
      </c>
      <c r="I151" s="128">
        <v>2.2565827814896919</v>
      </c>
      <c r="J151" s="128">
        <v>5.375</v>
      </c>
      <c r="L151" s="128">
        <v>17</v>
      </c>
    </row>
    <row r="152" spans="1:12" x14ac:dyDescent="0.3">
      <c r="A152" s="260">
        <v>36952</v>
      </c>
      <c r="B152" s="128">
        <v>70.19</v>
      </c>
      <c r="C152" s="128">
        <v>14.6875</v>
      </c>
      <c r="D152" s="128">
        <v>18</v>
      </c>
      <c r="F152" s="128">
        <v>7.375</v>
      </c>
      <c r="G152" s="128">
        <v>4.3340332640789958</v>
      </c>
      <c r="H152" s="128">
        <v>2.3118864355389941</v>
      </c>
      <c r="I152" s="128">
        <v>2.3118864355389945</v>
      </c>
      <c r="J152" s="128">
        <v>5.875</v>
      </c>
      <c r="L152" s="128">
        <v>16.8125</v>
      </c>
    </row>
    <row r="153" spans="1:12" x14ac:dyDescent="0.3">
      <c r="A153" s="260">
        <v>36955</v>
      </c>
      <c r="B153" s="128">
        <v>70.11</v>
      </c>
      <c r="C153" s="128">
        <v>14.375</v>
      </c>
      <c r="D153" s="128">
        <v>17.375</v>
      </c>
      <c r="F153" s="128">
        <v>7.5</v>
      </c>
      <c r="G153" s="128">
        <v>4.2770905579423859</v>
      </c>
      <c r="H153" s="128">
        <v>2.5574185620220518</v>
      </c>
      <c r="I153" s="128">
        <v>2.5574185620220518</v>
      </c>
      <c r="J153" s="128">
        <v>5.9375</v>
      </c>
      <c r="L153" s="128">
        <v>17</v>
      </c>
    </row>
    <row r="154" spans="1:12" x14ac:dyDescent="0.3">
      <c r="A154" s="260">
        <v>36956</v>
      </c>
      <c r="B154" s="128">
        <v>68.87</v>
      </c>
      <c r="C154" s="128">
        <v>14.0625</v>
      </c>
      <c r="D154" s="128">
        <v>18.25</v>
      </c>
      <c r="F154" s="128">
        <v>8.25</v>
      </c>
      <c r="G154" s="128">
        <v>4.4493155525014467</v>
      </c>
      <c r="H154" s="128">
        <v>2.5028611848907283</v>
      </c>
      <c r="I154" s="128">
        <v>2.5028611848907287</v>
      </c>
      <c r="J154" s="128">
        <v>6</v>
      </c>
      <c r="L154" s="128">
        <v>17</v>
      </c>
    </row>
    <row r="155" spans="1:12" x14ac:dyDescent="0.3">
      <c r="A155" s="260">
        <v>36957</v>
      </c>
      <c r="B155" s="128">
        <v>70</v>
      </c>
      <c r="C155" s="128">
        <v>14.375</v>
      </c>
      <c r="D155" s="128">
        <v>20.5</v>
      </c>
      <c r="F155" s="128">
        <v>8.375</v>
      </c>
      <c r="G155" s="128">
        <v>5.4953956686622893</v>
      </c>
      <c r="H155" s="128">
        <v>2.7525683632493725</v>
      </c>
      <c r="I155" s="128">
        <v>2.7525683632493729</v>
      </c>
      <c r="J155" s="128">
        <v>6</v>
      </c>
      <c r="L155" s="128">
        <v>16.75</v>
      </c>
    </row>
    <row r="156" spans="1:12" x14ac:dyDescent="0.3">
      <c r="A156" s="260">
        <v>36958</v>
      </c>
      <c r="B156" s="128">
        <v>70.59</v>
      </c>
      <c r="C156" s="128">
        <v>13.8125</v>
      </c>
      <c r="D156" s="128">
        <v>19.5</v>
      </c>
      <c r="F156" s="128">
        <v>8.1875</v>
      </c>
      <c r="G156" s="128">
        <v>5.6098320070050143</v>
      </c>
      <c r="H156" s="128">
        <v>2.8260163654724306</v>
      </c>
      <c r="I156" s="128">
        <v>2.8260163654724311</v>
      </c>
      <c r="J156" s="128">
        <v>6</v>
      </c>
      <c r="L156" s="128">
        <v>17.5</v>
      </c>
    </row>
    <row r="157" spans="1:12" x14ac:dyDescent="0.3">
      <c r="A157" s="260">
        <v>36959</v>
      </c>
      <c r="B157" s="128">
        <v>68.84</v>
      </c>
      <c r="C157" s="128">
        <v>13.9375</v>
      </c>
      <c r="D157" s="128">
        <v>18.75</v>
      </c>
      <c r="F157" s="128">
        <v>8.1875</v>
      </c>
      <c r="G157" s="128">
        <v>5.1428918983446046</v>
      </c>
      <c r="H157" s="128">
        <v>2.8586155579726116</v>
      </c>
      <c r="I157" s="128">
        <v>2.8586155579726116</v>
      </c>
      <c r="J157" s="128">
        <v>6</v>
      </c>
      <c r="L157" s="128">
        <v>17.875</v>
      </c>
    </row>
    <row r="158" spans="1:12" x14ac:dyDescent="0.3">
      <c r="A158" s="260">
        <v>36962</v>
      </c>
      <c r="B158" s="128">
        <v>61.27</v>
      </c>
      <c r="C158" s="128">
        <v>10.3125</v>
      </c>
      <c r="D158" s="128">
        <v>17.5625</v>
      </c>
      <c r="F158" s="128">
        <v>8.3125</v>
      </c>
      <c r="G158" s="128">
        <v>4.6702217882267902</v>
      </c>
      <c r="H158" s="128">
        <v>2.5504560589854597</v>
      </c>
      <c r="I158" s="128">
        <v>2.5504560589854601</v>
      </c>
      <c r="J158" s="128">
        <v>5.84375</v>
      </c>
      <c r="L158" s="128">
        <v>17.6875</v>
      </c>
    </row>
    <row r="159" spans="1:12" x14ac:dyDescent="0.3">
      <c r="A159" s="260"/>
    </row>
    <row r="160" spans="1:12" x14ac:dyDescent="0.3">
      <c r="A160" s="260"/>
    </row>
    <row r="258" ht="14.25" customHeight="1" x14ac:dyDescent="0.3"/>
    <row r="375" spans="1:12" x14ac:dyDescent="0.3">
      <c r="A375" s="1" t="s">
        <v>177</v>
      </c>
    </row>
    <row r="377" spans="1:12" x14ac:dyDescent="0.3">
      <c r="A377" s="260">
        <f>+'MPR Raptor'!U3</f>
        <v>36962</v>
      </c>
      <c r="C377" s="128">
        <f>INDEX(MPRR, MATCH("Avici EBS Raptor I",'MPR Raptor'!$E$3:$E$140,), MATCH("Per Share",'MPR Raptor'!$E$3:$CM$3,))</f>
        <v>10.3125</v>
      </c>
      <c r="D377" s="128">
        <f>INDEX(MPRR, MATCH("Active Power Raptor I",'MPR Raptor'!$E$3:$E$140,), MATCH("Per Share",'MPR Raptor'!$E$3:$CM$3,))</f>
        <v>17.5625</v>
      </c>
      <c r="F377" s="128">
        <f>INDEX(MPRR, MATCH("DevX Energy Common Raptor I",'MPR Raptor'!$E$3:$E$140,), MATCH("Per Share",'MPR Raptor'!$E$3:$CM$3,))</f>
        <v>8.3125</v>
      </c>
      <c r="G377" s="128">
        <f>INDEX(MPRR, MATCH("Carrizo Warrants Raptor I",'MPR Raptor'!$E$3:$E$140,), MATCH("Per Share",'MPR Raptor'!$E$3:$CM$3,))</f>
        <v>4.6702217882267902</v>
      </c>
      <c r="H377" s="128">
        <f>INDEX(MPRR, MATCH("3TEC Warrants Raptor I",'MPR Raptor'!$E$3:$E$140,), MATCH("Per Share",'MPR Raptor'!$E$3:$CM$3,))</f>
        <v>2.5504560589854597</v>
      </c>
      <c r="I377" s="128">
        <f>INDEX(MPRR, MATCH("3TEC Warrants EGF Raptor I",'MPR Raptor'!$E$3:$E$140,), MATCH("Per Share",'MPR Raptor'!$E$3:$CM$3,))</f>
        <v>2.5504560589854601</v>
      </c>
      <c r="J377" s="128">
        <f>INDEX(MPRR, MATCH("Paradigm Common Raptor I",'MPR Raptor'!$E$3:$E$140,), MATCH("Per Share",'MPR Raptor'!$E$3:$CM$3,))</f>
        <v>5.84375</v>
      </c>
      <c r="L377" s="128">
        <f>INDEX(MPRR, MATCH("Catalytica Common Raptor I",'MPR Raptor'!$E$3:$E$140,), MATCH("Per Share",'MPR Raptor'!$E$3:$CM$3,))</f>
        <v>17.6875</v>
      </c>
    </row>
    <row r="378" spans="1:12" x14ac:dyDescent="0.3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42" activePane="bottomRight" state="frozen"/>
      <selection activeCell="A2" sqref="A2"/>
      <selection pane="topRight" activeCell="B2" sqref="B2"/>
      <selection pane="bottomLeft" activeCell="A4" sqref="A4"/>
      <selection pane="bottomRight" activeCell="A160" sqref="A160"/>
    </sheetView>
  </sheetViews>
  <sheetFormatPr defaultRowHeight="15.6" x14ac:dyDescent="0.3"/>
  <cols>
    <col min="1" max="1" width="8.69921875" style="260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0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7" t="s">
        <v>161</v>
      </c>
      <c r="B1" s="124"/>
      <c r="C1" s="2"/>
      <c r="D1" s="127"/>
    </row>
    <row r="2" spans="1:35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6.8" x14ac:dyDescent="0.3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  <c r="AH3" s="229" t="s">
        <v>233</v>
      </c>
    </row>
    <row r="4" spans="1:35" x14ac:dyDescent="0.3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3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3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3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3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3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3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3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3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3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3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3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3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3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3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3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3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3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3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3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3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3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3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3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3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3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3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3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3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3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3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3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3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3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3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3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3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3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3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3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3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3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3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3">
      <c r="A140" s="260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3">
      <c r="A141" s="260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3">
      <c r="A142" s="260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3">
      <c r="A143" s="260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3">
      <c r="A144" s="260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3">
      <c r="A145" s="260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3">
      <c r="A146" s="260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3">
      <c r="A147" s="260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3">
      <c r="A148" s="260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3">
      <c r="A149" s="260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3">
      <c r="A150" s="260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3">
      <c r="A151" s="260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3">
      <c r="A152" s="260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3">
      <c r="A153" s="260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3">
      <c r="A154" s="260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3">
      <c r="A155" s="260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3">
      <c r="A156" s="260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3">
      <c r="A157" s="260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257" ht="14.25" customHeight="1" x14ac:dyDescent="0.3"/>
    <row r="374" spans="1:34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3">
      <c r="A376" s="260">
        <f>+'MPR Raptor'!$U$3</f>
        <v>36962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288">
        <f>INDEX([0]!MPRR, MATCH("LSI Preferred (AIM) Raptor I",'MPR Raptor'!$E$3:$E$140,), MATCH("Per Share",'MPR Raptor'!$E$3:$CM$3,))-'Private Cash'!W375</f>
        <v>0</v>
      </c>
      <c r="X376" s="288">
        <f>INDEX([0]!MPRR, MATCH("LSI Warrants (AIM) Raptor I",'MPR Raptor'!$E$3:$E$140,), MATCH("Per Share",'MPR Raptor'!$E$3:$CM$3,))-'Private Cash'!X375</f>
        <v>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80202486.479999989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2804331.5913107214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0"/>
  <sheetViews>
    <sheetView topLeftCell="A3" workbookViewId="0">
      <pane xSplit="1" ySplit="1" topLeftCell="B151" activePane="bottomRight" state="frozen"/>
      <selection activeCell="A3" sqref="A3"/>
      <selection pane="topRight" activeCell="B3" sqref="B3"/>
      <selection pane="bottomLeft" activeCell="A4" sqref="A4"/>
      <selection pane="bottomRight" activeCell="A159" sqref="A159"/>
    </sheetView>
  </sheetViews>
  <sheetFormatPr defaultRowHeight="15.6" x14ac:dyDescent="0.3"/>
  <cols>
    <col min="1" max="1" width="8.69921875" style="260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3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0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2.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3.3984375" style="128" customWidth="1"/>
    <col min="23" max="23" width="11.09765625" customWidth="1"/>
    <col min="24" max="24" width="11.69921875" style="128" bestFit="1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7" t="s">
        <v>161</v>
      </c>
      <c r="B1" s="124"/>
      <c r="C1" s="2"/>
      <c r="D1" s="127"/>
    </row>
    <row r="2" spans="1:34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6.8" x14ac:dyDescent="0.3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</row>
    <row r="4" spans="1:34" x14ac:dyDescent="0.3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3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3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3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3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3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3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3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3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3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3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3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3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3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3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3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3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3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3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3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3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3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3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3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3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3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3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3">
      <c r="A140" s="260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3">
      <c r="A141" s="260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3">
      <c r="A142" s="260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3">
      <c r="A143" s="260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3">
      <c r="A144" s="260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3">
      <c r="A145" s="260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3">
      <c r="A146" s="260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3">
      <c r="A147" s="260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3">
      <c r="A148" s="260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3">
      <c r="A149" s="260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3">
      <c r="A150" s="260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3">
      <c r="A151" s="260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3">
      <c r="A152" s="260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3">
      <c r="A153" s="260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3">
      <c r="A154" s="260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3">
      <c r="A155" s="260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3">
      <c r="A156" s="260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3">
      <c r="A157" s="260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257" ht="14.25" customHeight="1" x14ac:dyDescent="0.3"/>
    <row r="374" spans="1:33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3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-103173.04999999946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286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-16116178.76</v>
      </c>
      <c r="AD375" s="5">
        <f t="shared" si="0"/>
        <v>-887163.67</v>
      </c>
      <c r="AE375" s="5">
        <f t="shared" si="0"/>
        <v>2038959.9</v>
      </c>
      <c r="AF375" s="5">
        <f t="shared" si="0"/>
        <v>0</v>
      </c>
      <c r="AG375" s="5">
        <f t="shared" si="0"/>
        <v>0</v>
      </c>
    </row>
    <row r="376" spans="1:33" x14ac:dyDescent="0.3">
      <c r="X376" s="287"/>
    </row>
    <row r="377" spans="1:33" s="4" customFormat="1" x14ac:dyDescent="0.3">
      <c r="A377" s="260">
        <f>+A379</f>
        <v>36962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288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0" t="s">
        <v>484</v>
      </c>
      <c r="C378" s="269">
        <f>SUM(B377:AG377)</f>
        <v>0</v>
      </c>
      <c r="X378" s="287"/>
    </row>
    <row r="379" spans="1:33" x14ac:dyDescent="0.3">
      <c r="A379" s="260">
        <f>+'MPR Raptor'!$U$3</f>
        <v>36962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5540833.9500000002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288">
        <f>INDEX([0]!MPRR, MATCH("LSI Warrants (AIM) Raptor I",'MPR Raptor'!$E$3:$E$140,), MATCH("Per Share",'MPR Raptor'!$E$3:$CM$3,))</f>
        <v>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200068.24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82241446.379999995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3">
      <c r="A380" s="260">
        <f>+A379-1</f>
        <v>36961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5540833.9500000002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288">
        <f>INDEX([0]!MPRR, MATCH("LSI Warrants (AIM) Raptor I",'MPR Raptor'!$E$3:$E$140,), MATCH("Value",'MPR Raptor'!$E$3:$CM$3,))</f>
        <v>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200068.24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82241446.379999995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3">
      <c r="A381" s="260">
        <f>+A379</f>
        <v>36962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288">
        <f>INDEX([0]!MPRR, MATCH("LSI Warrants (AIM)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D1" sqref="D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302">
        <f>+Summary!C5</f>
        <v>36962</v>
      </c>
      <c r="I2" s="302"/>
      <c r="J2" s="97"/>
      <c r="L2" s="302">
        <f>H2</f>
        <v>36962</v>
      </c>
      <c r="M2" s="302"/>
      <c r="N2" s="302"/>
      <c r="O2" s="302"/>
      <c r="P2" s="302"/>
    </row>
    <row r="3" spans="1:18" ht="16.2" thickBot="1" x14ac:dyDescent="0.35">
      <c r="H3" s="303" t="s">
        <v>101</v>
      </c>
      <c r="I3" s="303"/>
      <c r="J3" s="98"/>
      <c r="L3" s="303" t="s">
        <v>101</v>
      </c>
      <c r="M3" s="303"/>
      <c r="N3" s="303"/>
      <c r="O3" s="303"/>
      <c r="P3" s="303"/>
    </row>
    <row r="4" spans="1:18" x14ac:dyDescent="0.3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2" thickBot="1" x14ac:dyDescent="0.35">
      <c r="A5" s="298" t="s">
        <v>33</v>
      </c>
      <c r="B5" s="298"/>
      <c r="D5" s="298" t="s">
        <v>34</v>
      </c>
      <c r="E5" s="298"/>
      <c r="H5" s="120" t="s">
        <v>103</v>
      </c>
      <c r="I5" s="131">
        <f>+VLOOKUP(+Summary!C5,ene,2)</f>
        <v>61.27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36962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4" t="s">
        <v>162</v>
      </c>
      <c r="I7" s="305"/>
      <c r="J7" s="13"/>
      <c r="L7" s="298" t="s">
        <v>33</v>
      </c>
      <c r="M7" s="298"/>
      <c r="O7" s="298" t="s">
        <v>34</v>
      </c>
      <c r="P7" s="298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41021450.584954351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3">
      <c r="D10" s="7" t="s">
        <v>4</v>
      </c>
      <c r="E10" s="7">
        <v>1000</v>
      </c>
      <c r="H10" s="301" t="s">
        <v>105</v>
      </c>
      <c r="I10" s="301"/>
      <c r="J10" s="13"/>
      <c r="L10" s="7" t="s">
        <v>41</v>
      </c>
      <c r="M10" s="7">
        <f>B8+I15</f>
        <v>405991566.5022831</v>
      </c>
      <c r="N10" s="18"/>
      <c r="O10" s="7" t="s">
        <v>121</v>
      </c>
      <c r="P10" s="7">
        <f>IF(I20&gt;0,0,-I20)</f>
        <v>354391714.53352171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36962</v>
      </c>
      <c r="J11" s="13"/>
      <c r="L11" s="7" t="s">
        <v>45</v>
      </c>
      <c r="M11" s="7">
        <f>+Amort!B28</f>
        <v>1575000</v>
      </c>
      <c r="O11" s="7" t="s">
        <v>494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467011296.40956235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3406561.6960654818</v>
      </c>
      <c r="J13" s="29"/>
      <c r="L13" s="7" t="s">
        <v>495</v>
      </c>
      <c r="M13" s="7">
        <f>IF(I19&gt;0,I19,0)</f>
        <v>150262298.89999998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480</v>
      </c>
      <c r="I14" s="16">
        <f>+Amort!B29</f>
        <v>3188888.888888889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-203190259.99584663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479</v>
      </c>
      <c r="I15" s="16">
        <f>-B17*A35/(3*365)</f>
        <v>55991566.502283104</v>
      </c>
      <c r="J15" s="33" t="s">
        <v>59</v>
      </c>
      <c r="L15" s="92" t="s">
        <v>7</v>
      </c>
      <c r="M15" s="12">
        <f>SUM(M8:M14)</f>
        <v>648850315.98723745</v>
      </c>
      <c r="N15" s="20"/>
      <c r="O15" s="92" t="s">
        <v>7</v>
      </c>
      <c r="P15" s="12">
        <f>SUM(P8:P14)</f>
        <v>648850315.98723745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D16" s="7">
        <f>+D14+D15</f>
        <v>7615930</v>
      </c>
      <c r="H16" s="13" t="s">
        <v>445</v>
      </c>
      <c r="I16" s="40">
        <f>-'Cash-Int-Trans'!B71</f>
        <v>-25284022.837163631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79765891.210073844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2" thickTop="1" x14ac:dyDescent="0.3">
      <c r="H19" s="7" t="s">
        <v>493</v>
      </c>
      <c r="I19" s="7">
        <f>IF(I5&lt;81,(81-I5)*(D14+D15),IF(I5&gt;116,(116-I5)*(+D14+D15),0))</f>
        <v>150262298.89999998</v>
      </c>
      <c r="J19" s="13"/>
      <c r="L19" s="235" t="s">
        <v>522</v>
      </c>
      <c r="M19" s="7">
        <f>+E9+I33</f>
        <v>36000000</v>
      </c>
      <c r="N19" s="7" t="s">
        <v>523</v>
      </c>
      <c r="P19" s="7">
        <f>+M19/0.0302</f>
        <v>1192052980.1324503</v>
      </c>
      <c r="T19" s="236"/>
    </row>
    <row r="20" spans="1:20" ht="16.2" thickBot="1" x14ac:dyDescent="0.35">
      <c r="A20" s="299" t="s">
        <v>62</v>
      </c>
      <c r="B20" s="299"/>
      <c r="C20" s="299"/>
      <c r="D20" s="299"/>
      <c r="E20" s="299"/>
      <c r="H20" s="7" t="s">
        <v>119</v>
      </c>
      <c r="I20" s="7">
        <f>+'Daily Position'!P59</f>
        <v>-354391714.53352171</v>
      </c>
      <c r="M20" s="93"/>
      <c r="N20" s="104" t="s">
        <v>524</v>
      </c>
      <c r="O20" s="93"/>
      <c r="P20" s="27">
        <f>-B11</f>
        <v>-471001000</v>
      </c>
    </row>
    <row r="21" spans="1:20" x14ac:dyDescent="0.3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525</v>
      </c>
      <c r="O21" s="93"/>
      <c r="P21" s="13">
        <f>+P19+P20</f>
        <v>721051980.13245034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-277957151.20592046</v>
      </c>
      <c r="J22" s="13"/>
      <c r="K22" s="7"/>
      <c r="N22" s="7" t="s">
        <v>526</v>
      </c>
      <c r="P22" s="7">
        <f>-'Daily Position'!I65</f>
        <v>-625525845.66775024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-198191259.99584663</v>
      </c>
      <c r="J23" s="39" t="s">
        <v>66</v>
      </c>
      <c r="N23" s="7" t="s">
        <v>519</v>
      </c>
      <c r="P23" s="277">
        <f>+'Daily Position'!Q61</f>
        <v>-74791624.710549891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301" t="s">
        <v>106</v>
      </c>
      <c r="I25" s="301"/>
      <c r="J25" s="13"/>
      <c r="N25" s="7" t="s">
        <v>527</v>
      </c>
      <c r="P25" s="7">
        <f>+P21+P22+P23</f>
        <v>20734509.754150212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497</v>
      </c>
      <c r="I31" s="16">
        <f>I23</f>
        <v>-198191259.99584663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149</v>
      </c>
      <c r="B32" s="45"/>
      <c r="H32" s="13" t="s">
        <v>496</v>
      </c>
      <c r="I32" s="16">
        <f>(D14+D15)*(I5-E14)</f>
        <v>-70295033.899999976</v>
      </c>
      <c r="J32" s="39"/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3">
      <c r="A34" s="49">
        <f>+Summary!C5</f>
        <v>36962</v>
      </c>
      <c r="B34" s="13" t="s">
        <v>84</v>
      </c>
      <c r="C34"/>
      <c r="D34"/>
      <c r="E34"/>
      <c r="H34" s="13" t="s">
        <v>150</v>
      </c>
      <c r="I34" s="16">
        <f>-I15</f>
        <v>-55991566.502283104</v>
      </c>
      <c r="J34" s="33" t="s">
        <v>59</v>
      </c>
      <c r="L34" s="7" t="s">
        <v>78</v>
      </c>
      <c r="M34" s="7">
        <f>I23</f>
        <v>-198191259.99584663</v>
      </c>
    </row>
    <row r="35" spans="1:17" ht="16.2" thickBot="1" x14ac:dyDescent="0.35">
      <c r="A35" s="50">
        <f>A34-A33</f>
        <v>328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2" thickBot="1" x14ac:dyDescent="0.35">
      <c r="A36"/>
      <c r="B36"/>
      <c r="C36"/>
      <c r="D36"/>
      <c r="E36"/>
      <c r="H36" s="37" t="s">
        <v>107</v>
      </c>
      <c r="I36" s="38">
        <f>SUM(I29:I35)</f>
        <v>-142554795.3981297</v>
      </c>
      <c r="J36" s="13"/>
      <c r="L36" s="7" t="s">
        <v>80</v>
      </c>
      <c r="M36" s="7">
        <f>SUM(M33:M35)</f>
        <v>-203190259.99584663</v>
      </c>
    </row>
    <row r="37" spans="1:17" ht="16.5" customHeight="1" thickTop="1" x14ac:dyDescent="0.3">
      <c r="A37"/>
      <c r="B37"/>
      <c r="C37"/>
      <c r="D37"/>
      <c r="E37"/>
      <c r="H37" s="7" t="s">
        <v>492</v>
      </c>
      <c r="K37" s="7"/>
      <c r="L37" s="7" t="s">
        <v>157</v>
      </c>
      <c r="M37" s="7">
        <f>P13</f>
        <v>0</v>
      </c>
    </row>
    <row r="38" spans="1:17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-203190259.99584663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3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648850315.98723745</v>
      </c>
      <c r="Q44" s="107" t="s">
        <v>155</v>
      </c>
    </row>
    <row r="45" spans="1:17" x14ac:dyDescent="0.3">
      <c r="A45"/>
      <c r="B45"/>
      <c r="C45"/>
      <c r="D45"/>
      <c r="E45"/>
      <c r="F45" s="7"/>
      <c r="I45" s="7"/>
      <c r="L45" s="7" t="s">
        <v>473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3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-354391714.53352171</v>
      </c>
      <c r="P46" s="27">
        <f>+M46+O46</f>
        <v>285543424.53647834</v>
      </c>
    </row>
    <row r="47" spans="1:17" x14ac:dyDescent="0.3">
      <c r="A47"/>
      <c r="B47"/>
      <c r="C47"/>
      <c r="D47"/>
      <c r="E47"/>
      <c r="F47" s="7"/>
      <c r="I47" s="7"/>
      <c r="L47" s="7" t="s">
        <v>153</v>
      </c>
      <c r="P47" s="7">
        <f>+P44+P45+P46</f>
        <v>997502765.48371577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30124583.517608218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-30124583.517608218</v>
      </c>
    </row>
    <row r="53" spans="1:17" x14ac:dyDescent="0.3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7" max="7" width="10.5" customWidth="1"/>
  </cols>
  <sheetData>
    <row r="1" spans="1:4" ht="16.2" thickBot="1" x14ac:dyDescent="0.35">
      <c r="A1" s="308" t="s">
        <v>113</v>
      </c>
      <c r="B1" s="308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549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7"/>
      <c r="B6" s="14"/>
      <c r="C6" s="7"/>
    </row>
    <row r="7" spans="1:4" ht="16.2" thickBot="1" x14ac:dyDescent="0.35">
      <c r="A7" s="7" t="s">
        <v>90</v>
      </c>
      <c r="B7" s="268">
        <f>SUM(B3:B6)</f>
        <v>42462896.960000001</v>
      </c>
      <c r="C7" s="29" t="s">
        <v>91</v>
      </c>
    </row>
    <row r="8" spans="1:4" ht="16.2" thickTop="1" x14ac:dyDescent="0.3">
      <c r="A8" s="7"/>
      <c r="B8" s="14"/>
      <c r="C8" s="7"/>
    </row>
    <row r="9" spans="1:4" x14ac:dyDescent="0.3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481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474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476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100</v>
      </c>
      <c r="B15" s="14"/>
      <c r="C15" s="7"/>
    </row>
    <row r="16" spans="1:4" x14ac:dyDescent="0.3">
      <c r="A16" s="7" t="s">
        <v>482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3">
      <c r="A17" s="7" t="s">
        <v>483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3">
      <c r="A18" s="7"/>
      <c r="B18" s="14"/>
      <c r="C18" s="7"/>
      <c r="D18" s="1"/>
    </row>
    <row r="19" spans="1:6" x14ac:dyDescent="0.3">
      <c r="A19" s="7" t="s">
        <v>487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3">
      <c r="A20" s="7" t="s">
        <v>486</v>
      </c>
      <c r="B20" s="14">
        <f>-B19</f>
        <v>1613888.888888889</v>
      </c>
      <c r="C20" s="7"/>
      <c r="D20" s="1">
        <f>+D19</f>
        <v>36800</v>
      </c>
    </row>
    <row r="21" spans="1:6" x14ac:dyDescent="0.3">
      <c r="A21" s="7"/>
      <c r="B21" s="14"/>
      <c r="C21" s="7"/>
    </row>
    <row r="22" spans="1:6" ht="16.2" thickBot="1" x14ac:dyDescent="0.35">
      <c r="A22" s="308" t="s">
        <v>446</v>
      </c>
      <c r="B22" s="308"/>
      <c r="C22" s="308"/>
      <c r="D22" s="308"/>
      <c r="E22" s="308"/>
      <c r="F22" s="308"/>
    </row>
    <row r="24" spans="1:6" x14ac:dyDescent="0.3">
      <c r="A24" t="s">
        <v>129</v>
      </c>
      <c r="B24" s="1">
        <f>+Summary!C5</f>
        <v>36962</v>
      </c>
    </row>
    <row r="25" spans="1:6" x14ac:dyDescent="0.3">
      <c r="A25" t="s">
        <v>447</v>
      </c>
      <c r="B25" s="1">
        <v>36634</v>
      </c>
      <c r="D25" s="4">
        <f>IF(B24&gt;(B25-1),30000000,0)</f>
        <v>30000000</v>
      </c>
    </row>
    <row r="26" spans="1:6" x14ac:dyDescent="0.3">
      <c r="A26" t="s">
        <v>448</v>
      </c>
      <c r="B26" s="1">
        <v>36741</v>
      </c>
      <c r="D26" s="4">
        <f>IF(B24&gt;(B26-1),6000000,0)</f>
        <v>6000000</v>
      </c>
    </row>
    <row r="27" spans="1:6" ht="17.399999999999999" x14ac:dyDescent="0.45">
      <c r="A27" t="s">
        <v>449</v>
      </c>
      <c r="B27" s="1">
        <f>+Summary!C5</f>
        <v>36962</v>
      </c>
      <c r="D27" s="219">
        <f>IF(B27&gt;B26,+(+B27-B26)/365*0.12*D26,0)</f>
        <v>435945.20547945204</v>
      </c>
    </row>
    <row r="28" spans="1:6" x14ac:dyDescent="0.3">
      <c r="A28" t="s">
        <v>450</v>
      </c>
      <c r="D28" s="5">
        <f>SUM(D25:D27)</f>
        <v>36435945.205479451</v>
      </c>
    </row>
    <row r="29" spans="1:6" x14ac:dyDescent="0.3">
      <c r="A29" s="7"/>
      <c r="B29" s="14"/>
      <c r="C29" s="7"/>
    </row>
    <row r="30" spans="1:6" ht="16.2" thickBot="1" x14ac:dyDescent="0.35">
      <c r="A30" s="308" t="s">
        <v>108</v>
      </c>
      <c r="B30" s="308"/>
    </row>
    <row r="32" spans="1:6" x14ac:dyDescent="0.3">
      <c r="A32" t="s">
        <v>27</v>
      </c>
      <c r="B32" s="7">
        <f>+Financials!B6</f>
        <v>71001000</v>
      </c>
      <c r="D32" s="1">
        <v>36634</v>
      </c>
    </row>
    <row r="34" spans="1:5" x14ac:dyDescent="0.3">
      <c r="A34" t="s">
        <v>109</v>
      </c>
      <c r="B34" s="7">
        <f>+Financials!I23</f>
        <v>-198191259.99584663</v>
      </c>
    </row>
    <row r="35" spans="1:5" x14ac:dyDescent="0.3">
      <c r="A35" t="s">
        <v>110</v>
      </c>
      <c r="B35" s="7">
        <f>-Financials!I15</f>
        <v>-55991566.502283104</v>
      </c>
    </row>
    <row r="36" spans="1:5" x14ac:dyDescent="0.3">
      <c r="A36" s="7" t="str">
        <f>+Financials!H20</f>
        <v>Unrealized Gains / (Losses)</v>
      </c>
      <c r="B36" s="7">
        <f>-Financials!I20-Financials!I19</f>
        <v>204129415.63352174</v>
      </c>
    </row>
    <row r="38" spans="1:5" x14ac:dyDescent="0.3">
      <c r="A38" t="s">
        <v>112</v>
      </c>
    </row>
    <row r="39" spans="1:5" x14ac:dyDescent="0.3">
      <c r="A39" t="s">
        <v>114</v>
      </c>
      <c r="B39" s="7">
        <f>+Financials!B7-Financials!M9</f>
        <v>0</v>
      </c>
    </row>
    <row r="40" spans="1:5" x14ac:dyDescent="0.3">
      <c r="A40" t="s">
        <v>45</v>
      </c>
      <c r="B40" s="7">
        <f>0-Financials!M11</f>
        <v>-1575000</v>
      </c>
    </row>
    <row r="41" spans="1:5" x14ac:dyDescent="0.3">
      <c r="A41" t="s">
        <v>115</v>
      </c>
      <c r="B41" s="7">
        <f>-Financials!E7+Financials!P12</f>
        <v>67011296.409562349</v>
      </c>
    </row>
    <row r="42" spans="1:5" x14ac:dyDescent="0.3">
      <c r="A42" t="s">
        <v>485</v>
      </c>
      <c r="B42" s="7">
        <f>-Financials!E6+Financials!P8+Financials!P9</f>
        <v>-10362434.960000001</v>
      </c>
      <c r="E42" s="7"/>
    </row>
    <row r="44" spans="1:5" x14ac:dyDescent="0.3">
      <c r="A44" t="s">
        <v>100</v>
      </c>
      <c r="B44" s="7">
        <f>+B16</f>
        <v>-41000000</v>
      </c>
    </row>
    <row r="45" spans="1:5" x14ac:dyDescent="0.3">
      <c r="A45" t="s">
        <v>124</v>
      </c>
      <c r="B45" s="7">
        <f>+B17</f>
        <v>6000000</v>
      </c>
    </row>
    <row r="47" spans="1:5" ht="16.2" thickBot="1" x14ac:dyDescent="0.35">
      <c r="A47" t="s">
        <v>29</v>
      </c>
      <c r="B47" s="12">
        <f>SUM(B32:B46)</f>
        <v>41021450.584954351</v>
      </c>
      <c r="D47" s="7">
        <f>+B32+B16+B17+B50+B20</f>
        <v>41021450.584954374</v>
      </c>
      <c r="E47" s="7"/>
    </row>
    <row r="48" spans="1:5" ht="16.2" thickTop="1" x14ac:dyDescent="0.3"/>
    <row r="49" spans="1:8" ht="16.2" thickBot="1" x14ac:dyDescent="0.35">
      <c r="A49" s="308" t="s">
        <v>159</v>
      </c>
      <c r="B49" s="308"/>
      <c r="C49" s="308"/>
      <c r="D49" s="308"/>
      <c r="E49" s="308"/>
      <c r="F49" s="308"/>
    </row>
    <row r="50" spans="1:8" x14ac:dyDescent="0.3">
      <c r="A50" s="110" t="s">
        <v>118</v>
      </c>
      <c r="B50" s="111">
        <f>+B56+B62+B68</f>
        <v>3406561.6960654818</v>
      </c>
    </row>
    <row r="51" spans="1:8" x14ac:dyDescent="0.3">
      <c r="A51" s="53"/>
      <c r="E51" s="216" t="s">
        <v>82</v>
      </c>
      <c r="F51" s="217"/>
    </row>
    <row r="52" spans="1:8" x14ac:dyDescent="0.3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3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3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3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3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3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3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3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3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3">
      <c r="A62" t="s">
        <v>28</v>
      </c>
      <c r="B62" s="54">
        <f>+B59*(F61+0.0045)/360*B61</f>
        <v>475216.1948014815</v>
      </c>
    </row>
    <row r="64" spans="1:8" x14ac:dyDescent="0.3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3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3">
      <c r="A66" t="s">
        <v>1</v>
      </c>
      <c r="B66" s="1">
        <f>IF(Summary!$C$5&lt;'Cash-Int-Trans'!B64,+'Cash-Int-Trans'!B64,Summary!$C$5)</f>
        <v>36962</v>
      </c>
      <c r="E66" s="1">
        <v>36845</v>
      </c>
      <c r="F66" s="48">
        <v>7.1300000000000002E-2</v>
      </c>
      <c r="G66" s="1">
        <v>36965</v>
      </c>
    </row>
    <row r="67" spans="1:7" x14ac:dyDescent="0.3">
      <c r="A67" t="s">
        <v>81</v>
      </c>
      <c r="B67" s="3">
        <f>+B66-B64</f>
        <v>162</v>
      </c>
      <c r="E67" s="1">
        <v>36875</v>
      </c>
      <c r="F67" s="48">
        <v>6.88E-2</v>
      </c>
      <c r="G67" s="1">
        <v>36996</v>
      </c>
    </row>
    <row r="68" spans="1:7" x14ac:dyDescent="0.3">
      <c r="A68" t="s">
        <v>28</v>
      </c>
      <c r="B68" s="54">
        <f>+B65*(F68+0.0045)/360*B67</f>
        <v>1307463.880014</v>
      </c>
      <c r="E68" s="51" t="s">
        <v>86</v>
      </c>
      <c r="F68" s="52">
        <f>AVERAGE(F64:F67,H64:H67)</f>
        <v>6.8659999999999999E-2</v>
      </c>
    </row>
    <row r="70" spans="1:7" ht="16.2" thickBot="1" x14ac:dyDescent="0.35">
      <c r="A70" s="308" t="s">
        <v>191</v>
      </c>
      <c r="B70" s="308"/>
      <c r="C70" s="308"/>
      <c r="D70" s="308"/>
      <c r="E70" s="308"/>
      <c r="F70" s="308"/>
    </row>
    <row r="71" spans="1:7" x14ac:dyDescent="0.3">
      <c r="A71" s="110" t="s">
        <v>188</v>
      </c>
      <c r="B71" s="111">
        <f>+B73+E78+E82+E86+E90+E94+E98+E102+E106+E110+E114+E118</f>
        <v>25284022.837163631</v>
      </c>
    </row>
    <row r="72" spans="1:7" x14ac:dyDescent="0.3">
      <c r="A72" s="53"/>
    </row>
    <row r="73" spans="1:7" x14ac:dyDescent="0.3">
      <c r="A73" t="s">
        <v>192</v>
      </c>
      <c r="B73" s="3">
        <f>+Amort!B61</f>
        <v>24895046.253655866</v>
      </c>
      <c r="E73" s="306"/>
      <c r="F73" s="307"/>
    </row>
    <row r="74" spans="1:7" x14ac:dyDescent="0.3">
      <c r="B74" s="3"/>
      <c r="E74" s="216"/>
      <c r="F74" s="217"/>
    </row>
    <row r="75" spans="1:7" x14ac:dyDescent="0.3">
      <c r="A75" t="s">
        <v>442</v>
      </c>
      <c r="B75" s="7"/>
      <c r="E75" s="47"/>
      <c r="F75" s="48"/>
    </row>
    <row r="76" spans="1:7" x14ac:dyDescent="0.3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3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3">
      <c r="A78" s="7" t="str">
        <f>+A9</f>
        <v>Cash Settlement on Put</v>
      </c>
      <c r="D78" t="s">
        <v>441</v>
      </c>
      <c r="E78" s="54">
        <f>+B77*0.07/360*E77</f>
        <v>45497.135444444444</v>
      </c>
    </row>
    <row r="79" spans="1:7" x14ac:dyDescent="0.3">
      <c r="A79" s="7"/>
      <c r="E79" s="54"/>
    </row>
    <row r="80" spans="1:7" x14ac:dyDescent="0.3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3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3">
      <c r="A82" s="7" t="str">
        <f>+A12</f>
        <v>Merlin Credit Derivative Put Premium</v>
      </c>
      <c r="D82" t="s">
        <v>441</v>
      </c>
      <c r="E82" s="54">
        <f>+B81*0.07/360*E81</f>
        <v>-413760.76894444448</v>
      </c>
    </row>
    <row r="83" spans="1:5" x14ac:dyDescent="0.3">
      <c r="A83" s="7"/>
      <c r="E83" s="54"/>
    </row>
    <row r="84" spans="1:5" x14ac:dyDescent="0.3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36962</v>
      </c>
    </row>
    <row r="85" spans="1:5" x14ac:dyDescent="0.3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131</v>
      </c>
    </row>
    <row r="86" spans="1:5" x14ac:dyDescent="0.3">
      <c r="A86" t="s">
        <v>551</v>
      </c>
      <c r="B86" s="1">
        <f>+'Daily Position'!J20</f>
        <v>36831</v>
      </c>
      <c r="D86" t="s">
        <v>441</v>
      </c>
      <c r="E86" s="54">
        <f>+B85*0.07/360*E85</f>
        <v>-1668.7107500000002</v>
      </c>
    </row>
    <row r="87" spans="1:5" x14ac:dyDescent="0.3">
      <c r="A87" s="7"/>
      <c r="E87" s="54"/>
    </row>
    <row r="88" spans="1:5" x14ac:dyDescent="0.3">
      <c r="A88" t="s">
        <v>193</v>
      </c>
      <c r="B88" s="1">
        <v>36844</v>
      </c>
      <c r="D88" t="s">
        <v>1</v>
      </c>
      <c r="E88" s="1">
        <f>IF(Summary!$C$5&gt;Amort!$A$44,Amort!$A$44,Summary!$C$5)</f>
        <v>36962</v>
      </c>
    </row>
    <row r="89" spans="1:5" x14ac:dyDescent="0.3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118</v>
      </c>
    </row>
    <row r="90" spans="1:5" x14ac:dyDescent="0.3">
      <c r="A90" t="s">
        <v>530</v>
      </c>
      <c r="B90" s="1">
        <f>+'Daily Position'!J10</f>
        <v>36839</v>
      </c>
      <c r="D90" t="s">
        <v>441</v>
      </c>
      <c r="E90" s="54">
        <f>+B89*0.07/360*E89</f>
        <v>-6863.0962909127629</v>
      </c>
    </row>
    <row r="91" spans="1:5" x14ac:dyDescent="0.3">
      <c r="B91" s="1"/>
      <c r="E91" s="54"/>
    </row>
    <row r="92" spans="1:5" x14ac:dyDescent="0.3">
      <c r="A92" t="s">
        <v>193</v>
      </c>
      <c r="B92" s="1">
        <v>36873</v>
      </c>
      <c r="D92" t="s">
        <v>1</v>
      </c>
      <c r="E92" s="1">
        <f>IF(Summary!$C$5&gt;Amort!$A$44,Amort!$A$44,Summary!$C$5)</f>
        <v>36962</v>
      </c>
    </row>
    <row r="93" spans="1:5" x14ac:dyDescent="0.3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89</v>
      </c>
    </row>
    <row r="94" spans="1:5" x14ac:dyDescent="0.3">
      <c r="A94" t="s">
        <v>531</v>
      </c>
      <c r="B94" s="1">
        <f>+'Daily Position'!J13</f>
        <v>36868</v>
      </c>
      <c r="D94" t="s">
        <v>441</v>
      </c>
      <c r="E94" s="54">
        <f>+B93*0.07/360*E93</f>
        <v>20178.279863962514</v>
      </c>
    </row>
    <row r="96" spans="1:5" x14ac:dyDescent="0.3">
      <c r="A96" t="s">
        <v>193</v>
      </c>
      <c r="B96" s="1">
        <v>36879</v>
      </c>
      <c r="D96" t="s">
        <v>1</v>
      </c>
      <c r="E96" s="1">
        <f>IF(Summary!$C$5&gt;Amort!$A$44,Amort!$A$44,Summary!$C$5)</f>
        <v>36962</v>
      </c>
    </row>
    <row r="97" spans="1:5" x14ac:dyDescent="0.3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83</v>
      </c>
    </row>
    <row r="98" spans="1:5" x14ac:dyDescent="0.3">
      <c r="A98" t="s">
        <v>532</v>
      </c>
      <c r="B98" s="1">
        <v>36874</v>
      </c>
      <c r="D98" t="s">
        <v>441</v>
      </c>
      <c r="E98" s="54">
        <f>+B97*0.07/360*E97</f>
        <v>-9671.3928150000029</v>
      </c>
    </row>
    <row r="99" spans="1:5" x14ac:dyDescent="0.3">
      <c r="B99" s="3"/>
    </row>
    <row r="100" spans="1:5" x14ac:dyDescent="0.3">
      <c r="A100" t="s">
        <v>193</v>
      </c>
      <c r="B100" s="1">
        <v>36893</v>
      </c>
      <c r="D100" t="s">
        <v>1</v>
      </c>
      <c r="E100" s="1">
        <f>IF(Summary!$C$5&gt;Amort!$A$44,Amort!$A$44,Summary!$C$5)</f>
        <v>36962</v>
      </c>
    </row>
    <row r="101" spans="1:5" x14ac:dyDescent="0.3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69</v>
      </c>
    </row>
    <row r="102" spans="1:5" x14ac:dyDescent="0.3">
      <c r="A102" t="s">
        <v>533</v>
      </c>
      <c r="B102" s="1">
        <v>36888</v>
      </c>
      <c r="D102" t="s">
        <v>441</v>
      </c>
      <c r="E102" s="54">
        <f>+B101*0.07/360*E101</f>
        <v>32430.484782500003</v>
      </c>
    </row>
    <row r="104" spans="1:5" x14ac:dyDescent="0.3">
      <c r="A104" t="s">
        <v>193</v>
      </c>
      <c r="B104" s="1">
        <v>36894</v>
      </c>
      <c r="D104" t="s">
        <v>1</v>
      </c>
      <c r="E104" s="1">
        <f>IF(Summary!$C$5&gt;Amort!$A$44,Amort!$A$44,Summary!$C$5)</f>
        <v>36962</v>
      </c>
    </row>
    <row r="105" spans="1:5" x14ac:dyDescent="0.3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68</v>
      </c>
    </row>
    <row r="106" spans="1:5" x14ac:dyDescent="0.3">
      <c r="A106" t="s">
        <v>534</v>
      </c>
      <c r="B106" s="1">
        <v>36889</v>
      </c>
      <c r="D106" t="s">
        <v>441</v>
      </c>
      <c r="E106" s="54">
        <f>+B105*0.07/360*E105</f>
        <v>11734.722222222223</v>
      </c>
    </row>
    <row r="108" spans="1:5" x14ac:dyDescent="0.3">
      <c r="A108" t="s">
        <v>193</v>
      </c>
      <c r="B108" s="1">
        <v>36907</v>
      </c>
      <c r="D108" t="s">
        <v>1</v>
      </c>
      <c r="E108" s="1">
        <f>IF(Summary!$C$5&gt;Amort!$A$44,Amort!$A$44,Summary!$C$5)</f>
        <v>36962</v>
      </c>
    </row>
    <row r="109" spans="1:5" x14ac:dyDescent="0.3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55</v>
      </c>
    </row>
    <row r="110" spans="1:5" x14ac:dyDescent="0.3">
      <c r="A110" t="s">
        <v>535</v>
      </c>
      <c r="B110" s="1">
        <v>36902</v>
      </c>
      <c r="D110" t="s">
        <v>441</v>
      </c>
      <c r="E110" s="54">
        <f>+B109*0.07/360*E109</f>
        <v>1412.3192416666666</v>
      </c>
    </row>
    <row r="112" spans="1:5" x14ac:dyDescent="0.3">
      <c r="A112" t="s">
        <v>193</v>
      </c>
      <c r="B112" s="1">
        <v>36910</v>
      </c>
      <c r="D112" t="s">
        <v>1</v>
      </c>
      <c r="E112" s="1">
        <f>IF(Summary!$C$5&gt;Amort!$A$44,Amort!$A$44,Summary!$C$5)</f>
        <v>36962</v>
      </c>
    </row>
    <row r="113" spans="1:5" x14ac:dyDescent="0.3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52</v>
      </c>
    </row>
    <row r="114" spans="1:5" x14ac:dyDescent="0.3">
      <c r="A114" t="s">
        <v>536</v>
      </c>
      <c r="B114" s="1">
        <v>36907</v>
      </c>
      <c r="D114" t="s">
        <v>441</v>
      </c>
      <c r="E114" s="54">
        <f>+B113*0.07/360*E113</f>
        <v>71585.260615554362</v>
      </c>
    </row>
    <row r="116" spans="1:5" x14ac:dyDescent="0.3">
      <c r="A116" t="s">
        <v>193</v>
      </c>
      <c r="B116" s="1">
        <v>36910</v>
      </c>
      <c r="D116" t="s">
        <v>1</v>
      </c>
      <c r="E116" s="1">
        <f>IF(Summary!$C$5&gt;Amort!$A$44,Amort!$A$44,Summary!$C$5)</f>
        <v>36962</v>
      </c>
    </row>
    <row r="117" spans="1:5" x14ac:dyDescent="0.3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52</v>
      </c>
    </row>
    <row r="118" spans="1:5" x14ac:dyDescent="0.3">
      <c r="A118" t="s">
        <v>550</v>
      </c>
      <c r="B118" s="1">
        <f>+B116</f>
        <v>36910</v>
      </c>
      <c r="D118" t="s">
        <v>441</v>
      </c>
      <c r="E118" s="54">
        <f>+B117*0.07/360*E117</f>
        <v>638102.35013777786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4" workbookViewId="0">
      <selection activeCell="D43" sqref="D43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185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9">
        <f>+Summary!C5</f>
        <v>36962</v>
      </c>
      <c r="B23" s="309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162</v>
      </c>
      <c r="E27" s="117"/>
    </row>
    <row r="28" spans="1:9" s="104" customFormat="1" x14ac:dyDescent="0.3">
      <c r="A28" s="117" t="s">
        <v>30</v>
      </c>
      <c r="B28" s="104">
        <f>F25*B27/(F26-F24)</f>
        <v>1575000</v>
      </c>
    </row>
    <row r="29" spans="1:9" s="104" customFormat="1" x14ac:dyDescent="0.3">
      <c r="A29" s="117" t="s">
        <v>31</v>
      </c>
      <c r="B29" s="104">
        <f>+B25+B28</f>
        <v>3188888.888888889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439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74584975.789406493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468490794.57530862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468490794.57530862</v>
      </c>
      <c r="D45" s="7">
        <v>0</v>
      </c>
      <c r="E45" s="7">
        <v>0</v>
      </c>
      <c r="F45" s="7">
        <f t="shared" si="12"/>
        <v>16670464.1069714</v>
      </c>
      <c r="G45" s="7">
        <f t="shared" si="13"/>
        <v>485161258.68228</v>
      </c>
      <c r="H45" s="7">
        <f t="shared" si="11"/>
        <v>43045008.526373528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485161258.68228</v>
      </c>
      <c r="D46" s="7">
        <v>0</v>
      </c>
      <c r="E46" s="7">
        <v>0</v>
      </c>
      <c r="F46" s="7">
        <f t="shared" si="12"/>
        <v>17169317.876700688</v>
      </c>
      <c r="G46" s="7">
        <f t="shared" si="13"/>
        <v>502330576.5589807</v>
      </c>
      <c r="H46" s="7">
        <f t="shared" si="11"/>
        <v>60214326.40307422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502330576.5589807</v>
      </c>
      <c r="D47" s="7">
        <v>0</v>
      </c>
      <c r="E47" s="7">
        <v>0</v>
      </c>
      <c r="F47" s="7">
        <f t="shared" si="12"/>
        <v>17874596.349223733</v>
      </c>
      <c r="G47" s="7">
        <f t="shared" si="13"/>
        <v>520205172.90820444</v>
      </c>
      <c r="H47" s="7">
        <f t="shared" si="11"/>
        <v>78088922.752297953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520205172.90820444</v>
      </c>
      <c r="D48" s="7">
        <v>0</v>
      </c>
      <c r="E48" s="7">
        <v>0</v>
      </c>
      <c r="F48" s="7">
        <f t="shared" si="12"/>
        <v>18409483.063473683</v>
      </c>
      <c r="G48" s="7">
        <f t="shared" si="13"/>
        <v>538614655.97167814</v>
      </c>
      <c r="H48" s="7">
        <f t="shared" si="11"/>
        <v>96498405.815771639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538614655.97167814</v>
      </c>
      <c r="D49" s="7">
        <v>0</v>
      </c>
      <c r="E49" s="7">
        <v>0</v>
      </c>
      <c r="F49" s="7">
        <f t="shared" si="12"/>
        <v>19165704.841658883</v>
      </c>
      <c r="G49" s="7">
        <f t="shared" si="13"/>
        <v>557780360.81333697</v>
      </c>
      <c r="H49" s="7">
        <f t="shared" si="11"/>
        <v>115664110.65743053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557780360.81333697</v>
      </c>
      <c r="D50" s="7">
        <v>0</v>
      </c>
      <c r="E50" s="7">
        <v>0</v>
      </c>
      <c r="F50" s="7">
        <f t="shared" si="12"/>
        <v>19847684.50560791</v>
      </c>
      <c r="G50" s="7">
        <f t="shared" si="13"/>
        <v>577628045.31894493</v>
      </c>
      <c r="H50" s="7">
        <f t="shared" si="11"/>
        <v>135511795.16303843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577628045.31894493</v>
      </c>
      <c r="D51" s="7">
        <v>0</v>
      </c>
      <c r="E51" s="7">
        <v>0</v>
      </c>
      <c r="F51" s="7">
        <f t="shared" si="12"/>
        <v>20553931.279265791</v>
      </c>
      <c r="G51" s="7">
        <f t="shared" si="13"/>
        <v>598181976.59821069</v>
      </c>
      <c r="H51" s="7">
        <f t="shared" si="11"/>
        <v>156065726.44230422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598181976.59821069</v>
      </c>
      <c r="D52" s="7">
        <v>0</v>
      </c>
      <c r="E52" s="7">
        <v>0</v>
      </c>
      <c r="F52" s="7">
        <f t="shared" si="12"/>
        <v>21168995.505170014</v>
      </c>
      <c r="G52" s="7">
        <f t="shared" si="13"/>
        <v>619350972.10338068</v>
      </c>
      <c r="H52" s="7">
        <f t="shared" si="11"/>
        <v>177234721.94747424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42116250.155906491</v>
      </c>
      <c r="E53" s="12">
        <f>SUM(E43:E52)</f>
        <v>0</v>
      </c>
      <c r="F53" s="12">
        <f>SUM(F43:F52)</f>
        <v>177234721.94747424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9">
        <f>+Summary!C5</f>
        <v>36962</v>
      </c>
      <c r="B55" s="309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162</v>
      </c>
      <c r="C59" s="104"/>
      <c r="D59" s="104"/>
      <c r="E59" s="117"/>
      <c r="F59" s="104"/>
      <c r="G59" s="104"/>
    </row>
    <row r="60" spans="1:9" x14ac:dyDescent="0.3">
      <c r="A60" s="117" t="s">
        <v>187</v>
      </c>
      <c r="B60" s="104">
        <f>F57*B59/(F58-F56)</f>
        <v>11983935.142544752</v>
      </c>
      <c r="C60" s="104"/>
      <c r="D60" s="104"/>
      <c r="E60" s="104"/>
      <c r="F60" s="104"/>
      <c r="G60" s="104"/>
    </row>
    <row r="61" spans="1:9" x14ac:dyDescent="0.3">
      <c r="A61" s="117" t="s">
        <v>188</v>
      </c>
      <c r="B61" s="104">
        <f>+B57+B60</f>
        <v>24895046.253655866</v>
      </c>
      <c r="C61" s="104"/>
      <c r="D61" s="104"/>
      <c r="E61" s="104"/>
      <c r="F61" s="104"/>
      <c r="G61" s="104"/>
    </row>
    <row r="63" spans="1:9" x14ac:dyDescent="0.3">
      <c r="A63" s="7" t="s">
        <v>443</v>
      </c>
    </row>
    <row r="64" spans="1:9" x14ac:dyDescent="0.3">
      <c r="A64" s="1">
        <f>+'Cash-Int-Trans'!B76</f>
        <v>36741</v>
      </c>
      <c r="B64" s="7" t="s">
        <v>440</v>
      </c>
      <c r="E64" s="7">
        <f>+'Cash-Int-Trans'!B77</f>
        <v>3965852</v>
      </c>
    </row>
    <row r="65" spans="1:5" x14ac:dyDescent="0.3">
      <c r="A65" s="1">
        <f>+A64</f>
        <v>36741</v>
      </c>
      <c r="B65" s="7" t="s">
        <v>444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3">
      <c r="A66" s="1">
        <f>+'Cash-Int-Trans'!B80</f>
        <v>36741</v>
      </c>
      <c r="B66" s="7" t="s">
        <v>475</v>
      </c>
      <c r="E66" s="104">
        <f>+'Cash-Int-Trans'!B81</f>
        <v>-36066314</v>
      </c>
    </row>
    <row r="67" spans="1:5" x14ac:dyDescent="0.3">
      <c r="A67" s="1">
        <f>+A66</f>
        <v>36741</v>
      </c>
      <c r="B67" s="7" t="s">
        <v>444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3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3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3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3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3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3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3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3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3">
      <c r="A79" s="1"/>
      <c r="B79" s="7" t="s">
        <v>441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757240.2170077709</v>
      </c>
    </row>
    <row r="80" spans="1:5" x14ac:dyDescent="0.3">
      <c r="A80" s="1"/>
      <c r="D80" s="1"/>
      <c r="E80" s="7">
        <f>SUM(E70:E79)</f>
        <v>74584975.789406493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workbookViewId="0"/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3.5" hidden="1" customWidth="1"/>
    <col min="47" max="47" width="10.59765625" hidden="1" customWidth="1"/>
    <col min="48" max="48" width="14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2.59765625" hidden="1" customWidth="1"/>
    <col min="57" max="57" width="10.59765625" hidden="1" customWidth="1"/>
    <col min="58" max="58" width="12.69921875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0.6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234</v>
      </c>
      <c r="K1" s="144" t="s">
        <v>235</v>
      </c>
      <c r="L1" s="145"/>
      <c r="M1" s="144"/>
      <c r="N1" s="146"/>
      <c r="O1" s="145" t="s">
        <v>236</v>
      </c>
      <c r="P1" s="145" t="s">
        <v>237</v>
      </c>
      <c r="Q1" s="145" t="s">
        <v>238</v>
      </c>
      <c r="R1" s="311" t="s">
        <v>239</v>
      </c>
      <c r="S1" s="311"/>
      <c r="T1" s="311"/>
      <c r="U1" s="240" t="s">
        <v>236</v>
      </c>
      <c r="V1" s="145" t="s">
        <v>4</v>
      </c>
      <c r="W1" s="145"/>
      <c r="X1" s="147"/>
      <c r="Y1" s="145"/>
      <c r="Z1" s="147"/>
      <c r="AA1" s="147"/>
      <c r="AB1" s="147"/>
      <c r="AC1" s="240" t="s">
        <v>240</v>
      </c>
      <c r="AD1" s="310" t="s">
        <v>241</v>
      </c>
      <c r="AE1" s="310"/>
      <c r="AF1" s="310"/>
      <c r="AG1" s="310"/>
      <c r="AH1" s="310"/>
      <c r="AI1" s="310"/>
      <c r="AJ1" s="310"/>
      <c r="AK1" s="310"/>
      <c r="AL1" s="148"/>
      <c r="AM1" s="147"/>
      <c r="AN1" s="148"/>
      <c r="AO1" s="147"/>
      <c r="AP1" s="147"/>
      <c r="AQ1" s="147" t="s">
        <v>242</v>
      </c>
      <c r="AR1" s="146"/>
      <c r="AS1" s="145" t="s">
        <v>236</v>
      </c>
      <c r="AT1" s="310" t="s">
        <v>243</v>
      </c>
      <c r="AU1" s="310"/>
      <c r="AV1" s="310"/>
      <c r="AW1" s="310"/>
      <c r="AX1" s="310"/>
      <c r="AY1" s="310"/>
      <c r="AZ1" s="310"/>
      <c r="BA1" s="310"/>
      <c r="BB1" s="147" t="s">
        <v>234</v>
      </c>
      <c r="BC1" s="147" t="s">
        <v>235</v>
      </c>
      <c r="BD1" s="310" t="s">
        <v>244</v>
      </c>
      <c r="BE1" s="310"/>
      <c r="BF1" s="310"/>
      <c r="BG1" s="310"/>
      <c r="BH1" s="310"/>
      <c r="BI1" s="310"/>
      <c r="BJ1" s="310"/>
      <c r="BK1" s="310"/>
      <c r="BL1" s="147" t="s">
        <v>235</v>
      </c>
      <c r="BM1" s="147" t="s">
        <v>245</v>
      </c>
      <c r="BN1" s="147" t="s">
        <v>246</v>
      </c>
      <c r="BO1" s="147" t="s">
        <v>247</v>
      </c>
      <c r="BP1" s="147"/>
      <c r="BQ1" s="145"/>
      <c r="BR1" s="144"/>
      <c r="BS1" s="147"/>
      <c r="BT1" s="147" t="s">
        <v>248</v>
      </c>
      <c r="BU1" s="221" t="s">
        <v>249</v>
      </c>
      <c r="BV1" s="147"/>
      <c r="BW1" s="147" t="s">
        <v>248</v>
      </c>
      <c r="BX1" s="147" t="s">
        <v>250</v>
      </c>
      <c r="BY1" s="145"/>
      <c r="BZ1" s="145"/>
      <c r="CA1" s="145"/>
      <c r="CB1" s="145"/>
      <c r="CC1" s="145"/>
      <c r="CD1" s="145"/>
      <c r="CE1" s="145"/>
      <c r="CF1" s="145"/>
      <c r="CG1" s="312" t="s">
        <v>251</v>
      </c>
      <c r="CH1" s="312"/>
      <c r="CI1" s="312"/>
      <c r="CJ1" s="312"/>
      <c r="CK1" s="144" t="s">
        <v>252</v>
      </c>
      <c r="CL1" s="144" t="s">
        <v>253</v>
      </c>
    </row>
    <row r="2" spans="1:90" x14ac:dyDescent="0.3">
      <c r="A2" s="149"/>
      <c r="B2" s="149"/>
      <c r="C2" s="149" t="s">
        <v>254</v>
      </c>
      <c r="D2" s="149"/>
      <c r="E2" s="149"/>
      <c r="F2" s="149"/>
      <c r="G2" s="149"/>
      <c r="H2" s="149" t="s">
        <v>255</v>
      </c>
      <c r="I2" s="150"/>
      <c r="J2" s="151" t="s">
        <v>256</v>
      </c>
      <c r="K2" s="151" t="s">
        <v>256</v>
      </c>
      <c r="L2" s="152"/>
      <c r="M2" s="151" t="s">
        <v>257</v>
      </c>
      <c r="N2" s="138"/>
      <c r="O2" s="152" t="s">
        <v>140</v>
      </c>
      <c r="P2" s="152" t="s">
        <v>258</v>
      </c>
      <c r="Q2" s="152" t="s">
        <v>258</v>
      </c>
      <c r="R2" s="152"/>
      <c r="S2" s="152"/>
      <c r="T2" s="152"/>
      <c r="U2" s="241" t="s">
        <v>140</v>
      </c>
      <c r="V2" s="152" t="s">
        <v>259</v>
      </c>
      <c r="W2" s="152" t="s">
        <v>260</v>
      </c>
      <c r="X2" s="152" t="s">
        <v>261</v>
      </c>
      <c r="Y2" s="152" t="s">
        <v>58</v>
      </c>
      <c r="Z2" s="152" t="s">
        <v>260</v>
      </c>
      <c r="AA2" s="152" t="s">
        <v>261</v>
      </c>
      <c r="AB2" s="152" t="s">
        <v>58</v>
      </c>
      <c r="AC2" s="241" t="s">
        <v>236</v>
      </c>
      <c r="AD2" s="313" t="s">
        <v>262</v>
      </c>
      <c r="AE2" s="313"/>
      <c r="AF2" s="313"/>
      <c r="AG2" s="313"/>
      <c r="AH2" s="314" t="s">
        <v>263</v>
      </c>
      <c r="AI2" s="310"/>
      <c r="AJ2" s="310"/>
      <c r="AK2" s="315"/>
      <c r="AL2" s="153">
        <v>36525</v>
      </c>
      <c r="AM2" s="154" t="s">
        <v>513</v>
      </c>
      <c r="AN2" s="152" t="s">
        <v>264</v>
      </c>
      <c r="AO2" s="152" t="s">
        <v>265</v>
      </c>
      <c r="AP2" s="152" t="s">
        <v>266</v>
      </c>
      <c r="AQ2" s="152" t="s">
        <v>267</v>
      </c>
      <c r="AR2" s="138" t="s">
        <v>268</v>
      </c>
      <c r="AS2" s="152" t="s">
        <v>140</v>
      </c>
      <c r="AT2" s="313" t="s">
        <v>269</v>
      </c>
      <c r="AU2" s="313"/>
      <c r="AV2" s="313"/>
      <c r="AW2" s="313"/>
      <c r="AX2" s="313" t="s">
        <v>264</v>
      </c>
      <c r="AY2" s="313"/>
      <c r="AZ2" s="313"/>
      <c r="BA2" s="313"/>
      <c r="BB2" s="152" t="s">
        <v>267</v>
      </c>
      <c r="BC2" s="152" t="s">
        <v>267</v>
      </c>
      <c r="BD2" s="313" t="s">
        <v>269</v>
      </c>
      <c r="BE2" s="313"/>
      <c r="BF2" s="313"/>
      <c r="BG2" s="313"/>
      <c r="BH2" s="313" t="s">
        <v>264</v>
      </c>
      <c r="BI2" s="313"/>
      <c r="BJ2" s="313"/>
      <c r="BK2" s="313"/>
      <c r="BL2" s="152" t="s">
        <v>266</v>
      </c>
      <c r="BM2" s="152" t="s">
        <v>270</v>
      </c>
      <c r="BN2" s="152" t="s">
        <v>271</v>
      </c>
      <c r="BO2" s="152" t="s">
        <v>272</v>
      </c>
      <c r="BP2" s="155" t="s">
        <v>235</v>
      </c>
      <c r="BQ2" s="152" t="s">
        <v>273</v>
      </c>
      <c r="BR2" s="151" t="s">
        <v>21</v>
      </c>
      <c r="BS2" s="152" t="s">
        <v>274</v>
      </c>
      <c r="BT2" s="152" t="s">
        <v>253</v>
      </c>
      <c r="BU2" s="222" t="s">
        <v>275</v>
      </c>
      <c r="BV2" s="155" t="s">
        <v>276</v>
      </c>
      <c r="BW2" s="152" t="s">
        <v>267</v>
      </c>
      <c r="BX2" s="152" t="s">
        <v>267</v>
      </c>
      <c r="BY2" s="152" t="s">
        <v>262</v>
      </c>
      <c r="BZ2" s="152" t="s">
        <v>269</v>
      </c>
      <c r="CA2" s="152" t="s">
        <v>263</v>
      </c>
      <c r="CB2" s="152" t="s">
        <v>264</v>
      </c>
      <c r="CC2" s="152" t="s">
        <v>262</v>
      </c>
      <c r="CD2" s="152" t="s">
        <v>269</v>
      </c>
      <c r="CE2" s="152" t="s">
        <v>263</v>
      </c>
      <c r="CF2" s="152" t="s">
        <v>264</v>
      </c>
      <c r="CG2" s="313" t="s">
        <v>277</v>
      </c>
      <c r="CH2" s="313"/>
      <c r="CI2" s="313"/>
      <c r="CJ2" s="313"/>
      <c r="CK2" s="151" t="s">
        <v>278</v>
      </c>
      <c r="CL2" s="151" t="s">
        <v>252</v>
      </c>
    </row>
    <row r="3" spans="1:90" x14ac:dyDescent="0.3">
      <c r="A3" s="156" t="s">
        <v>279</v>
      </c>
      <c r="B3" s="156" t="s">
        <v>280</v>
      </c>
      <c r="C3" s="156" t="s">
        <v>281</v>
      </c>
      <c r="D3" s="156" t="s">
        <v>282</v>
      </c>
      <c r="E3" s="156" t="s">
        <v>260</v>
      </c>
      <c r="F3" s="156" t="s">
        <v>145</v>
      </c>
      <c r="G3" s="156" t="s">
        <v>257</v>
      </c>
      <c r="H3" s="156" t="s">
        <v>283</v>
      </c>
      <c r="I3" s="157" t="s">
        <v>274</v>
      </c>
      <c r="J3" s="158" t="s">
        <v>284</v>
      </c>
      <c r="K3" s="158" t="s">
        <v>284</v>
      </c>
      <c r="L3" s="159" t="s">
        <v>265</v>
      </c>
      <c r="M3" s="158" t="s">
        <v>285</v>
      </c>
      <c r="N3" s="158" t="s">
        <v>268</v>
      </c>
      <c r="O3" s="159" t="s">
        <v>286</v>
      </c>
      <c r="P3" s="159" t="s">
        <v>286</v>
      </c>
      <c r="Q3" s="159" t="s">
        <v>286</v>
      </c>
      <c r="R3" s="160" t="s">
        <v>287</v>
      </c>
      <c r="S3" s="160" t="s">
        <v>287</v>
      </c>
      <c r="T3" s="160" t="s">
        <v>287</v>
      </c>
      <c r="U3" s="242">
        <v>36962</v>
      </c>
      <c r="V3" s="160" t="s">
        <v>288</v>
      </c>
      <c r="W3" s="160" t="s">
        <v>7</v>
      </c>
      <c r="X3" s="160" t="s">
        <v>7</v>
      </c>
      <c r="Y3" s="160" t="s">
        <v>7</v>
      </c>
      <c r="Z3" s="160" t="s">
        <v>289</v>
      </c>
      <c r="AA3" s="160" t="s">
        <v>289</v>
      </c>
      <c r="AB3" s="160" t="s">
        <v>289</v>
      </c>
      <c r="AC3" s="242" t="s">
        <v>140</v>
      </c>
      <c r="AD3" s="161" t="s">
        <v>290</v>
      </c>
      <c r="AE3" s="161" t="s">
        <v>291</v>
      </c>
      <c r="AF3" s="161" t="s">
        <v>292</v>
      </c>
      <c r="AG3" s="161" t="s">
        <v>293</v>
      </c>
      <c r="AH3" s="243" t="s">
        <v>290</v>
      </c>
      <c r="AI3" s="161" t="s">
        <v>291</v>
      </c>
      <c r="AJ3" s="161" t="s">
        <v>292</v>
      </c>
      <c r="AK3" s="244" t="s">
        <v>293</v>
      </c>
      <c r="AL3" s="161" t="s">
        <v>294</v>
      </c>
      <c r="AM3" s="160" t="s">
        <v>295</v>
      </c>
      <c r="AN3" s="160" t="s">
        <v>296</v>
      </c>
      <c r="AO3" s="160" t="s">
        <v>297</v>
      </c>
      <c r="AP3" s="160" t="s">
        <v>295</v>
      </c>
      <c r="AQ3" s="160" t="s">
        <v>298</v>
      </c>
      <c r="AR3" s="162" t="s">
        <v>297</v>
      </c>
      <c r="AS3" s="159" t="s">
        <v>299</v>
      </c>
      <c r="AT3" s="161" t="s">
        <v>290</v>
      </c>
      <c r="AU3" s="161" t="s">
        <v>291</v>
      </c>
      <c r="AV3" s="161" t="s">
        <v>292</v>
      </c>
      <c r="AW3" s="161" t="s">
        <v>293</v>
      </c>
      <c r="AX3" s="161" t="s">
        <v>290</v>
      </c>
      <c r="AY3" s="161" t="s">
        <v>291</v>
      </c>
      <c r="AZ3" s="161" t="s">
        <v>292</v>
      </c>
      <c r="BA3" s="161" t="s">
        <v>293</v>
      </c>
      <c r="BB3" s="159" t="s">
        <v>286</v>
      </c>
      <c r="BC3" s="159" t="s">
        <v>286</v>
      </c>
      <c r="BD3" s="161" t="s">
        <v>290</v>
      </c>
      <c r="BE3" s="161" t="s">
        <v>291</v>
      </c>
      <c r="BF3" s="161" t="s">
        <v>292</v>
      </c>
      <c r="BG3" s="161" t="s">
        <v>293</v>
      </c>
      <c r="BH3" s="161" t="s">
        <v>290</v>
      </c>
      <c r="BI3" s="161" t="s">
        <v>291</v>
      </c>
      <c r="BJ3" s="161" t="s">
        <v>292</v>
      </c>
      <c r="BK3" s="161" t="s">
        <v>293</v>
      </c>
      <c r="BL3" s="160" t="s">
        <v>295</v>
      </c>
      <c r="BM3" s="160" t="s">
        <v>300</v>
      </c>
      <c r="BN3" s="160" t="s">
        <v>301</v>
      </c>
      <c r="BO3" s="160" t="s">
        <v>302</v>
      </c>
      <c r="BP3" s="161" t="s">
        <v>292</v>
      </c>
      <c r="BQ3" s="159" t="s">
        <v>286</v>
      </c>
      <c r="BR3" s="158" t="s">
        <v>303</v>
      </c>
      <c r="BS3" s="159" t="s">
        <v>283</v>
      </c>
      <c r="BT3" s="159" t="s">
        <v>296</v>
      </c>
      <c r="BU3" s="223" t="s">
        <v>304</v>
      </c>
      <c r="BV3" s="161" t="s">
        <v>305</v>
      </c>
      <c r="BW3" s="159" t="s">
        <v>306</v>
      </c>
      <c r="BX3" s="159" t="s">
        <v>306</v>
      </c>
      <c r="BY3" s="159" t="s">
        <v>307</v>
      </c>
      <c r="BZ3" s="159" t="s">
        <v>307</v>
      </c>
      <c r="CA3" s="159" t="s">
        <v>307</v>
      </c>
      <c r="CB3" s="159" t="s">
        <v>307</v>
      </c>
      <c r="CC3" s="159" t="s">
        <v>308</v>
      </c>
      <c r="CD3" s="159" t="s">
        <v>308</v>
      </c>
      <c r="CE3" s="159" t="s">
        <v>308</v>
      </c>
      <c r="CF3" s="159" t="s">
        <v>308</v>
      </c>
      <c r="CG3" s="161" t="s">
        <v>290</v>
      </c>
      <c r="CH3" s="161" t="s">
        <v>291</v>
      </c>
      <c r="CI3" s="161" t="s">
        <v>292</v>
      </c>
      <c r="CJ3" s="161" t="s">
        <v>293</v>
      </c>
      <c r="CK3" s="158" t="s">
        <v>285</v>
      </c>
      <c r="CL3" s="158" t="s">
        <v>285</v>
      </c>
    </row>
    <row r="4" spans="1:90" outlineLevel="3" x14ac:dyDescent="0.3">
      <c r="A4" s="137" t="s">
        <v>309</v>
      </c>
      <c r="B4" s="137" t="s">
        <v>310</v>
      </c>
      <c r="C4" s="137" t="s">
        <v>311</v>
      </c>
      <c r="D4" s="137" t="s">
        <v>312</v>
      </c>
      <c r="E4" s="137" t="s">
        <v>195</v>
      </c>
      <c r="F4" s="137" t="s">
        <v>196</v>
      </c>
      <c r="G4" s="137" t="s">
        <v>313</v>
      </c>
      <c r="H4" s="137" t="s">
        <v>314</v>
      </c>
      <c r="I4" s="163" t="s">
        <v>315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5540833.9500000002</v>
      </c>
      <c r="P4" s="168">
        <v>5540833.9500000002</v>
      </c>
      <c r="Q4" s="169">
        <v>0</v>
      </c>
      <c r="R4" s="169" t="s">
        <v>316</v>
      </c>
      <c r="S4" s="279">
        <v>1</v>
      </c>
      <c r="T4" s="169">
        <v>0</v>
      </c>
      <c r="U4" s="245">
        <v>5540833.9500000002</v>
      </c>
      <c r="V4" s="166" t="s">
        <v>317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5540833.9500000002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5540833.9500000002</v>
      </c>
      <c r="AS4" s="166">
        <v>5540833.9500000002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318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77</v>
      </c>
      <c r="BT4" s="167">
        <v>0</v>
      </c>
      <c r="BU4" s="231">
        <v>0</v>
      </c>
      <c r="BV4" s="167">
        <v>95</v>
      </c>
      <c r="BW4" s="174">
        <v>0</v>
      </c>
      <c r="BX4" s="174">
        <v>0</v>
      </c>
      <c r="BY4" s="166">
        <v>0</v>
      </c>
      <c r="BZ4" s="166">
        <v>0</v>
      </c>
      <c r="CA4" s="166">
        <v>133831.07</v>
      </c>
      <c r="CB4" s="166">
        <v>133831.07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3">
      <c r="A5" s="175" t="s">
        <v>319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5540833.9500000002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5540833.9500000002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133831.07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3">
      <c r="A6" s="176"/>
      <c r="B6" s="175" t="s">
        <v>322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5540833.9500000002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5540833.9500000002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133831.07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3">
      <c r="A7" s="137" t="s">
        <v>429</v>
      </c>
      <c r="B7" s="137" t="s">
        <v>430</v>
      </c>
      <c r="C7" s="137" t="s">
        <v>431</v>
      </c>
      <c r="D7" s="137" t="s">
        <v>432</v>
      </c>
      <c r="E7" s="137" t="s">
        <v>433</v>
      </c>
      <c r="F7" s="137" t="s">
        <v>434</v>
      </c>
      <c r="G7" s="137" t="s">
        <v>435</v>
      </c>
      <c r="H7" s="137" t="s">
        <v>320</v>
      </c>
      <c r="I7" s="163" t="s">
        <v>315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10.3125</v>
      </c>
      <c r="P7" s="168">
        <v>13.9375</v>
      </c>
      <c r="Q7" s="168">
        <v>-3.625</v>
      </c>
      <c r="R7" s="169">
        <v>0</v>
      </c>
      <c r="S7" s="279">
        <v>1</v>
      </c>
      <c r="T7" s="169">
        <v>0</v>
      </c>
      <c r="U7" s="245">
        <v>11265643.125</v>
      </c>
      <c r="V7" s="166" t="s">
        <v>317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15225687.375</v>
      </c>
      <c r="AD7" s="166">
        <v>-3960044.25</v>
      </c>
      <c r="AE7" s="166">
        <v>0</v>
      </c>
      <c r="AF7" s="166">
        <v>3960044.25</v>
      </c>
      <c r="AG7" s="166">
        <v>0</v>
      </c>
      <c r="AH7" s="246">
        <v>-15629533.141666666</v>
      </c>
      <c r="AI7" s="166">
        <v>0</v>
      </c>
      <c r="AJ7" s="166">
        <v>15629533.141666666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11265643.125</v>
      </c>
      <c r="AS7" s="166">
        <v>10.3125</v>
      </c>
      <c r="AT7" s="166">
        <v>-5189023.5</v>
      </c>
      <c r="AU7" s="166">
        <v>0</v>
      </c>
      <c r="AV7" s="166">
        <v>5189023.5</v>
      </c>
      <c r="AW7" s="166">
        <v>0</v>
      </c>
      <c r="AX7" s="166">
        <v>-15629533.141666666</v>
      </c>
      <c r="AY7" s="166">
        <v>0</v>
      </c>
      <c r="AZ7" s="166">
        <v>15629533.141666666</v>
      </c>
      <c r="BA7" s="166">
        <v>0</v>
      </c>
      <c r="BB7" s="166">
        <v>10.3125</v>
      </c>
      <c r="BC7" s="166">
        <v>13.9375</v>
      </c>
      <c r="BD7" s="166">
        <v>-1228979.25</v>
      </c>
      <c r="BE7" s="166">
        <v>0</v>
      </c>
      <c r="BF7" s="166">
        <v>1228979.25</v>
      </c>
      <c r="BG7" s="166">
        <v>0</v>
      </c>
      <c r="BH7" s="166">
        <v>-11669488.891666666</v>
      </c>
      <c r="BI7" s="166">
        <v>0</v>
      </c>
      <c r="BJ7" s="166">
        <v>11669488.891666666</v>
      </c>
      <c r="BK7" s="166">
        <v>0</v>
      </c>
      <c r="BL7" s="166">
        <v>104012148.25</v>
      </c>
      <c r="BM7" s="166" t="s">
        <v>321</v>
      </c>
      <c r="BN7" s="166">
        <v>0</v>
      </c>
      <c r="BO7" s="166" t="b">
        <v>0</v>
      </c>
      <c r="BP7" s="166">
        <v>11669488.891666666</v>
      </c>
      <c r="BQ7" s="168">
        <v>3</v>
      </c>
      <c r="BR7" s="167">
        <v>3277278</v>
      </c>
      <c r="BS7" s="173">
        <v>58</v>
      </c>
      <c r="BT7" s="167">
        <v>-3960044.25</v>
      </c>
      <c r="BU7" s="231">
        <v>0</v>
      </c>
      <c r="BV7" s="167">
        <v>47</v>
      </c>
      <c r="BW7" s="174">
        <v>10.3125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-11669488.891666666</v>
      </c>
      <c r="CH7" s="166">
        <v>0</v>
      </c>
      <c r="CI7" s="166">
        <v>11669488.891666666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3">
      <c r="A8" s="176" t="s">
        <v>436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11265643.125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15225687.375</v>
      </c>
      <c r="AD8" s="180">
        <v>-3960044.25</v>
      </c>
      <c r="AE8" s="180">
        <v>0</v>
      </c>
      <c r="AF8" s="180">
        <v>3960044.25</v>
      </c>
      <c r="AG8" s="180">
        <v>0</v>
      </c>
      <c r="AH8" s="249">
        <v>-15629533.141666666</v>
      </c>
      <c r="AI8" s="180">
        <v>0</v>
      </c>
      <c r="AJ8" s="180">
        <v>15629533.141666666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-5189023.5</v>
      </c>
      <c r="AU8" s="180">
        <v>0</v>
      </c>
      <c r="AV8" s="180">
        <v>5189023.5</v>
      </c>
      <c r="AW8" s="180">
        <v>0</v>
      </c>
      <c r="AX8" s="180">
        <v>-15629533.141666666</v>
      </c>
      <c r="AY8" s="180">
        <v>0</v>
      </c>
      <c r="AZ8" s="180">
        <v>15629533.141666666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3">
      <c r="A9" s="176"/>
      <c r="B9" s="176" t="s">
        <v>437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11265643.125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15225687.375</v>
      </c>
      <c r="AD9" s="191">
        <v>-3960044.25</v>
      </c>
      <c r="AE9" s="191">
        <v>0</v>
      </c>
      <c r="AF9" s="191">
        <v>3960044.25</v>
      </c>
      <c r="AG9" s="191">
        <v>0</v>
      </c>
      <c r="AH9" s="252">
        <v>-15629533.141666666</v>
      </c>
      <c r="AI9" s="191">
        <v>0</v>
      </c>
      <c r="AJ9" s="191">
        <v>15629533.141666666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-5189023.5</v>
      </c>
      <c r="AU9" s="191">
        <v>0</v>
      </c>
      <c r="AV9" s="191">
        <v>5189023.5</v>
      </c>
      <c r="AW9" s="191">
        <v>0</v>
      </c>
      <c r="AX9" s="191">
        <v>-15629533.141666666</v>
      </c>
      <c r="AY9" s="191">
        <v>0</v>
      </c>
      <c r="AZ9" s="191">
        <v>15629533.141666666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3">
      <c r="A10" s="137" t="s">
        <v>323</v>
      </c>
      <c r="B10" s="137" t="s">
        <v>324</v>
      </c>
      <c r="C10" s="137" t="s">
        <v>325</v>
      </c>
      <c r="D10" s="137" t="s">
        <v>326</v>
      </c>
      <c r="E10" s="137" t="s">
        <v>197</v>
      </c>
      <c r="F10" s="137" t="s">
        <v>196</v>
      </c>
      <c r="G10" s="137" t="s">
        <v>327</v>
      </c>
      <c r="H10" s="137" t="s">
        <v>314</v>
      </c>
      <c r="I10" s="163" t="s">
        <v>329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332</v>
      </c>
      <c r="S10" s="279">
        <v>1</v>
      </c>
      <c r="T10" s="169">
        <v>0</v>
      </c>
      <c r="U10" s="245">
        <v>4731610.54</v>
      </c>
      <c r="V10" s="166" t="s">
        <v>317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318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79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3">
      <c r="A11" s="137" t="s">
        <v>323</v>
      </c>
      <c r="B11" s="137" t="s">
        <v>324</v>
      </c>
      <c r="C11" s="137" t="s">
        <v>330</v>
      </c>
      <c r="D11" s="137" t="s">
        <v>331</v>
      </c>
      <c r="E11" s="137" t="s">
        <v>198</v>
      </c>
      <c r="F11" s="137" t="s">
        <v>196</v>
      </c>
      <c r="G11" s="137" t="s">
        <v>498</v>
      </c>
      <c r="H11" s="137" t="s">
        <v>314</v>
      </c>
      <c r="I11" s="163" t="s">
        <v>329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333</v>
      </c>
      <c r="S11" s="282">
        <v>1</v>
      </c>
      <c r="T11" s="169">
        <v>0</v>
      </c>
      <c r="U11" s="245">
        <v>21605090</v>
      </c>
      <c r="V11" s="166" t="s">
        <v>317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318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79</v>
      </c>
      <c r="BT11" s="167">
        <v>0</v>
      </c>
      <c r="BU11" s="231">
        <v>0</v>
      </c>
      <c r="BV11" s="167">
        <v>139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3">
      <c r="A12" s="137" t="s">
        <v>323</v>
      </c>
      <c r="B12" s="137" t="s">
        <v>324</v>
      </c>
      <c r="C12" s="137" t="s">
        <v>330</v>
      </c>
      <c r="D12" s="137" t="s">
        <v>331</v>
      </c>
      <c r="E12" s="137" t="s">
        <v>468</v>
      </c>
      <c r="F12" s="137" t="s">
        <v>196</v>
      </c>
      <c r="G12" s="137" t="s">
        <v>498</v>
      </c>
      <c r="H12" s="137" t="s">
        <v>314</v>
      </c>
      <c r="I12" s="163" t="s">
        <v>329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333</v>
      </c>
      <c r="S12" s="282">
        <v>1</v>
      </c>
      <c r="T12" s="169">
        <v>0</v>
      </c>
      <c r="U12" s="245">
        <v>1954995.27</v>
      </c>
      <c r="V12" s="166" t="s">
        <v>317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318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79</v>
      </c>
      <c r="BT12" s="167">
        <v>0</v>
      </c>
      <c r="BU12" s="231">
        <v>0</v>
      </c>
      <c r="BV12" s="167">
        <v>140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3">
      <c r="A13" s="137" t="s">
        <v>323</v>
      </c>
      <c r="B13" s="137" t="s">
        <v>324</v>
      </c>
      <c r="C13" s="137" t="s">
        <v>330</v>
      </c>
      <c r="D13" s="137" t="s">
        <v>331</v>
      </c>
      <c r="E13" s="137" t="s">
        <v>199</v>
      </c>
      <c r="F13" s="137" t="s">
        <v>196</v>
      </c>
      <c r="G13" s="137" t="s">
        <v>498</v>
      </c>
      <c r="H13" s="137" t="s">
        <v>314</v>
      </c>
      <c r="I13" s="163" t="s">
        <v>329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334</v>
      </c>
      <c r="S13" s="282">
        <v>1</v>
      </c>
      <c r="T13" s="169">
        <v>0</v>
      </c>
      <c r="U13" s="245">
        <v>9231875</v>
      </c>
      <c r="V13" s="166" t="s">
        <v>317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318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79</v>
      </c>
      <c r="BT13" s="167">
        <v>0</v>
      </c>
      <c r="BU13" s="231">
        <v>0</v>
      </c>
      <c r="BV13" s="167">
        <v>154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3">
      <c r="A14" s="137" t="s">
        <v>323</v>
      </c>
      <c r="B14" s="137" t="s">
        <v>324</v>
      </c>
      <c r="C14" s="137" t="s">
        <v>330</v>
      </c>
      <c r="D14" s="137" t="s">
        <v>331</v>
      </c>
      <c r="E14" s="137" t="s">
        <v>469</v>
      </c>
      <c r="F14" s="137" t="s">
        <v>196</v>
      </c>
      <c r="G14" s="137" t="s">
        <v>498</v>
      </c>
      <c r="H14" s="137" t="s">
        <v>314</v>
      </c>
      <c r="I14" s="163" t="s">
        <v>329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334</v>
      </c>
      <c r="S14" s="282">
        <v>1</v>
      </c>
      <c r="T14" s="169">
        <v>0</v>
      </c>
      <c r="U14" s="245">
        <v>1663862.85</v>
      </c>
      <c r="V14" s="166" t="s">
        <v>317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318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79</v>
      </c>
      <c r="BT14" s="167">
        <v>0</v>
      </c>
      <c r="BU14" s="231">
        <v>0</v>
      </c>
      <c r="BV14" s="167">
        <v>155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3">
      <c r="A15" s="137" t="s">
        <v>323</v>
      </c>
      <c r="B15" s="137" t="s">
        <v>324</v>
      </c>
      <c r="C15" s="137" t="s">
        <v>325</v>
      </c>
      <c r="D15" s="137" t="s">
        <v>326</v>
      </c>
      <c r="E15" s="137" t="s">
        <v>200</v>
      </c>
      <c r="F15" s="137" t="s">
        <v>196</v>
      </c>
      <c r="G15" s="137" t="s">
        <v>327</v>
      </c>
      <c r="H15" s="137" t="s">
        <v>314</v>
      </c>
      <c r="I15" s="163" t="s">
        <v>329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200068.24</v>
      </c>
      <c r="P15" s="167">
        <v>200068.24</v>
      </c>
      <c r="Q15" s="167">
        <v>0</v>
      </c>
      <c r="R15" s="169" t="s">
        <v>335</v>
      </c>
      <c r="S15" s="282">
        <v>0.5</v>
      </c>
      <c r="T15" s="169">
        <v>0</v>
      </c>
      <c r="U15" s="245">
        <v>200068.24</v>
      </c>
      <c r="V15" s="166" t="s">
        <v>317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200068.24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200068.24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318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79</v>
      </c>
      <c r="BT15" s="167">
        <v>0</v>
      </c>
      <c r="BU15" s="231">
        <v>0</v>
      </c>
      <c r="BV15" s="167">
        <v>157</v>
      </c>
      <c r="BW15" s="174">
        <v>0</v>
      </c>
      <c r="BX15" s="174">
        <v>0</v>
      </c>
      <c r="BY15" s="166">
        <v>0</v>
      </c>
      <c r="BZ15" s="166">
        <v>200068.24</v>
      </c>
      <c r="CA15" s="166">
        <v>-30720.149999999005</v>
      </c>
      <c r="CB15" s="166">
        <v>-30720.149999999005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3">
      <c r="A16" s="137" t="s">
        <v>323</v>
      </c>
      <c r="B16" s="137" t="s">
        <v>324</v>
      </c>
      <c r="C16" s="137" t="s">
        <v>325</v>
      </c>
      <c r="D16" s="137" t="s">
        <v>326</v>
      </c>
      <c r="E16" s="137" t="s">
        <v>470</v>
      </c>
      <c r="F16" s="137" t="s">
        <v>196</v>
      </c>
      <c r="G16" s="137" t="s">
        <v>327</v>
      </c>
      <c r="H16" s="137" t="s">
        <v>314</v>
      </c>
      <c r="I16" s="163" t="s">
        <v>329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335</v>
      </c>
      <c r="S16" s="282">
        <v>1</v>
      </c>
      <c r="T16" s="169">
        <v>0</v>
      </c>
      <c r="U16" s="245">
        <v>162836.32999999999</v>
      </c>
      <c r="V16" s="166" t="s">
        <v>317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318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79</v>
      </c>
      <c r="BT16" s="167">
        <v>0</v>
      </c>
      <c r="BU16" s="231">
        <v>0</v>
      </c>
      <c r="BV16" s="167">
        <v>158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3">
      <c r="A17" s="176" t="s">
        <v>336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39550338.230000004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39550338.230000004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-200018.63999999902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3">
      <c r="A18" s="176"/>
      <c r="B18" s="176" t="s">
        <v>339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39550338.230000004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39550338.230000004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-200018.63999999902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3">
      <c r="A19" s="137" t="s">
        <v>340</v>
      </c>
      <c r="B19" s="137" t="s">
        <v>341</v>
      </c>
      <c r="C19" s="137" t="s">
        <v>342</v>
      </c>
      <c r="D19" s="137" t="s">
        <v>343</v>
      </c>
      <c r="E19" s="137" t="s">
        <v>344</v>
      </c>
      <c r="F19" s="137" t="s">
        <v>345</v>
      </c>
      <c r="G19" s="201" t="s">
        <v>346</v>
      </c>
      <c r="H19" s="201" t="s">
        <v>347</v>
      </c>
      <c r="I19" s="163" t="s">
        <v>347</v>
      </c>
      <c r="J19" s="165">
        <v>46956</v>
      </c>
      <c r="K19" s="165">
        <v>46956</v>
      </c>
      <c r="L19" s="167">
        <v>3.1900687713562734E-2</v>
      </c>
      <c r="M19" s="167">
        <v>0</v>
      </c>
      <c r="N19" s="167">
        <v>0.41101940432348938</v>
      </c>
      <c r="O19" s="166">
        <v>2.5504560589854601</v>
      </c>
      <c r="P19" s="167">
        <v>2.8586155579726116</v>
      </c>
      <c r="Q19" s="167">
        <v>-0.30815949898715145</v>
      </c>
      <c r="R19" s="169">
        <v>0</v>
      </c>
      <c r="S19" s="279">
        <v>0</v>
      </c>
      <c r="T19" s="169">
        <v>0</v>
      </c>
      <c r="U19" s="245">
        <v>119759.21470572127</v>
      </c>
      <c r="V19" s="166" t="s">
        <v>317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134229.15214016195</v>
      </c>
      <c r="AD19" s="166">
        <v>-14469.937434440682</v>
      </c>
      <c r="AE19" s="166">
        <v>0</v>
      </c>
      <c r="AF19" s="166">
        <v>14469.937434440682</v>
      </c>
      <c r="AG19" s="166">
        <v>0</v>
      </c>
      <c r="AH19" s="246">
        <v>-7723.2328670313291</v>
      </c>
      <c r="AI19" s="166">
        <v>0</v>
      </c>
      <c r="AJ19" s="166">
        <v>7723.2328670313291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26869.095917737552</v>
      </c>
      <c r="AP19" s="166">
        <v>84870.386027040266</v>
      </c>
      <c r="AQ19" s="171">
        <v>1</v>
      </c>
      <c r="AR19" s="166">
        <v>346190.64949260943</v>
      </c>
      <c r="AS19" s="166">
        <v>17.9375</v>
      </c>
      <c r="AT19" s="166">
        <v>16957.213207922716</v>
      </c>
      <c r="AU19" s="166">
        <v>0</v>
      </c>
      <c r="AV19" s="166">
        <v>-16957.213207922716</v>
      </c>
      <c r="AW19" s="166">
        <v>0</v>
      </c>
      <c r="AX19" s="166">
        <v>-7723.2328670313291</v>
      </c>
      <c r="AY19" s="166">
        <v>0</v>
      </c>
      <c r="AZ19" s="166">
        <v>7723.2328670313291</v>
      </c>
      <c r="BA19" s="166">
        <v>0</v>
      </c>
      <c r="BB19" s="166">
        <v>17.9375</v>
      </c>
      <c r="BC19" s="166">
        <v>18.625</v>
      </c>
      <c r="BD19" s="166">
        <v>31427.150642363398</v>
      </c>
      <c r="BE19" s="166">
        <v>0</v>
      </c>
      <c r="BF19" s="166">
        <v>-31427.150642363398</v>
      </c>
      <c r="BG19" s="166">
        <v>0</v>
      </c>
      <c r="BH19" s="166">
        <v>6746.7045674093533</v>
      </c>
      <c r="BI19" s="166">
        <v>0</v>
      </c>
      <c r="BJ19" s="166">
        <v>-6746.7045674093533</v>
      </c>
      <c r="BK19" s="166">
        <v>0</v>
      </c>
      <c r="BL19" s="166">
        <v>84870.386027040266</v>
      </c>
      <c r="BM19" s="166" t="s">
        <v>321</v>
      </c>
      <c r="BN19" s="166">
        <v>0</v>
      </c>
      <c r="BO19" s="166" t="b">
        <v>0</v>
      </c>
      <c r="BP19" s="166">
        <v>-6746.7045674093533</v>
      </c>
      <c r="BQ19" s="167">
        <v>0</v>
      </c>
      <c r="BR19" s="167">
        <v>0</v>
      </c>
      <c r="BS19" s="173">
        <v>42</v>
      </c>
      <c r="BT19" s="167">
        <v>0</v>
      </c>
      <c r="BU19" s="231">
        <v>19299.827149413766</v>
      </c>
      <c r="BV19" s="167">
        <v>202</v>
      </c>
      <c r="BW19" s="174">
        <v>17.9375</v>
      </c>
      <c r="BX19" s="174">
        <v>17.9375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6746.7045674093533</v>
      </c>
      <c r="CH19" s="166">
        <v>0</v>
      </c>
      <c r="CI19" s="166">
        <v>-6746.7045674093533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3">
      <c r="A20" s="176" t="s">
        <v>348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119759.21470572127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134229.15214016195</v>
      </c>
      <c r="AD20" s="180">
        <v>-14469.937434440682</v>
      </c>
      <c r="AE20" s="180">
        <v>0</v>
      </c>
      <c r="AF20" s="180">
        <v>14469.937434440682</v>
      </c>
      <c r="AG20" s="180">
        <v>0</v>
      </c>
      <c r="AH20" s="249">
        <v>-7723.2328670313291</v>
      </c>
      <c r="AI20" s="180">
        <v>0</v>
      </c>
      <c r="AJ20" s="180">
        <v>7723.2328670313291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16957.213207922716</v>
      </c>
      <c r="AU20" s="180">
        <v>0</v>
      </c>
      <c r="AV20" s="180">
        <v>-16957.213207922716</v>
      </c>
      <c r="AW20" s="180">
        <v>0</v>
      </c>
      <c r="AX20" s="180">
        <v>-7723.2328670313291</v>
      </c>
      <c r="AY20" s="180">
        <v>0</v>
      </c>
      <c r="AZ20" s="180">
        <v>7723.2328670313291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3">
      <c r="A21" s="176"/>
      <c r="B21" s="176" t="s">
        <v>349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119759.21470572127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134229.15214016195</v>
      </c>
      <c r="AD21" s="191">
        <v>-14469.937434440682</v>
      </c>
      <c r="AE21" s="191">
        <v>0</v>
      </c>
      <c r="AF21" s="191">
        <v>14469.937434440682</v>
      </c>
      <c r="AG21" s="191">
        <v>0</v>
      </c>
      <c r="AH21" s="252">
        <v>-7723.2328670313291</v>
      </c>
      <c r="AI21" s="191">
        <v>0</v>
      </c>
      <c r="AJ21" s="191">
        <v>7723.2328670313291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16957.213207922716</v>
      </c>
      <c r="AU21" s="191">
        <v>0</v>
      </c>
      <c r="AV21" s="191">
        <v>-16957.213207922716</v>
      </c>
      <c r="AW21" s="191">
        <v>0</v>
      </c>
      <c r="AX21" s="191">
        <v>-7723.2328670313291</v>
      </c>
      <c r="AY21" s="191">
        <v>0</v>
      </c>
      <c r="AZ21" s="191">
        <v>7723.2328670313291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3">
      <c r="A22" s="137" t="s">
        <v>323</v>
      </c>
      <c r="B22" s="137" t="s">
        <v>350</v>
      </c>
      <c r="C22" s="137" t="s">
        <v>477</v>
      </c>
      <c r="D22" s="137" t="s">
        <v>478</v>
      </c>
      <c r="E22" s="137" t="s">
        <v>201</v>
      </c>
      <c r="F22" s="137" t="s">
        <v>196</v>
      </c>
      <c r="G22" s="137" t="s">
        <v>499</v>
      </c>
      <c r="H22" s="137" t="s">
        <v>314</v>
      </c>
      <c r="I22" s="163" t="s">
        <v>329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351</v>
      </c>
      <c r="S22" s="282">
        <v>1</v>
      </c>
      <c r="T22" s="169">
        <v>0</v>
      </c>
      <c r="U22" s="245">
        <v>1803840</v>
      </c>
      <c r="V22" s="166" t="s">
        <v>317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318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79</v>
      </c>
      <c r="BT22" s="167">
        <v>0</v>
      </c>
      <c r="BU22" s="231">
        <v>0</v>
      </c>
      <c r="BV22" s="167">
        <v>150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3">
      <c r="A23" s="137" t="s">
        <v>323</v>
      </c>
      <c r="B23" s="137" t="s">
        <v>350</v>
      </c>
      <c r="C23" s="137" t="s">
        <v>477</v>
      </c>
      <c r="D23" s="137" t="s">
        <v>478</v>
      </c>
      <c r="E23" s="137" t="s">
        <v>419</v>
      </c>
      <c r="F23" s="137" t="s">
        <v>196</v>
      </c>
      <c r="G23" s="137" t="s">
        <v>499</v>
      </c>
      <c r="H23" s="137" t="s">
        <v>314</v>
      </c>
      <c r="I23" s="163" t="s">
        <v>329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420</v>
      </c>
      <c r="S23" s="282">
        <v>1</v>
      </c>
      <c r="T23" s="169">
        <v>0</v>
      </c>
      <c r="U23" s="245">
        <v>2300803</v>
      </c>
      <c r="V23" s="166" t="s">
        <v>317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318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79</v>
      </c>
      <c r="BT23" s="167">
        <v>0</v>
      </c>
      <c r="BU23" s="231">
        <v>0</v>
      </c>
      <c r="BV23" s="167">
        <v>151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3">
      <c r="A24" s="176" t="s">
        <v>336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3">
      <c r="A25" s="176"/>
      <c r="B25" s="176" t="s">
        <v>352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3">
      <c r="A26" s="137" t="s">
        <v>354</v>
      </c>
      <c r="B26" s="137" t="s">
        <v>353</v>
      </c>
      <c r="C26" s="137" t="s">
        <v>458</v>
      </c>
      <c r="D26" s="137" t="s">
        <v>459</v>
      </c>
      <c r="E26" s="137" t="s">
        <v>460</v>
      </c>
      <c r="F26" s="137" t="s">
        <v>196</v>
      </c>
      <c r="G26" s="137" t="s">
        <v>461</v>
      </c>
      <c r="H26" s="137" t="s">
        <v>314</v>
      </c>
      <c r="I26" s="163" t="s">
        <v>355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462</v>
      </c>
      <c r="S26" s="282">
        <v>1</v>
      </c>
      <c r="T26" s="169">
        <v>0</v>
      </c>
      <c r="U26" s="245">
        <v>30637565.036477998</v>
      </c>
      <c r="V26" s="166" t="s">
        <v>317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318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80</v>
      </c>
      <c r="BT26" s="167">
        <v>0</v>
      </c>
      <c r="BU26" s="231">
        <v>0</v>
      </c>
      <c r="BV26" s="167">
        <v>171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3">
      <c r="A27" s="176" t="s">
        <v>357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3">
      <c r="A28" s="176"/>
      <c r="B28" s="176" t="s">
        <v>358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3">
      <c r="A29" s="137" t="s">
        <v>337</v>
      </c>
      <c r="B29" s="137" t="s">
        <v>359</v>
      </c>
      <c r="C29" s="137" t="s">
        <v>465</v>
      </c>
      <c r="D29" s="137" t="s">
        <v>466</v>
      </c>
      <c r="E29" s="137" t="s">
        <v>203</v>
      </c>
      <c r="F29" s="137" t="s">
        <v>362</v>
      </c>
      <c r="G29" s="137" t="s">
        <v>500</v>
      </c>
      <c r="H29" s="137" t="s">
        <v>320</v>
      </c>
      <c r="I29" s="163" t="s">
        <v>315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17.5625</v>
      </c>
      <c r="P29" s="168">
        <v>18.75</v>
      </c>
      <c r="Q29" s="168">
        <v>-1.1875</v>
      </c>
      <c r="R29" s="169" t="s">
        <v>363</v>
      </c>
      <c r="S29" s="279">
        <v>1</v>
      </c>
      <c r="T29" s="169">
        <v>0</v>
      </c>
      <c r="U29" s="245">
        <v>17933191.6875</v>
      </c>
      <c r="V29" s="166" t="s">
        <v>317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19145756.25</v>
      </c>
      <c r="AD29" s="166">
        <v>-1212564.5625</v>
      </c>
      <c r="AE29" s="166">
        <v>0</v>
      </c>
      <c r="AF29" s="166">
        <v>1212564.5625</v>
      </c>
      <c r="AG29" s="166">
        <v>0</v>
      </c>
      <c r="AH29" s="246">
        <v>-3617693.2649999997</v>
      </c>
      <c r="AI29" s="166">
        <v>0</v>
      </c>
      <c r="AJ29" s="166">
        <v>3617693.2649999997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17933191.6875</v>
      </c>
      <c r="AS29" s="166">
        <v>17.5625</v>
      </c>
      <c r="AT29" s="166">
        <v>-2361309.9375</v>
      </c>
      <c r="AU29" s="166">
        <v>0</v>
      </c>
      <c r="AV29" s="166">
        <v>2361309.9375</v>
      </c>
      <c r="AW29" s="166">
        <v>0</v>
      </c>
      <c r="AX29" s="166">
        <v>-3617693.2649999997</v>
      </c>
      <c r="AY29" s="166">
        <v>0</v>
      </c>
      <c r="AZ29" s="166">
        <v>3617693.2649999997</v>
      </c>
      <c r="BA29" s="166">
        <v>0</v>
      </c>
      <c r="BB29" s="166">
        <v>17.5625</v>
      </c>
      <c r="BC29" s="166">
        <v>18.75</v>
      </c>
      <c r="BD29" s="166">
        <v>-1148745.375</v>
      </c>
      <c r="BE29" s="166">
        <v>0</v>
      </c>
      <c r="BF29" s="166">
        <v>1148745.375</v>
      </c>
      <c r="BG29" s="166">
        <v>0</v>
      </c>
      <c r="BH29" s="166">
        <v>-2405128.7024999997</v>
      </c>
      <c r="BI29" s="166">
        <v>0</v>
      </c>
      <c r="BJ29" s="166">
        <v>2405128.7024999997</v>
      </c>
      <c r="BK29" s="166">
        <v>0</v>
      </c>
      <c r="BL29" s="166">
        <v>79135746</v>
      </c>
      <c r="BM29" s="166" t="s">
        <v>321</v>
      </c>
      <c r="BN29" s="166">
        <v>0</v>
      </c>
      <c r="BO29" s="166" t="b">
        <v>0</v>
      </c>
      <c r="BP29" s="166">
        <v>2405128.7024999997</v>
      </c>
      <c r="BQ29" s="168">
        <v>0</v>
      </c>
      <c r="BR29" s="167">
        <v>0</v>
      </c>
      <c r="BS29" s="173">
        <v>72</v>
      </c>
      <c r="BT29" s="167">
        <v>-1212564.5625</v>
      </c>
      <c r="BU29" s="231">
        <v>0</v>
      </c>
      <c r="BV29" s="167">
        <v>25</v>
      </c>
      <c r="BW29" s="174">
        <v>17.5625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-2405128.7024999997</v>
      </c>
      <c r="CH29" s="166">
        <v>0</v>
      </c>
      <c r="CI29" s="166">
        <v>2405128.7024999997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3">
      <c r="A30" s="176" t="s">
        <v>338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17933191.6875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19145756.25</v>
      </c>
      <c r="AD30" s="180">
        <v>-1212564.5625</v>
      </c>
      <c r="AE30" s="180">
        <v>0</v>
      </c>
      <c r="AF30" s="180">
        <v>1212564.5625</v>
      </c>
      <c r="AG30" s="180">
        <v>0</v>
      </c>
      <c r="AH30" s="249">
        <v>-3617693.2649999997</v>
      </c>
      <c r="AI30" s="180">
        <v>0</v>
      </c>
      <c r="AJ30" s="180">
        <v>3617693.2649999997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-2361309.9375</v>
      </c>
      <c r="AU30" s="180">
        <v>0</v>
      </c>
      <c r="AV30" s="180">
        <v>2361309.9375</v>
      </c>
      <c r="AW30" s="180">
        <v>0</v>
      </c>
      <c r="AX30" s="180">
        <v>-3617693.2649999997</v>
      </c>
      <c r="AY30" s="180">
        <v>0</v>
      </c>
      <c r="AZ30" s="180">
        <v>3617693.2649999997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3">
      <c r="A31" s="176"/>
      <c r="B31" s="176" t="s">
        <v>364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17933191.6875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19145756.25</v>
      </c>
      <c r="AD31" s="191">
        <v>-1212564.5625</v>
      </c>
      <c r="AE31" s="191">
        <v>0</v>
      </c>
      <c r="AF31" s="191">
        <v>1212564.5625</v>
      </c>
      <c r="AG31" s="191">
        <v>0</v>
      </c>
      <c r="AH31" s="252">
        <v>-3617693.2649999997</v>
      </c>
      <c r="AI31" s="191">
        <v>0</v>
      </c>
      <c r="AJ31" s="191">
        <v>3617693.2649999997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-2361309.9375</v>
      </c>
      <c r="AU31" s="191">
        <v>0</v>
      </c>
      <c r="AV31" s="191">
        <v>2361309.9375</v>
      </c>
      <c r="AW31" s="191">
        <v>0</v>
      </c>
      <c r="AX31" s="191">
        <v>-3617693.2649999997</v>
      </c>
      <c r="AY31" s="191">
        <v>0</v>
      </c>
      <c r="AZ31" s="191">
        <v>3617693.2649999997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3">
      <c r="A32" s="137" t="s">
        <v>366</v>
      </c>
      <c r="B32" s="137" t="s">
        <v>365</v>
      </c>
      <c r="C32" s="137" t="s">
        <v>367</v>
      </c>
      <c r="D32" s="137" t="s">
        <v>368</v>
      </c>
      <c r="E32" s="137" t="s">
        <v>369</v>
      </c>
      <c r="F32" s="137" t="s">
        <v>196</v>
      </c>
      <c r="G32" s="137" t="s">
        <v>346</v>
      </c>
      <c r="H32" s="137" t="s">
        <v>314</v>
      </c>
      <c r="I32" s="163" t="s">
        <v>329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317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318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188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3">
      <c r="A33" s="176" t="s">
        <v>370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3">
      <c r="A34" s="137" t="s">
        <v>371</v>
      </c>
      <c r="B34" s="137" t="s">
        <v>365</v>
      </c>
      <c r="C34" s="137" t="s">
        <v>372</v>
      </c>
      <c r="D34" s="137" t="s">
        <v>373</v>
      </c>
      <c r="E34" s="137" t="s">
        <v>488</v>
      </c>
      <c r="F34" s="137" t="s">
        <v>489</v>
      </c>
      <c r="G34" s="201" t="s">
        <v>346</v>
      </c>
      <c r="H34" s="201" t="s">
        <v>320</v>
      </c>
      <c r="I34" s="163" t="s">
        <v>315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8.3125</v>
      </c>
      <c r="P34" s="168">
        <v>8.1875</v>
      </c>
      <c r="Q34" s="168">
        <v>0.125</v>
      </c>
      <c r="R34" s="169">
        <v>0</v>
      </c>
      <c r="S34" s="279">
        <v>0</v>
      </c>
      <c r="T34" s="169">
        <v>0</v>
      </c>
      <c r="U34" s="245">
        <v>50714.80522500004</v>
      </c>
      <c r="V34" s="166" t="s">
        <v>317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49952.176575000034</v>
      </c>
      <c r="AD34" s="166">
        <v>762.62865000000602</v>
      </c>
      <c r="AE34" s="166">
        <v>0</v>
      </c>
      <c r="AF34" s="166">
        <v>-762.62865000000602</v>
      </c>
      <c r="AG34" s="166">
        <v>0</v>
      </c>
      <c r="AH34" s="246">
        <v>2669.2002750000029</v>
      </c>
      <c r="AI34" s="166">
        <v>0</v>
      </c>
      <c r="AJ34" s="166">
        <v>-2669.2002750000029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50714.80522500004</v>
      </c>
      <c r="AS34" s="166">
        <v>8.3125</v>
      </c>
      <c r="AT34" s="166">
        <v>7244.9721750000099</v>
      </c>
      <c r="AU34" s="166">
        <v>0</v>
      </c>
      <c r="AV34" s="166">
        <v>-7244.9721750000099</v>
      </c>
      <c r="AW34" s="166">
        <v>0</v>
      </c>
      <c r="AX34" s="166">
        <v>2669.2002750000029</v>
      </c>
      <c r="AY34" s="166">
        <v>0</v>
      </c>
      <c r="AZ34" s="166">
        <v>-2669.2002750000029</v>
      </c>
      <c r="BA34" s="166">
        <v>0</v>
      </c>
      <c r="BB34" s="166">
        <v>8.3125</v>
      </c>
      <c r="BC34" s="166">
        <v>8.1875</v>
      </c>
      <c r="BD34" s="166">
        <v>6482.3435250000039</v>
      </c>
      <c r="BE34" s="166">
        <v>0</v>
      </c>
      <c r="BF34" s="166">
        <v>-6482.3435250000039</v>
      </c>
      <c r="BG34" s="166">
        <v>0</v>
      </c>
      <c r="BH34" s="166">
        <v>1906.5716249999969</v>
      </c>
      <c r="BI34" s="166">
        <v>0</v>
      </c>
      <c r="BJ34" s="166">
        <v>-1906.5716249999969</v>
      </c>
      <c r="BK34" s="166">
        <v>0</v>
      </c>
      <c r="BL34" s="166">
        <v>243059.55643199998</v>
      </c>
      <c r="BM34" s="166" t="s">
        <v>321</v>
      </c>
      <c r="BN34" s="166">
        <v>0</v>
      </c>
      <c r="BO34" s="166" t="b">
        <v>0</v>
      </c>
      <c r="BP34" s="166">
        <v>-1906.5716249999969</v>
      </c>
      <c r="BQ34" s="167">
        <v>0</v>
      </c>
      <c r="BR34" s="167">
        <v>0</v>
      </c>
      <c r="BS34" s="173">
        <v>41</v>
      </c>
      <c r="BT34" s="167">
        <v>762.62865000000602</v>
      </c>
      <c r="BU34" s="231">
        <v>6101.0292000000045</v>
      </c>
      <c r="BV34" s="167">
        <v>199</v>
      </c>
      <c r="BW34" s="174">
        <v>8.3125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1906.5716249999969</v>
      </c>
      <c r="CH34" s="166">
        <v>0</v>
      </c>
      <c r="CI34" s="166">
        <v>-1906.5716249999969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3">
      <c r="A35" s="176" t="s">
        <v>374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50714.80522500004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49952.176575000034</v>
      </c>
      <c r="AD35" s="180">
        <v>762.62865000000602</v>
      </c>
      <c r="AE35" s="180">
        <v>0</v>
      </c>
      <c r="AF35" s="180">
        <v>-762.62865000000602</v>
      </c>
      <c r="AG35" s="180">
        <v>0</v>
      </c>
      <c r="AH35" s="249">
        <v>2669.2002750000029</v>
      </c>
      <c r="AI35" s="180">
        <v>0</v>
      </c>
      <c r="AJ35" s="180">
        <v>-2669.2002750000029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7244.9721750000099</v>
      </c>
      <c r="AU35" s="180">
        <v>0</v>
      </c>
      <c r="AV35" s="180">
        <v>-7244.9721750000099</v>
      </c>
      <c r="AW35" s="180">
        <v>0</v>
      </c>
      <c r="AX35" s="180">
        <v>2669.2002750000029</v>
      </c>
      <c r="AY35" s="180">
        <v>0</v>
      </c>
      <c r="AZ35" s="180">
        <v>-2669.2002750000029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3">
      <c r="A36" s="137" t="s">
        <v>375</v>
      </c>
      <c r="B36" s="137" t="s">
        <v>365</v>
      </c>
      <c r="C36" s="137" t="s">
        <v>376</v>
      </c>
      <c r="D36" s="137" t="s">
        <v>377</v>
      </c>
      <c r="E36" s="137" t="s">
        <v>378</v>
      </c>
      <c r="F36" s="137" t="s">
        <v>196</v>
      </c>
      <c r="G36" s="137" t="s">
        <v>346</v>
      </c>
      <c r="H36" s="137" t="s">
        <v>314</v>
      </c>
      <c r="I36" s="163" t="s">
        <v>355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317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318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190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3">
      <c r="A37" s="176" t="s">
        <v>379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3">
      <c r="A38" s="137" t="s">
        <v>537</v>
      </c>
      <c r="B38" s="137" t="s">
        <v>365</v>
      </c>
      <c r="C38" s="137" t="s">
        <v>514</v>
      </c>
      <c r="D38" s="137" t="s">
        <v>515</v>
      </c>
      <c r="E38" s="137" t="s">
        <v>538</v>
      </c>
      <c r="F38" s="137" t="s">
        <v>516</v>
      </c>
      <c r="G38" s="201" t="s">
        <v>346</v>
      </c>
      <c r="H38" s="201" t="s">
        <v>320</v>
      </c>
      <c r="I38" s="163" t="s">
        <v>315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38.97</v>
      </c>
      <c r="P38" s="168">
        <v>40</v>
      </c>
      <c r="Q38" s="168">
        <v>-1.03</v>
      </c>
      <c r="R38" s="169">
        <v>0</v>
      </c>
      <c r="S38" s="279">
        <v>1</v>
      </c>
      <c r="T38" s="169">
        <v>0</v>
      </c>
      <c r="U38" s="245">
        <v>77754191.040000007</v>
      </c>
      <c r="V38" s="166" t="s">
        <v>539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79809280.000000015</v>
      </c>
      <c r="AD38" s="166">
        <v>-2055088.9600000083</v>
      </c>
      <c r="AE38" s="166">
        <v>0</v>
      </c>
      <c r="AF38" s="166">
        <v>2055088.9600000083</v>
      </c>
      <c r="AG38" s="166">
        <v>0</v>
      </c>
      <c r="AH38" s="246">
        <v>-11781844.960000008</v>
      </c>
      <c r="AI38" s="166">
        <v>0</v>
      </c>
      <c r="AJ38" s="166">
        <v>11781844.960000008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77754191.040000007</v>
      </c>
      <c r="AS38" s="166">
        <v>38.97</v>
      </c>
      <c r="AT38" s="166">
        <v>2932991.0399999917</v>
      </c>
      <c r="AU38" s="166">
        <v>0</v>
      </c>
      <c r="AV38" s="166">
        <v>-2932991.0399999917</v>
      </c>
      <c r="AW38" s="166">
        <v>0</v>
      </c>
      <c r="AX38" s="166">
        <v>-11781844.960000008</v>
      </c>
      <c r="AY38" s="166">
        <v>0</v>
      </c>
      <c r="AZ38" s="166">
        <v>11781844.960000008</v>
      </c>
      <c r="BA38" s="166">
        <v>0</v>
      </c>
      <c r="BB38" s="166">
        <v>38.97</v>
      </c>
      <c r="BC38" s="166">
        <v>40</v>
      </c>
      <c r="BD38" s="166">
        <v>4988080</v>
      </c>
      <c r="BE38" s="166">
        <v>0</v>
      </c>
      <c r="BF38" s="166">
        <v>-4988080</v>
      </c>
      <c r="BG38" s="166">
        <v>0</v>
      </c>
      <c r="BH38" s="166">
        <v>-9726756</v>
      </c>
      <c r="BI38" s="166">
        <v>0</v>
      </c>
      <c r="BJ38" s="166">
        <v>9726756</v>
      </c>
      <c r="BK38" s="166">
        <v>0</v>
      </c>
      <c r="BL38" s="166">
        <v>0</v>
      </c>
      <c r="BM38" s="166" t="s">
        <v>321</v>
      </c>
      <c r="BN38" s="166">
        <v>0</v>
      </c>
      <c r="BO38" s="166" t="b">
        <v>0</v>
      </c>
      <c r="BP38" s="166">
        <v>9726756</v>
      </c>
      <c r="BQ38" s="167">
        <v>0</v>
      </c>
      <c r="BR38" s="167">
        <v>0</v>
      </c>
      <c r="BS38" s="173">
        <v>84</v>
      </c>
      <c r="BT38" s="167">
        <v>-2055088.9600000083</v>
      </c>
      <c r="BU38" s="231">
        <v>1995232</v>
      </c>
      <c r="BV38" s="167">
        <v>197</v>
      </c>
      <c r="BW38" s="174">
        <v>38.97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-9726756</v>
      </c>
      <c r="CH38" s="166">
        <v>0</v>
      </c>
      <c r="CI38" s="166">
        <v>9726756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3">
      <c r="A39" s="176" t="s">
        <v>540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77754191.040000007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79809280.000000015</v>
      </c>
      <c r="AD39" s="180">
        <v>-2055088.9600000083</v>
      </c>
      <c r="AE39" s="180">
        <v>0</v>
      </c>
      <c r="AF39" s="180">
        <v>2055088.9600000083</v>
      </c>
      <c r="AG39" s="180">
        <v>0</v>
      </c>
      <c r="AH39" s="249">
        <v>-11781844.960000008</v>
      </c>
      <c r="AI39" s="180">
        <v>0</v>
      </c>
      <c r="AJ39" s="180">
        <v>11781844.960000008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2932991.0399999917</v>
      </c>
      <c r="AU39" s="180">
        <v>0</v>
      </c>
      <c r="AV39" s="180">
        <v>-2932991.0399999917</v>
      </c>
      <c r="AW39" s="180">
        <v>0</v>
      </c>
      <c r="AX39" s="180">
        <v>-11781844.960000008</v>
      </c>
      <c r="AY39" s="180">
        <v>0</v>
      </c>
      <c r="AZ39" s="180">
        <v>11781844.960000008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3">
      <c r="A40" s="176"/>
      <c r="B40" s="176" t="s">
        <v>380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80653335.512305006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82707661.84365502</v>
      </c>
      <c r="AD40" s="191">
        <v>-2054326.3313500083</v>
      </c>
      <c r="AE40" s="191">
        <v>0</v>
      </c>
      <c r="AF40" s="191">
        <v>2054326.3313500083</v>
      </c>
      <c r="AG40" s="191">
        <v>0</v>
      </c>
      <c r="AH40" s="252">
        <v>-12062591.759725008</v>
      </c>
      <c r="AI40" s="191">
        <v>0</v>
      </c>
      <c r="AJ40" s="191">
        <v>12062591.759725008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2940236.0121749919</v>
      </c>
      <c r="AU40" s="191">
        <v>0</v>
      </c>
      <c r="AV40" s="191">
        <v>-2940236.0121749919</v>
      </c>
      <c r="AW40" s="191">
        <v>0</v>
      </c>
      <c r="AX40" s="191">
        <v>-12062591.759725008</v>
      </c>
      <c r="AY40" s="191">
        <v>0</v>
      </c>
      <c r="AZ40" s="191">
        <v>12062591.759725008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3">
      <c r="A41" s="137" t="s">
        <v>360</v>
      </c>
      <c r="B41" s="137" t="s">
        <v>382</v>
      </c>
      <c r="C41" s="137" t="s">
        <v>376</v>
      </c>
      <c r="D41" s="137" t="s">
        <v>377</v>
      </c>
      <c r="E41" s="137" t="s">
        <v>541</v>
      </c>
      <c r="F41" s="137" t="s">
        <v>196</v>
      </c>
      <c r="G41" s="137" t="s">
        <v>383</v>
      </c>
      <c r="H41" s="201" t="s">
        <v>328</v>
      </c>
      <c r="I41" s="163" t="s">
        <v>315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317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318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73</v>
      </c>
      <c r="BT41" s="167">
        <v>0</v>
      </c>
      <c r="BU41" s="231">
        <v>0</v>
      </c>
      <c r="BV41" s="167">
        <v>34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3">
      <c r="A42" s="137" t="s">
        <v>360</v>
      </c>
      <c r="B42" s="137" t="s">
        <v>382</v>
      </c>
      <c r="C42" s="137" t="s">
        <v>376</v>
      </c>
      <c r="D42" s="137" t="s">
        <v>377</v>
      </c>
      <c r="E42" s="137" t="s">
        <v>547</v>
      </c>
      <c r="F42" s="137" t="s">
        <v>196</v>
      </c>
      <c r="G42" s="137" t="s">
        <v>383</v>
      </c>
      <c r="H42" s="201" t="s">
        <v>328</v>
      </c>
      <c r="I42" s="163" t="s">
        <v>315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317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318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73</v>
      </c>
      <c r="BT42" s="167">
        <v>0</v>
      </c>
      <c r="BU42" s="231">
        <v>0</v>
      </c>
      <c r="BV42" s="167">
        <v>35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3">
      <c r="A43" s="137" t="s">
        <v>360</v>
      </c>
      <c r="B43" s="137" t="s">
        <v>382</v>
      </c>
      <c r="C43" s="137" t="s">
        <v>376</v>
      </c>
      <c r="D43" s="137" t="s">
        <v>377</v>
      </c>
      <c r="E43" s="137" t="s">
        <v>204</v>
      </c>
      <c r="F43" s="137" t="s">
        <v>196</v>
      </c>
      <c r="G43" s="137" t="s">
        <v>383</v>
      </c>
      <c r="H43" s="201" t="s">
        <v>328</v>
      </c>
      <c r="I43" s="163" t="s">
        <v>315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385</v>
      </c>
      <c r="S43" s="279">
        <v>1</v>
      </c>
      <c r="T43" s="169">
        <v>0</v>
      </c>
      <c r="U43" s="245">
        <v>0</v>
      </c>
      <c r="V43" s="166" t="s">
        <v>317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318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73</v>
      </c>
      <c r="BT43" s="167">
        <v>0</v>
      </c>
      <c r="BU43" s="231">
        <v>0</v>
      </c>
      <c r="BV43" s="167">
        <v>39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3">
      <c r="A44" s="137" t="s">
        <v>360</v>
      </c>
      <c r="B44" s="137" t="s">
        <v>382</v>
      </c>
      <c r="C44" s="137" t="s">
        <v>376</v>
      </c>
      <c r="D44" s="137" t="s">
        <v>377</v>
      </c>
      <c r="E44" s="137" t="s">
        <v>421</v>
      </c>
      <c r="F44" s="137" t="s">
        <v>196</v>
      </c>
      <c r="G44" s="201" t="s">
        <v>422</v>
      </c>
      <c r="H44" s="201" t="s">
        <v>328</v>
      </c>
      <c r="I44" s="163" t="s">
        <v>315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423</v>
      </c>
      <c r="S44" s="279">
        <v>1</v>
      </c>
      <c r="T44" s="169">
        <v>0</v>
      </c>
      <c r="U44" s="245">
        <v>0</v>
      </c>
      <c r="V44" s="166" t="s">
        <v>317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318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73</v>
      </c>
      <c r="BT44" s="167">
        <v>0</v>
      </c>
      <c r="BU44" s="231">
        <v>0</v>
      </c>
      <c r="BV44" s="167">
        <v>41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3">
      <c r="A45" s="176" t="s">
        <v>361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3">
      <c r="A46" s="137" t="s">
        <v>337</v>
      </c>
      <c r="B46" s="137" t="s">
        <v>382</v>
      </c>
      <c r="C46" s="137" t="s">
        <v>376</v>
      </c>
      <c r="D46" s="137" t="s">
        <v>377</v>
      </c>
      <c r="E46" s="137" t="s">
        <v>490</v>
      </c>
      <c r="F46" s="137" t="s">
        <v>489</v>
      </c>
      <c r="G46" s="137" t="s">
        <v>383</v>
      </c>
      <c r="H46" s="137" t="s">
        <v>320</v>
      </c>
      <c r="I46" s="163" t="s">
        <v>315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8.3125</v>
      </c>
      <c r="P46" s="168">
        <v>8.1875</v>
      </c>
      <c r="Q46" s="168">
        <v>0.125</v>
      </c>
      <c r="R46" s="169" t="s">
        <v>386</v>
      </c>
      <c r="S46" s="279">
        <v>0.6</v>
      </c>
      <c r="T46" s="169">
        <v>0</v>
      </c>
      <c r="U46" s="245">
        <v>84243.862500000047</v>
      </c>
      <c r="V46" s="166" t="s">
        <v>317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82977.037500000049</v>
      </c>
      <c r="AD46" s="166">
        <v>1266.825</v>
      </c>
      <c r="AE46" s="166">
        <v>0</v>
      </c>
      <c r="AF46" s="166">
        <v>-1266.825</v>
      </c>
      <c r="AG46" s="166">
        <v>0</v>
      </c>
      <c r="AH46" s="246">
        <v>4433.8875000003636</v>
      </c>
      <c r="AI46" s="166">
        <v>0</v>
      </c>
      <c r="AJ46" s="166">
        <v>-4433.8875000003636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84243.862500000047</v>
      </c>
      <c r="AS46" s="166">
        <v>8.3125</v>
      </c>
      <c r="AT46" s="166">
        <v>12034.837500000096</v>
      </c>
      <c r="AU46" s="166">
        <v>0</v>
      </c>
      <c r="AV46" s="166">
        <v>-12034.837500000096</v>
      </c>
      <c r="AW46" s="166">
        <v>0</v>
      </c>
      <c r="AX46" s="166">
        <v>4433.8875000003636</v>
      </c>
      <c r="AY46" s="166">
        <v>0</v>
      </c>
      <c r="AZ46" s="166">
        <v>-4433.8875000003636</v>
      </c>
      <c r="BA46" s="166">
        <v>0</v>
      </c>
      <c r="BB46" s="166">
        <v>8.3125</v>
      </c>
      <c r="BC46" s="166">
        <v>8.1875</v>
      </c>
      <c r="BD46" s="166">
        <v>10768.012500000099</v>
      </c>
      <c r="BE46" s="166">
        <v>0</v>
      </c>
      <c r="BF46" s="166">
        <v>-10768.012500000099</v>
      </c>
      <c r="BG46" s="166">
        <v>0</v>
      </c>
      <c r="BH46" s="166">
        <v>3167.0625000003665</v>
      </c>
      <c r="BI46" s="166">
        <v>0</v>
      </c>
      <c r="BJ46" s="166">
        <v>-3167.0625000003665</v>
      </c>
      <c r="BK46" s="166">
        <v>0</v>
      </c>
      <c r="BL46" s="166">
        <v>403753.41600000003</v>
      </c>
      <c r="BM46" s="166" t="s">
        <v>321</v>
      </c>
      <c r="BN46" s="166">
        <v>0</v>
      </c>
      <c r="BO46" s="166" t="b">
        <v>0</v>
      </c>
      <c r="BP46" s="166">
        <v>-3167.0625000003665</v>
      </c>
      <c r="BQ46" s="168">
        <v>1.1200000000000001</v>
      </c>
      <c r="BR46" s="167">
        <v>11350.752000000008</v>
      </c>
      <c r="BS46" s="173">
        <v>72</v>
      </c>
      <c r="BT46" s="167">
        <v>1266.825</v>
      </c>
      <c r="BU46" s="231">
        <v>10134.6</v>
      </c>
      <c r="BV46" s="167">
        <v>7</v>
      </c>
      <c r="BW46" s="174">
        <v>8.3125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3167.0625000003665</v>
      </c>
      <c r="CH46" s="166">
        <v>0</v>
      </c>
      <c r="CI46" s="166">
        <v>-3167.0625000003665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3">
      <c r="A47" s="176" t="s">
        <v>338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84243.862500000047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82977.037500000049</v>
      </c>
      <c r="AD47" s="180">
        <v>1266.825</v>
      </c>
      <c r="AE47" s="180">
        <v>0</v>
      </c>
      <c r="AF47" s="180">
        <v>-1266.825</v>
      </c>
      <c r="AG47" s="180">
        <v>0</v>
      </c>
      <c r="AH47" s="249">
        <v>4433.8875000003636</v>
      </c>
      <c r="AI47" s="180">
        <v>0</v>
      </c>
      <c r="AJ47" s="180">
        <v>-4433.8875000003636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12034.837500000096</v>
      </c>
      <c r="AU47" s="180">
        <v>0</v>
      </c>
      <c r="AV47" s="180">
        <v>-12034.837500000096</v>
      </c>
      <c r="AW47" s="180">
        <v>0</v>
      </c>
      <c r="AX47" s="180">
        <v>4433.8875000003636</v>
      </c>
      <c r="AY47" s="180">
        <v>0</v>
      </c>
      <c r="AZ47" s="180">
        <v>-4433.8875000003636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3">
      <c r="A48" s="137" t="s">
        <v>354</v>
      </c>
      <c r="B48" s="137" t="s">
        <v>382</v>
      </c>
      <c r="C48" s="137" t="s">
        <v>376</v>
      </c>
      <c r="D48" s="137" t="s">
        <v>377</v>
      </c>
      <c r="E48" s="137" t="s">
        <v>202</v>
      </c>
      <c r="F48" s="137" t="s">
        <v>196</v>
      </c>
      <c r="G48" s="137" t="s">
        <v>383</v>
      </c>
      <c r="H48" s="137" t="s">
        <v>314</v>
      </c>
      <c r="I48" s="163" t="s">
        <v>355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356</v>
      </c>
      <c r="S48" s="282">
        <v>1</v>
      </c>
      <c r="T48" s="169">
        <v>0</v>
      </c>
      <c r="U48" s="245">
        <v>0</v>
      </c>
      <c r="V48" s="166" t="s">
        <v>317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321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80</v>
      </c>
      <c r="BT48" s="167">
        <v>0</v>
      </c>
      <c r="BU48" s="231">
        <v>0</v>
      </c>
      <c r="BV48" s="167">
        <v>160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3">
      <c r="A49" s="176" t="s">
        <v>357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3">
      <c r="A50" s="137" t="s">
        <v>387</v>
      </c>
      <c r="B50" s="137" t="s">
        <v>382</v>
      </c>
      <c r="C50" s="137" t="s">
        <v>376</v>
      </c>
      <c r="D50" s="137" t="s">
        <v>377</v>
      </c>
      <c r="E50" s="137" t="s">
        <v>205</v>
      </c>
      <c r="F50" s="137" t="s">
        <v>196</v>
      </c>
      <c r="G50" s="137" t="s">
        <v>383</v>
      </c>
      <c r="H50" s="137" t="s">
        <v>314</v>
      </c>
      <c r="I50" s="163" t="s">
        <v>355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388</v>
      </c>
      <c r="S50" s="282">
        <v>1</v>
      </c>
      <c r="T50" s="169">
        <v>0</v>
      </c>
      <c r="U50" s="245">
        <v>0</v>
      </c>
      <c r="V50" s="166" t="s">
        <v>317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318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82</v>
      </c>
      <c r="BT50" s="167">
        <v>0</v>
      </c>
      <c r="BU50" s="231">
        <v>0</v>
      </c>
      <c r="BV50" s="167">
        <v>165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3">
      <c r="A51" s="137" t="s">
        <v>387</v>
      </c>
      <c r="B51" s="137" t="s">
        <v>382</v>
      </c>
      <c r="C51" s="137" t="s">
        <v>376</v>
      </c>
      <c r="D51" s="137" t="s">
        <v>377</v>
      </c>
      <c r="E51" s="137" t="s">
        <v>206</v>
      </c>
      <c r="F51" s="137" t="s">
        <v>196</v>
      </c>
      <c r="G51" s="137" t="s">
        <v>383</v>
      </c>
      <c r="H51" s="137" t="s">
        <v>314</v>
      </c>
      <c r="I51" s="163" t="s">
        <v>355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389</v>
      </c>
      <c r="S51" s="279">
        <v>1</v>
      </c>
      <c r="T51" s="169">
        <v>0</v>
      </c>
      <c r="U51" s="245">
        <v>0</v>
      </c>
      <c r="V51" s="166" t="s">
        <v>317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318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82</v>
      </c>
      <c r="BT51" s="167">
        <v>0</v>
      </c>
      <c r="BU51" s="231">
        <v>0</v>
      </c>
      <c r="BV51" s="167">
        <v>177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3">
      <c r="A52" s="137" t="s">
        <v>387</v>
      </c>
      <c r="B52" s="137" t="s">
        <v>382</v>
      </c>
      <c r="C52" s="137" t="s">
        <v>376</v>
      </c>
      <c r="D52" s="137" t="s">
        <v>377</v>
      </c>
      <c r="E52" s="137" t="s">
        <v>207</v>
      </c>
      <c r="F52" s="137" t="s">
        <v>196</v>
      </c>
      <c r="G52" s="137" t="s">
        <v>383</v>
      </c>
      <c r="H52" s="137" t="s">
        <v>314</v>
      </c>
      <c r="I52" s="163" t="s">
        <v>355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390</v>
      </c>
      <c r="S52" s="279">
        <v>1</v>
      </c>
      <c r="T52" s="169">
        <v>0</v>
      </c>
      <c r="U52" s="245">
        <v>0</v>
      </c>
      <c r="V52" s="166" t="s">
        <v>317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318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82</v>
      </c>
      <c r="BT52" s="167">
        <v>0</v>
      </c>
      <c r="BU52" s="231">
        <v>0</v>
      </c>
      <c r="BV52" s="167">
        <v>179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3">
      <c r="A53" s="137" t="s">
        <v>387</v>
      </c>
      <c r="B53" s="137" t="s">
        <v>382</v>
      </c>
      <c r="C53" s="137" t="s">
        <v>376</v>
      </c>
      <c r="D53" s="137" t="s">
        <v>377</v>
      </c>
      <c r="E53" s="137" t="s">
        <v>208</v>
      </c>
      <c r="F53" s="137" t="s">
        <v>196</v>
      </c>
      <c r="G53" s="137" t="s">
        <v>383</v>
      </c>
      <c r="H53" s="137" t="s">
        <v>314</v>
      </c>
      <c r="I53" s="163" t="s">
        <v>355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391</v>
      </c>
      <c r="S53" s="279">
        <v>0.5</v>
      </c>
      <c r="T53" s="169">
        <v>0</v>
      </c>
      <c r="U53" s="245">
        <v>7121810</v>
      </c>
      <c r="V53" s="166" t="s">
        <v>317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318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82</v>
      </c>
      <c r="BT53" s="167">
        <v>0</v>
      </c>
      <c r="BU53" s="231">
        <v>0</v>
      </c>
      <c r="BV53" s="167">
        <v>180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3">
      <c r="A54" s="176" t="s">
        <v>392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3">
      <c r="A55" s="137" t="s">
        <v>393</v>
      </c>
      <c r="B55" s="137" t="s">
        <v>382</v>
      </c>
      <c r="C55" s="137" t="s">
        <v>376</v>
      </c>
      <c r="D55" s="137" t="s">
        <v>377</v>
      </c>
      <c r="E55" s="137" t="s">
        <v>209</v>
      </c>
      <c r="F55" s="137" t="s">
        <v>394</v>
      </c>
      <c r="G55" s="137" t="s">
        <v>383</v>
      </c>
      <c r="H55" s="137" t="s">
        <v>347</v>
      </c>
      <c r="I55" s="163" t="s">
        <v>347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395</v>
      </c>
      <c r="S55" s="279">
        <v>1</v>
      </c>
      <c r="T55" s="169">
        <v>0</v>
      </c>
      <c r="U55" s="245">
        <v>0</v>
      </c>
      <c r="V55" s="166" t="s">
        <v>317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318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75</v>
      </c>
      <c r="BT55" s="167">
        <v>0</v>
      </c>
      <c r="BU55" s="231">
        <v>0</v>
      </c>
      <c r="BV55" s="167">
        <v>85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3">
      <c r="A56" s="176" t="s">
        <v>396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3">
      <c r="A57" s="137" t="s">
        <v>397</v>
      </c>
      <c r="B57" s="137" t="s">
        <v>382</v>
      </c>
      <c r="C57" s="137" t="s">
        <v>376</v>
      </c>
      <c r="D57" s="137" t="s">
        <v>377</v>
      </c>
      <c r="E57" s="137" t="s">
        <v>210</v>
      </c>
      <c r="F57" s="137" t="s">
        <v>398</v>
      </c>
      <c r="G57" s="137" t="s">
        <v>383</v>
      </c>
      <c r="H57" s="137" t="s">
        <v>347</v>
      </c>
      <c r="I57" s="163" t="s">
        <v>347</v>
      </c>
      <c r="J57" s="165">
        <v>156250</v>
      </c>
      <c r="K57" s="165">
        <v>156250</v>
      </c>
      <c r="L57" s="167">
        <v>2.2574989556749789E-2</v>
      </c>
      <c r="M57" s="167">
        <v>0</v>
      </c>
      <c r="N57" s="167">
        <v>0.9289367484971337</v>
      </c>
      <c r="O57" s="166">
        <v>4.6702217882267902</v>
      </c>
      <c r="P57" s="167">
        <v>5.1428918983446046</v>
      </c>
      <c r="Q57" s="167">
        <v>-0.47267011011781435</v>
      </c>
      <c r="R57" s="169" t="s">
        <v>399</v>
      </c>
      <c r="S57" s="279">
        <v>1</v>
      </c>
      <c r="T57" s="169">
        <v>0</v>
      </c>
      <c r="U57" s="245">
        <v>729722.15441043593</v>
      </c>
      <c r="V57" s="166" t="s">
        <v>317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803576.85911634448</v>
      </c>
      <c r="AD57" s="166">
        <v>-73854.704705908545</v>
      </c>
      <c r="AE57" s="166">
        <v>0</v>
      </c>
      <c r="AF57" s="166">
        <v>73854.704705908545</v>
      </c>
      <c r="AG57" s="166">
        <v>0</v>
      </c>
      <c r="AH57" s="246">
        <v>-214967.25297142693</v>
      </c>
      <c r="AI57" s="166">
        <v>0</v>
      </c>
      <c r="AJ57" s="166">
        <v>214967.25297142693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27336.901416376699</v>
      </c>
      <c r="AP57" s="166">
        <v>1711868.3881841477</v>
      </c>
      <c r="AQ57" s="171">
        <v>1</v>
      </c>
      <c r="AR57" s="166">
        <v>1124884.3438832478</v>
      </c>
      <c r="AS57" s="166">
        <v>7.75</v>
      </c>
      <c r="AT57" s="166">
        <v>53126.672238262021</v>
      </c>
      <c r="AU57" s="166">
        <v>0</v>
      </c>
      <c r="AV57" s="166">
        <v>-53126.672238262021</v>
      </c>
      <c r="AW57" s="166">
        <v>0</v>
      </c>
      <c r="AX57" s="166">
        <v>-214967.25297142693</v>
      </c>
      <c r="AY57" s="166">
        <v>0</v>
      </c>
      <c r="AZ57" s="166">
        <v>214967.25297142693</v>
      </c>
      <c r="BA57" s="166">
        <v>0</v>
      </c>
      <c r="BB57" s="166">
        <v>7.75</v>
      </c>
      <c r="BC57" s="166">
        <v>8.25</v>
      </c>
      <c r="BD57" s="166">
        <v>126981.37694417057</v>
      </c>
      <c r="BE57" s="166">
        <v>0</v>
      </c>
      <c r="BF57" s="166">
        <v>-126981.37694417057</v>
      </c>
      <c r="BG57" s="166">
        <v>0</v>
      </c>
      <c r="BH57" s="166">
        <v>-141112.54826551839</v>
      </c>
      <c r="BI57" s="166">
        <v>0</v>
      </c>
      <c r="BJ57" s="166">
        <v>141112.54826551839</v>
      </c>
      <c r="BK57" s="166">
        <v>0</v>
      </c>
      <c r="BL57" s="166">
        <v>1711868.3881841477</v>
      </c>
      <c r="BM57" s="166" t="s">
        <v>321</v>
      </c>
      <c r="BN57" s="166">
        <v>0</v>
      </c>
      <c r="BO57" s="166" t="b">
        <v>0</v>
      </c>
      <c r="BP57" s="166">
        <v>141112.54826551839</v>
      </c>
      <c r="BQ57" s="167">
        <v>0</v>
      </c>
      <c r="BR57" s="167">
        <v>0</v>
      </c>
      <c r="BS57" s="173">
        <v>76</v>
      </c>
      <c r="BT57" s="167">
        <v>0</v>
      </c>
      <c r="BU57" s="231">
        <v>145146.36695267714</v>
      </c>
      <c r="BV57" s="167">
        <v>88</v>
      </c>
      <c r="BW57" s="174">
        <v>7.75</v>
      </c>
      <c r="BX57" s="174">
        <v>7.75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-141112.54826551839</v>
      </c>
      <c r="CH57" s="166">
        <v>0</v>
      </c>
      <c r="CI57" s="166">
        <v>141112.54826551839</v>
      </c>
      <c r="CJ57" s="166">
        <v>0</v>
      </c>
      <c r="CK57" s="167">
        <v>0</v>
      </c>
      <c r="CL57" s="167">
        <v>0</v>
      </c>
    </row>
    <row r="58" spans="1:90" outlineLevel="3" x14ac:dyDescent="0.3">
      <c r="A58" s="137" t="s">
        <v>397</v>
      </c>
      <c r="B58" s="137" t="s">
        <v>382</v>
      </c>
      <c r="C58" s="137" t="s">
        <v>376</v>
      </c>
      <c r="D58" s="137" t="s">
        <v>377</v>
      </c>
      <c r="E58" s="137" t="s">
        <v>211</v>
      </c>
      <c r="F58" s="137" t="s">
        <v>345</v>
      </c>
      <c r="G58" s="137" t="s">
        <v>383</v>
      </c>
      <c r="H58" s="137" t="s">
        <v>347</v>
      </c>
      <c r="I58" s="163" t="s">
        <v>347</v>
      </c>
      <c r="J58" s="165">
        <v>78000</v>
      </c>
      <c r="K58" s="165">
        <v>78000</v>
      </c>
      <c r="L58" s="167">
        <v>3.1921587003345443E-2</v>
      </c>
      <c r="M58" s="167">
        <v>0.5</v>
      </c>
      <c r="N58" s="167">
        <v>0.41025106944151241</v>
      </c>
      <c r="O58" s="166">
        <v>2.5504560589854597</v>
      </c>
      <c r="P58" s="167">
        <v>2.8586155579726116</v>
      </c>
      <c r="Q58" s="167">
        <v>-0.30815949898715189</v>
      </c>
      <c r="R58" s="169" t="s">
        <v>400</v>
      </c>
      <c r="S58" s="279">
        <v>0</v>
      </c>
      <c r="T58" s="169">
        <v>0</v>
      </c>
      <c r="U58" s="245">
        <v>198935.57260086585</v>
      </c>
      <c r="V58" s="166" t="s">
        <v>317</v>
      </c>
      <c r="W58" s="166">
        <v>286996.26376617805</v>
      </c>
      <c r="X58" s="166">
        <v>0</v>
      </c>
      <c r="Y58" s="166">
        <v>286996.26376617805</v>
      </c>
      <c r="Z58" s="166">
        <v>0</v>
      </c>
      <c r="AA58" s="166">
        <v>0</v>
      </c>
      <c r="AB58" s="166">
        <v>0</v>
      </c>
      <c r="AC58" s="245">
        <v>222972.0135218637</v>
      </c>
      <c r="AD58" s="166">
        <v>-24036.440920997848</v>
      </c>
      <c r="AE58" s="166">
        <v>0</v>
      </c>
      <c r="AF58" s="166">
        <v>24036.440920997848</v>
      </c>
      <c r="AG58" s="166">
        <v>0</v>
      </c>
      <c r="AH58" s="246">
        <v>-12829.290476796246</v>
      </c>
      <c r="AI58" s="166">
        <v>0</v>
      </c>
      <c r="AJ58" s="166">
        <v>12829.290476796246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44662.290416055694</v>
      </c>
      <c r="AP58" s="166">
        <v>140980.7076861134</v>
      </c>
      <c r="AQ58" s="171">
        <v>1</v>
      </c>
      <c r="AR58" s="166">
        <v>573992.52753235609</v>
      </c>
      <c r="AS58" s="166">
        <v>17.9375</v>
      </c>
      <c r="AT58" s="166">
        <v>28168.128252363298</v>
      </c>
      <c r="AU58" s="166">
        <v>0</v>
      </c>
      <c r="AV58" s="166">
        <v>-28168.128252363298</v>
      </c>
      <c r="AW58" s="166">
        <v>0</v>
      </c>
      <c r="AX58" s="166">
        <v>-12829.290476796246</v>
      </c>
      <c r="AY58" s="166">
        <v>0</v>
      </c>
      <c r="AZ58" s="166">
        <v>12829.290476796246</v>
      </c>
      <c r="BA58" s="166">
        <v>0</v>
      </c>
      <c r="BB58" s="166">
        <v>17.9375</v>
      </c>
      <c r="BC58" s="166">
        <v>18.625</v>
      </c>
      <c r="BD58" s="166">
        <v>52204.569173361146</v>
      </c>
      <c r="BE58" s="166">
        <v>0</v>
      </c>
      <c r="BF58" s="166">
        <v>-52204.569173361146</v>
      </c>
      <c r="BG58" s="166">
        <v>0</v>
      </c>
      <c r="BH58" s="166">
        <v>11207.150444201601</v>
      </c>
      <c r="BI58" s="166">
        <v>0</v>
      </c>
      <c r="BJ58" s="166">
        <v>-11207.150444201601</v>
      </c>
      <c r="BK58" s="166">
        <v>0</v>
      </c>
      <c r="BL58" s="166">
        <v>140980.7076861134</v>
      </c>
      <c r="BM58" s="166" t="s">
        <v>321</v>
      </c>
      <c r="BN58" s="166">
        <v>0</v>
      </c>
      <c r="BO58" s="166" t="b">
        <v>0</v>
      </c>
      <c r="BP58" s="166">
        <v>-11207.150444201601</v>
      </c>
      <c r="BQ58" s="167">
        <v>0</v>
      </c>
      <c r="BR58" s="167">
        <v>0</v>
      </c>
      <c r="BS58" s="173">
        <v>76</v>
      </c>
      <c r="BT58" s="167">
        <v>0</v>
      </c>
      <c r="BU58" s="231">
        <v>31999.583416437967</v>
      </c>
      <c r="BV58" s="167">
        <v>91</v>
      </c>
      <c r="BW58" s="174">
        <v>17.9375</v>
      </c>
      <c r="BX58" s="174">
        <v>17.9375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11207.150444201601</v>
      </c>
      <c r="CH58" s="166">
        <v>0</v>
      </c>
      <c r="CI58" s="166">
        <v>-11207.150444201601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3">
      <c r="A59" s="176" t="s">
        <v>401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928657.72701130179</v>
      </c>
      <c r="V59" s="180"/>
      <c r="W59" s="180">
        <v>286996.26376617805</v>
      </c>
      <c r="X59" s="180">
        <v>0</v>
      </c>
      <c r="Y59" s="180">
        <v>286996.26376617805</v>
      </c>
      <c r="Z59" s="180">
        <v>0</v>
      </c>
      <c r="AA59" s="180">
        <v>0</v>
      </c>
      <c r="AB59" s="180">
        <v>0</v>
      </c>
      <c r="AC59" s="248">
        <v>1026548.8726382082</v>
      </c>
      <c r="AD59" s="180">
        <v>-97891.145626906393</v>
      </c>
      <c r="AE59" s="180">
        <v>0</v>
      </c>
      <c r="AF59" s="180">
        <v>97891.145626906393</v>
      </c>
      <c r="AG59" s="180">
        <v>0</v>
      </c>
      <c r="AH59" s="249">
        <v>-227796.54344822318</v>
      </c>
      <c r="AI59" s="180">
        <v>0</v>
      </c>
      <c r="AJ59" s="180">
        <v>227796.54344822318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81294.800490625319</v>
      </c>
      <c r="AU59" s="180">
        <v>0</v>
      </c>
      <c r="AV59" s="180">
        <v>-81294.800490625319</v>
      </c>
      <c r="AW59" s="180">
        <v>0</v>
      </c>
      <c r="AX59" s="180">
        <v>-227796.54344822318</v>
      </c>
      <c r="AY59" s="180">
        <v>0</v>
      </c>
      <c r="AZ59" s="180">
        <v>227796.54344822318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3">
      <c r="A60" s="176"/>
      <c r="B60" s="176" t="s">
        <v>402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9382655.0895113032</v>
      </c>
      <c r="V60" s="191"/>
      <c r="W60" s="191">
        <v>286996.26376617805</v>
      </c>
      <c r="X60" s="191">
        <v>0</v>
      </c>
      <c r="Y60" s="191">
        <v>286996.26376617805</v>
      </c>
      <c r="Z60" s="191">
        <v>0</v>
      </c>
      <c r="AA60" s="191">
        <v>0</v>
      </c>
      <c r="AB60" s="191">
        <v>0</v>
      </c>
      <c r="AC60" s="251">
        <v>9479279.4101382066</v>
      </c>
      <c r="AD60" s="191">
        <v>-96624.320626906396</v>
      </c>
      <c r="AE60" s="191">
        <v>0</v>
      </c>
      <c r="AF60" s="191">
        <v>96624.320626906396</v>
      </c>
      <c r="AG60" s="191">
        <v>0</v>
      </c>
      <c r="AH60" s="252">
        <v>-38831134.655948222</v>
      </c>
      <c r="AI60" s="191">
        <v>0</v>
      </c>
      <c r="AJ60" s="191">
        <v>38831134.655948222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93329.637990625415</v>
      </c>
      <c r="AU60" s="191">
        <v>0</v>
      </c>
      <c r="AV60" s="191">
        <v>-93329.637990625415</v>
      </c>
      <c r="AW60" s="191">
        <v>0</v>
      </c>
      <c r="AX60" s="191">
        <v>-38831134.655948222</v>
      </c>
      <c r="AY60" s="191">
        <v>0</v>
      </c>
      <c r="AZ60" s="191">
        <v>38831134.655948222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3">
      <c r="A61" s="137" t="s">
        <v>381</v>
      </c>
      <c r="B61" s="137" t="s">
        <v>403</v>
      </c>
      <c r="C61" s="137" t="s">
        <v>376</v>
      </c>
      <c r="D61" s="137" t="s">
        <v>377</v>
      </c>
      <c r="E61" s="137" t="s">
        <v>212</v>
      </c>
      <c r="F61" s="137" t="s">
        <v>394</v>
      </c>
      <c r="G61" s="137" t="s">
        <v>501</v>
      </c>
      <c r="H61" s="137" t="s">
        <v>405</v>
      </c>
      <c r="I61" s="163" t="s">
        <v>406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219.31052367999999</v>
      </c>
      <c r="P61" s="168">
        <v>219.31052367999999</v>
      </c>
      <c r="Q61" s="168">
        <v>0</v>
      </c>
      <c r="R61" s="169" t="s">
        <v>407</v>
      </c>
      <c r="S61" s="279">
        <v>0.625</v>
      </c>
      <c r="T61" s="169">
        <v>0</v>
      </c>
      <c r="U61" s="245">
        <v>82241446.379999995</v>
      </c>
      <c r="V61" s="166" t="s">
        <v>317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82241446.379999995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219.31052367999999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318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74</v>
      </c>
      <c r="BT61" s="167">
        <v>0</v>
      </c>
      <c r="BU61" s="231">
        <v>0</v>
      </c>
      <c r="BV61" s="167">
        <v>80</v>
      </c>
      <c r="BW61" s="174">
        <v>0</v>
      </c>
      <c r="BX61" s="174">
        <v>0</v>
      </c>
      <c r="BY61" s="166">
        <v>0</v>
      </c>
      <c r="BZ61" s="166">
        <v>0</v>
      </c>
      <c r="CA61" s="166">
        <v>1030821.38</v>
      </c>
      <c r="CB61" s="166">
        <v>1030821.38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3">
      <c r="A62" s="176" t="s">
        <v>384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82241446.379999995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82241446.379999995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1030821.38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3">
      <c r="A63" s="137" t="s">
        <v>323</v>
      </c>
      <c r="B63" s="137" t="s">
        <v>403</v>
      </c>
      <c r="C63" s="137" t="s">
        <v>376</v>
      </c>
      <c r="D63" s="137" t="s">
        <v>377</v>
      </c>
      <c r="E63" s="137" t="s">
        <v>491</v>
      </c>
      <c r="F63" s="137" t="s">
        <v>196</v>
      </c>
      <c r="G63" s="137" t="s">
        <v>404</v>
      </c>
      <c r="H63" s="137" t="s">
        <v>314</v>
      </c>
      <c r="I63" s="163" t="s">
        <v>329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408</v>
      </c>
      <c r="S63" s="279">
        <v>1</v>
      </c>
      <c r="T63" s="169">
        <v>0</v>
      </c>
      <c r="U63" s="245">
        <v>1250000</v>
      </c>
      <c r="V63" s="166" t="s">
        <v>317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318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79</v>
      </c>
      <c r="BT63" s="167">
        <v>0</v>
      </c>
      <c r="BU63" s="231">
        <v>0</v>
      </c>
      <c r="BV63" s="167">
        <v>115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3">
      <c r="A64" s="137" t="s">
        <v>323</v>
      </c>
      <c r="B64" s="137" t="s">
        <v>403</v>
      </c>
      <c r="C64" s="137" t="s">
        <v>376</v>
      </c>
      <c r="D64" s="137" t="s">
        <v>377</v>
      </c>
      <c r="E64" s="137" t="s">
        <v>213</v>
      </c>
      <c r="F64" s="137" t="s">
        <v>196</v>
      </c>
      <c r="G64" s="137" t="s">
        <v>501</v>
      </c>
      <c r="H64" s="201" t="s">
        <v>328</v>
      </c>
      <c r="I64" s="163" t="s">
        <v>409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410</v>
      </c>
      <c r="S64" s="279">
        <v>1</v>
      </c>
      <c r="T64" s="169">
        <v>0</v>
      </c>
      <c r="U64" s="245">
        <v>1663000</v>
      </c>
      <c r="V64" s="166" t="s">
        <v>317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318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79</v>
      </c>
      <c r="BT64" s="167">
        <v>0</v>
      </c>
      <c r="BU64" s="231">
        <v>0</v>
      </c>
      <c r="BV64" s="167">
        <v>120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3">
      <c r="A65" s="176" t="s">
        <v>336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3">
      <c r="A66" s="137" t="s">
        <v>360</v>
      </c>
      <c r="B66" s="137" t="s">
        <v>403</v>
      </c>
      <c r="C66" s="137" t="s">
        <v>376</v>
      </c>
      <c r="D66" s="137" t="s">
        <v>377</v>
      </c>
      <c r="E66" s="137" t="s">
        <v>214</v>
      </c>
      <c r="F66" s="137" t="s">
        <v>196</v>
      </c>
      <c r="G66" s="137" t="s">
        <v>501</v>
      </c>
      <c r="H66" s="201" t="s">
        <v>328</v>
      </c>
      <c r="I66" s="163" t="s">
        <v>315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411</v>
      </c>
      <c r="S66" s="279">
        <v>1</v>
      </c>
      <c r="T66" s="169">
        <v>0</v>
      </c>
      <c r="U66" s="245">
        <v>1360000</v>
      </c>
      <c r="V66" s="166" t="s">
        <v>317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318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73</v>
      </c>
      <c r="BT66" s="167">
        <v>0</v>
      </c>
      <c r="BU66" s="231">
        <v>0</v>
      </c>
      <c r="BV66" s="167">
        <v>36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3">
      <c r="A67" s="176" t="s">
        <v>361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3">
      <c r="A68" s="137" t="s">
        <v>337</v>
      </c>
      <c r="B68" s="137" t="s">
        <v>403</v>
      </c>
      <c r="C68" s="137" t="s">
        <v>376</v>
      </c>
      <c r="D68" s="137" t="s">
        <v>377</v>
      </c>
      <c r="E68" s="137" t="s">
        <v>215</v>
      </c>
      <c r="F68" s="137" t="s">
        <v>412</v>
      </c>
      <c r="G68" s="137" t="s">
        <v>404</v>
      </c>
      <c r="H68" s="137" t="s">
        <v>320</v>
      </c>
      <c r="I68" s="163" t="s">
        <v>315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5.84375</v>
      </c>
      <c r="P68" s="168">
        <v>6</v>
      </c>
      <c r="Q68" s="168">
        <v>-0.15625</v>
      </c>
      <c r="R68" s="169" t="s">
        <v>413</v>
      </c>
      <c r="S68" s="279">
        <v>0.5</v>
      </c>
      <c r="T68" s="169">
        <v>0</v>
      </c>
      <c r="U68" s="245">
        <v>349988.03125</v>
      </c>
      <c r="V68" s="166" t="s">
        <v>317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359346</v>
      </c>
      <c r="AD68" s="166">
        <v>-9357.96875</v>
      </c>
      <c r="AE68" s="166">
        <v>0</v>
      </c>
      <c r="AF68" s="166">
        <v>9357.96875</v>
      </c>
      <c r="AG68" s="166">
        <v>0</v>
      </c>
      <c r="AH68" s="246">
        <v>80478.53125</v>
      </c>
      <c r="AI68" s="166">
        <v>0</v>
      </c>
      <c r="AJ68" s="166">
        <v>-80478.53125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349988.03125</v>
      </c>
      <c r="AS68" s="166">
        <v>5.84375</v>
      </c>
      <c r="AT68" s="166">
        <v>20587.53125</v>
      </c>
      <c r="AU68" s="166">
        <v>0</v>
      </c>
      <c r="AV68" s="166">
        <v>-20587.53125</v>
      </c>
      <c r="AW68" s="166">
        <v>0</v>
      </c>
      <c r="AX68" s="166">
        <v>80478.53125</v>
      </c>
      <c r="AY68" s="166">
        <v>0</v>
      </c>
      <c r="AZ68" s="166">
        <v>-80478.53125</v>
      </c>
      <c r="BA68" s="166">
        <v>0</v>
      </c>
      <c r="BB68" s="166">
        <v>5.84375</v>
      </c>
      <c r="BC68" s="166">
        <v>6</v>
      </c>
      <c r="BD68" s="166">
        <v>29945.5</v>
      </c>
      <c r="BE68" s="166">
        <v>0</v>
      </c>
      <c r="BF68" s="166">
        <v>-29945.5</v>
      </c>
      <c r="BG68" s="166">
        <v>0</v>
      </c>
      <c r="BH68" s="166">
        <v>89836.5</v>
      </c>
      <c r="BI68" s="166">
        <v>0</v>
      </c>
      <c r="BJ68" s="166">
        <v>-89836.5</v>
      </c>
      <c r="BK68" s="166">
        <v>0</v>
      </c>
      <c r="BL68" s="166">
        <v>385548.3125</v>
      </c>
      <c r="BM68" s="166" t="s">
        <v>321</v>
      </c>
      <c r="BN68" s="166">
        <v>0</v>
      </c>
      <c r="BO68" s="166" t="b">
        <v>0</v>
      </c>
      <c r="BP68" s="166">
        <v>-89836.5</v>
      </c>
      <c r="BQ68" s="168">
        <v>1.1200000000000001</v>
      </c>
      <c r="BR68" s="167">
        <v>67077.919999999998</v>
      </c>
      <c r="BS68" s="173">
        <v>72</v>
      </c>
      <c r="BT68" s="167">
        <v>-9357.96875</v>
      </c>
      <c r="BU68" s="231">
        <v>59891</v>
      </c>
      <c r="BV68" s="167">
        <v>6</v>
      </c>
      <c r="BW68" s="174">
        <v>5.84375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89836.5</v>
      </c>
      <c r="CH68" s="166">
        <v>0</v>
      </c>
      <c r="CI68" s="166">
        <v>-89836.5</v>
      </c>
      <c r="CJ68" s="166">
        <v>0</v>
      </c>
      <c r="CK68" s="167">
        <v>0</v>
      </c>
      <c r="CL68" s="167">
        <v>0</v>
      </c>
    </row>
    <row r="69" spans="1:90" outlineLevel="3" x14ac:dyDescent="0.3">
      <c r="A69" s="137" t="s">
        <v>337</v>
      </c>
      <c r="B69" s="137" t="s">
        <v>403</v>
      </c>
      <c r="C69" s="137" t="s">
        <v>376</v>
      </c>
      <c r="D69" s="137" t="s">
        <v>377</v>
      </c>
      <c r="E69" s="137" t="s">
        <v>553</v>
      </c>
      <c r="F69" s="137" t="s">
        <v>512</v>
      </c>
      <c r="G69" s="137" t="s">
        <v>404</v>
      </c>
      <c r="H69" s="137" t="s">
        <v>320</v>
      </c>
      <c r="I69" s="163" t="s">
        <v>315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17.6875</v>
      </c>
      <c r="P69" s="168">
        <v>17.875</v>
      </c>
      <c r="Q69" s="168">
        <v>-0.1875</v>
      </c>
      <c r="R69" s="169">
        <v>0</v>
      </c>
      <c r="S69" s="279">
        <v>1</v>
      </c>
      <c r="T69" s="169">
        <v>0</v>
      </c>
      <c r="U69" s="245">
        <v>23688621.125</v>
      </c>
      <c r="V69" s="166" t="s">
        <v>317</v>
      </c>
      <c r="W69" s="166">
        <v>710658.63374999992</v>
      </c>
      <c r="X69" s="166">
        <v>0</v>
      </c>
      <c r="Y69" s="166">
        <v>710658.63374999992</v>
      </c>
      <c r="Z69" s="166">
        <v>0</v>
      </c>
      <c r="AA69" s="166">
        <v>0</v>
      </c>
      <c r="AB69" s="166">
        <v>0</v>
      </c>
      <c r="AC69" s="245">
        <v>23939737.25</v>
      </c>
      <c r="AD69" s="166">
        <v>-251116.125</v>
      </c>
      <c r="AE69" s="166">
        <v>0</v>
      </c>
      <c r="AF69" s="166">
        <v>251116.125</v>
      </c>
      <c r="AG69" s="166">
        <v>0</v>
      </c>
      <c r="AH69" s="246">
        <v>585937.625</v>
      </c>
      <c r="AI69" s="166">
        <v>0</v>
      </c>
      <c r="AJ69" s="166">
        <v>-585937.625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23688621.125</v>
      </c>
      <c r="AS69" s="166">
        <v>17.6875</v>
      </c>
      <c r="AT69" s="166">
        <v>1925223.625</v>
      </c>
      <c r="AU69" s="166">
        <v>0</v>
      </c>
      <c r="AV69" s="166">
        <v>-1925223.625</v>
      </c>
      <c r="AW69" s="166">
        <v>0</v>
      </c>
      <c r="AX69" s="166">
        <v>585937.625</v>
      </c>
      <c r="AY69" s="166">
        <v>0</v>
      </c>
      <c r="AZ69" s="166">
        <v>-585937.625</v>
      </c>
      <c r="BA69" s="166">
        <v>0</v>
      </c>
      <c r="BB69" s="166">
        <v>17.6875</v>
      </c>
      <c r="BC69" s="166">
        <v>17.875</v>
      </c>
      <c r="BD69" s="166">
        <v>2176339.75</v>
      </c>
      <c r="BE69" s="166">
        <v>0</v>
      </c>
      <c r="BF69" s="166">
        <v>-2176339.75</v>
      </c>
      <c r="BG69" s="166">
        <v>0</v>
      </c>
      <c r="BH69" s="166">
        <v>837053.75</v>
      </c>
      <c r="BI69" s="166">
        <v>0</v>
      </c>
      <c r="BJ69" s="166">
        <v>-837053.75</v>
      </c>
      <c r="BK69" s="166">
        <v>0</v>
      </c>
      <c r="BL69" s="166">
        <v>0</v>
      </c>
      <c r="BM69" s="166" t="s">
        <v>321</v>
      </c>
      <c r="BN69" s="166">
        <v>0</v>
      </c>
      <c r="BO69" s="166" t="b">
        <v>0</v>
      </c>
      <c r="BP69" s="166">
        <v>-837053.75</v>
      </c>
      <c r="BQ69" s="168">
        <v>0</v>
      </c>
      <c r="BR69" s="167">
        <v>0</v>
      </c>
      <c r="BS69" s="173">
        <v>72</v>
      </c>
      <c r="BT69" s="167">
        <v>-251116.125</v>
      </c>
      <c r="BU69" s="231">
        <v>1339286</v>
      </c>
      <c r="BV69" s="167">
        <v>23</v>
      </c>
      <c r="BW69" s="174">
        <v>17.6875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837053.75</v>
      </c>
      <c r="CH69" s="166">
        <v>0</v>
      </c>
      <c r="CI69" s="166">
        <v>-837053.75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3">
      <c r="A70" s="176" t="s">
        <v>338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24038609.15625</v>
      </c>
      <c r="V70" s="180"/>
      <c r="W70" s="180">
        <v>710658.63374999992</v>
      </c>
      <c r="X70" s="180">
        <v>0</v>
      </c>
      <c r="Y70" s="180">
        <v>710658.63374999992</v>
      </c>
      <c r="Z70" s="180">
        <v>0</v>
      </c>
      <c r="AA70" s="180">
        <v>0</v>
      </c>
      <c r="AB70" s="180">
        <v>0</v>
      </c>
      <c r="AC70" s="248">
        <v>24299083.25</v>
      </c>
      <c r="AD70" s="180">
        <v>-260474.09375</v>
      </c>
      <c r="AE70" s="180">
        <v>0</v>
      </c>
      <c r="AF70" s="180">
        <v>260474.09375</v>
      </c>
      <c r="AG70" s="180">
        <v>0</v>
      </c>
      <c r="AH70" s="249">
        <v>666416.15625</v>
      </c>
      <c r="AI70" s="180">
        <v>0</v>
      </c>
      <c r="AJ70" s="180">
        <v>-666416.15625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1945811.15625</v>
      </c>
      <c r="AU70" s="180">
        <v>0</v>
      </c>
      <c r="AV70" s="180">
        <v>-1945811.15625</v>
      </c>
      <c r="AW70" s="180">
        <v>0</v>
      </c>
      <c r="AX70" s="180">
        <v>666416.15625</v>
      </c>
      <c r="AY70" s="180">
        <v>0</v>
      </c>
      <c r="AZ70" s="180">
        <v>-666416.15625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3">
      <c r="A71" s="137" t="s">
        <v>354</v>
      </c>
      <c r="B71" s="137" t="s">
        <v>403</v>
      </c>
      <c r="C71" s="137" t="s">
        <v>376</v>
      </c>
      <c r="D71" s="137" t="s">
        <v>377</v>
      </c>
      <c r="E71" s="137" t="s">
        <v>554</v>
      </c>
      <c r="F71" s="137" t="s">
        <v>196</v>
      </c>
      <c r="G71" s="137" t="s">
        <v>404</v>
      </c>
      <c r="H71" s="137" t="s">
        <v>314</v>
      </c>
      <c r="I71" s="163" t="s">
        <v>355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0</v>
      </c>
      <c r="P71" s="167">
        <v>0</v>
      </c>
      <c r="Q71" s="167">
        <v>0</v>
      </c>
      <c r="R71" s="169" t="s">
        <v>414</v>
      </c>
      <c r="S71" s="282">
        <v>0.75</v>
      </c>
      <c r="T71" s="169">
        <v>0</v>
      </c>
      <c r="U71" s="245">
        <v>0</v>
      </c>
      <c r="V71" s="166" t="s">
        <v>317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0</v>
      </c>
      <c r="AD71" s="166">
        <v>0</v>
      </c>
      <c r="AE71" s="166">
        <v>0</v>
      </c>
      <c r="AF71" s="166">
        <v>0</v>
      </c>
      <c r="AG71" s="166">
        <v>0</v>
      </c>
      <c r="AH71" s="246">
        <v>-2013591.6599838899</v>
      </c>
      <c r="AI71" s="166">
        <v>0</v>
      </c>
      <c r="AJ71" s="166">
        <v>2013591.6599838899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0</v>
      </c>
      <c r="AQ71" s="171">
        <v>1</v>
      </c>
      <c r="AR71" s="166">
        <v>0</v>
      </c>
      <c r="AS71" s="166">
        <v>0</v>
      </c>
      <c r="AT71" s="166">
        <v>-2013591.6599838899</v>
      </c>
      <c r="AU71" s="166">
        <v>0</v>
      </c>
      <c r="AV71" s="166">
        <v>2013591.6599838899</v>
      </c>
      <c r="AW71" s="166">
        <v>0</v>
      </c>
      <c r="AX71" s="166">
        <v>-2013591.6599838899</v>
      </c>
      <c r="AY71" s="166">
        <v>0</v>
      </c>
      <c r="AZ71" s="166">
        <v>2013591.6599838899</v>
      </c>
      <c r="BA71" s="166">
        <v>0</v>
      </c>
      <c r="BB71" s="166" t="s">
        <v>196</v>
      </c>
      <c r="BC71" s="166" t="s">
        <v>196</v>
      </c>
      <c r="BD71" s="166">
        <v>-2013591.6599838899</v>
      </c>
      <c r="BE71" s="166">
        <v>0</v>
      </c>
      <c r="BF71" s="166">
        <v>2013591.6599838899</v>
      </c>
      <c r="BG71" s="166">
        <v>0</v>
      </c>
      <c r="BH71" s="166">
        <v>-2013591.6599838899</v>
      </c>
      <c r="BI71" s="166">
        <v>0</v>
      </c>
      <c r="BJ71" s="166">
        <v>2013591.6599838899</v>
      </c>
      <c r="BK71" s="166">
        <v>0</v>
      </c>
      <c r="BL71" s="166">
        <v>0</v>
      </c>
      <c r="BM71" s="166" t="s">
        <v>318</v>
      </c>
      <c r="BN71" s="166">
        <v>0</v>
      </c>
      <c r="BO71" s="166" t="b">
        <v>0</v>
      </c>
      <c r="BP71" s="166">
        <v>2013591.6599838899</v>
      </c>
      <c r="BQ71" s="168">
        <v>0</v>
      </c>
      <c r="BR71" s="167">
        <v>0</v>
      </c>
      <c r="BS71" s="173">
        <v>80</v>
      </c>
      <c r="BT71" s="167">
        <v>0</v>
      </c>
      <c r="BU71" s="231">
        <v>0</v>
      </c>
      <c r="BV71" s="167">
        <v>161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-2013591.6599838899</v>
      </c>
      <c r="CH71" s="166">
        <v>0</v>
      </c>
      <c r="CI71" s="166">
        <v>2013591.6599838899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3">
      <c r="A72" s="176" t="s">
        <v>357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0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0</v>
      </c>
      <c r="AD72" s="180">
        <v>0</v>
      </c>
      <c r="AE72" s="180">
        <v>0</v>
      </c>
      <c r="AF72" s="180">
        <v>0</v>
      </c>
      <c r="AG72" s="180">
        <v>0</v>
      </c>
      <c r="AH72" s="249">
        <v>-2013591.6599838899</v>
      </c>
      <c r="AI72" s="180">
        <v>0</v>
      </c>
      <c r="AJ72" s="180">
        <v>2013591.6599838899</v>
      </c>
      <c r="AK72" s="250">
        <v>0</v>
      </c>
      <c r="AL72" s="184"/>
      <c r="AM72" s="180">
        <v>2013591.6599838899</v>
      </c>
      <c r="AN72" s="181"/>
      <c r="AO72" s="184"/>
      <c r="AP72" s="180">
        <v>0</v>
      </c>
      <c r="AQ72" s="185"/>
      <c r="AR72" s="180"/>
      <c r="AS72" s="180"/>
      <c r="AT72" s="180">
        <v>-2013591.6599838899</v>
      </c>
      <c r="AU72" s="180">
        <v>0</v>
      </c>
      <c r="AV72" s="180">
        <v>2013591.6599838899</v>
      </c>
      <c r="AW72" s="180">
        <v>0</v>
      </c>
      <c r="AX72" s="180">
        <v>-2013591.6599838899</v>
      </c>
      <c r="AY72" s="180">
        <v>0</v>
      </c>
      <c r="AZ72" s="180">
        <v>2013591.6599838899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3">
      <c r="A73" s="137" t="s">
        <v>393</v>
      </c>
      <c r="B73" s="137" t="s">
        <v>403</v>
      </c>
      <c r="C73" s="137" t="s">
        <v>376</v>
      </c>
      <c r="D73" s="137" t="s">
        <v>377</v>
      </c>
      <c r="E73" s="137" t="s">
        <v>552</v>
      </c>
      <c r="F73" s="137" t="s">
        <v>394</v>
      </c>
      <c r="G73" s="137" t="s">
        <v>501</v>
      </c>
      <c r="H73" s="137" t="s">
        <v>347</v>
      </c>
      <c r="I73" s="163" t="s">
        <v>347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415</v>
      </c>
      <c r="S73" s="279">
        <v>0.75</v>
      </c>
      <c r="T73" s="169">
        <v>0</v>
      </c>
      <c r="U73" s="245">
        <v>23513434.5</v>
      </c>
      <c r="V73" s="166" t="s">
        <v>317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318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75</v>
      </c>
      <c r="BT73" s="167">
        <v>0</v>
      </c>
      <c r="BU73" s="231">
        <v>0</v>
      </c>
      <c r="BV73" s="167">
        <v>84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3">
      <c r="A74" s="137" t="s">
        <v>393</v>
      </c>
      <c r="B74" s="137" t="s">
        <v>403</v>
      </c>
      <c r="C74" s="137" t="s">
        <v>376</v>
      </c>
      <c r="D74" s="137" t="s">
        <v>377</v>
      </c>
      <c r="E74" s="137" t="s">
        <v>555</v>
      </c>
      <c r="F74" s="137" t="s">
        <v>394</v>
      </c>
      <c r="G74" s="137" t="s">
        <v>404</v>
      </c>
      <c r="H74" s="137" t="s">
        <v>347</v>
      </c>
      <c r="I74" s="163" t="s">
        <v>347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0</v>
      </c>
      <c r="P74" s="167">
        <v>0</v>
      </c>
      <c r="Q74" s="167">
        <v>0</v>
      </c>
      <c r="R74" s="169" t="s">
        <v>416</v>
      </c>
      <c r="S74" s="279">
        <v>0.75</v>
      </c>
      <c r="T74" s="169">
        <v>0</v>
      </c>
      <c r="U74" s="245">
        <v>0</v>
      </c>
      <c r="V74" s="166" t="s">
        <v>317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0</v>
      </c>
      <c r="AD74" s="166">
        <v>0</v>
      </c>
      <c r="AE74" s="166">
        <v>0</v>
      </c>
      <c r="AF74" s="166">
        <v>0</v>
      </c>
      <c r="AG74" s="166">
        <v>0</v>
      </c>
      <c r="AH74" s="246">
        <v>-1374750</v>
      </c>
      <c r="AI74" s="166">
        <v>0</v>
      </c>
      <c r="AJ74" s="166">
        <v>1374750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0</v>
      </c>
      <c r="AQ74" s="171">
        <v>1</v>
      </c>
      <c r="AR74" s="166">
        <v>0</v>
      </c>
      <c r="AS74" s="166">
        <v>0</v>
      </c>
      <c r="AT74" s="166">
        <v>-1374750</v>
      </c>
      <c r="AU74" s="166">
        <v>0</v>
      </c>
      <c r="AV74" s="166">
        <v>1374750</v>
      </c>
      <c r="AW74" s="166">
        <v>0</v>
      </c>
      <c r="AX74" s="166">
        <v>-1374750</v>
      </c>
      <c r="AY74" s="166">
        <v>0</v>
      </c>
      <c r="AZ74" s="166">
        <v>1374750</v>
      </c>
      <c r="BA74" s="166">
        <v>0</v>
      </c>
      <c r="BB74" s="166" t="s">
        <v>196</v>
      </c>
      <c r="BC74" s="166" t="s">
        <v>196</v>
      </c>
      <c r="BD74" s="166">
        <v>-1374750</v>
      </c>
      <c r="BE74" s="166">
        <v>0</v>
      </c>
      <c r="BF74" s="166">
        <v>1374750</v>
      </c>
      <c r="BG74" s="166">
        <v>0</v>
      </c>
      <c r="BH74" s="166">
        <v>-1374750</v>
      </c>
      <c r="BI74" s="166">
        <v>0</v>
      </c>
      <c r="BJ74" s="166">
        <v>1374750</v>
      </c>
      <c r="BK74" s="166">
        <v>0</v>
      </c>
      <c r="BL74" s="166">
        <v>0</v>
      </c>
      <c r="BM74" s="166" t="s">
        <v>321</v>
      </c>
      <c r="BN74" s="166">
        <v>0</v>
      </c>
      <c r="BO74" s="166" t="b">
        <v>0</v>
      </c>
      <c r="BP74" s="166">
        <v>1374750</v>
      </c>
      <c r="BQ74" s="167">
        <v>0</v>
      </c>
      <c r="BR74" s="167">
        <v>0</v>
      </c>
      <c r="BS74" s="173">
        <v>75</v>
      </c>
      <c r="BT74" s="167">
        <v>0</v>
      </c>
      <c r="BU74" s="231">
        <v>0</v>
      </c>
      <c r="BV74" s="167">
        <v>86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-1374750</v>
      </c>
      <c r="CH74" s="166">
        <v>0</v>
      </c>
      <c r="CI74" s="166">
        <v>1374750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3">
      <c r="A75" s="176" t="s">
        <v>396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23513434.5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23513434.5</v>
      </c>
      <c r="AD75" s="180">
        <v>0</v>
      </c>
      <c r="AE75" s="180">
        <v>0</v>
      </c>
      <c r="AF75" s="180">
        <v>0</v>
      </c>
      <c r="AG75" s="180">
        <v>0</v>
      </c>
      <c r="AH75" s="249">
        <v>-1374750</v>
      </c>
      <c r="AI75" s="180">
        <v>0</v>
      </c>
      <c r="AJ75" s="180">
        <v>1374750</v>
      </c>
      <c r="AK75" s="250">
        <v>0</v>
      </c>
      <c r="AL75" s="184"/>
      <c r="AM75" s="180">
        <v>24888184.5</v>
      </c>
      <c r="AN75" s="184"/>
      <c r="AO75" s="184"/>
      <c r="AP75" s="180">
        <v>23513434.5</v>
      </c>
      <c r="AQ75" s="185"/>
      <c r="AR75" s="180"/>
      <c r="AS75" s="180"/>
      <c r="AT75" s="180">
        <v>-1374750</v>
      </c>
      <c r="AU75" s="180">
        <v>0</v>
      </c>
      <c r="AV75" s="180">
        <v>1374750</v>
      </c>
      <c r="AW75" s="180">
        <v>0</v>
      </c>
      <c r="AX75" s="180">
        <v>-1374750</v>
      </c>
      <c r="AY75" s="180">
        <v>0</v>
      </c>
      <c r="AZ75" s="180">
        <v>1374750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3">
      <c r="A76" s="137" t="s">
        <v>542</v>
      </c>
      <c r="B76" s="137" t="s">
        <v>403</v>
      </c>
      <c r="C76" s="137" t="s">
        <v>376</v>
      </c>
      <c r="D76" s="137" t="s">
        <v>377</v>
      </c>
      <c r="E76" s="137" t="s">
        <v>543</v>
      </c>
      <c r="F76" s="137" t="s">
        <v>516</v>
      </c>
      <c r="G76" s="137" t="s">
        <v>346</v>
      </c>
      <c r="H76" s="137" t="s">
        <v>320</v>
      </c>
      <c r="I76" s="163" t="s">
        <v>315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38.97</v>
      </c>
      <c r="P76" s="168">
        <v>40</v>
      </c>
      <c r="Q76" s="168">
        <v>-1.03</v>
      </c>
      <c r="R76" s="169" t="s">
        <v>517</v>
      </c>
      <c r="S76" s="279">
        <v>1</v>
      </c>
      <c r="T76" s="169">
        <v>0</v>
      </c>
      <c r="U76" s="245">
        <v>129159829.8</v>
      </c>
      <c r="V76" s="166" t="s">
        <v>539</v>
      </c>
      <c r="W76" s="166">
        <v>80079094.475999996</v>
      </c>
      <c r="X76" s="166">
        <v>0</v>
      </c>
      <c r="Y76" s="166">
        <v>80079094.475999996</v>
      </c>
      <c r="Z76" s="166">
        <v>0</v>
      </c>
      <c r="AA76" s="166">
        <v>0</v>
      </c>
      <c r="AB76" s="166">
        <v>0</v>
      </c>
      <c r="AC76" s="245">
        <v>132573600</v>
      </c>
      <c r="AD76" s="166">
        <v>-3413770.2</v>
      </c>
      <c r="AE76" s="166">
        <v>0</v>
      </c>
      <c r="AF76" s="166">
        <v>3413770.2</v>
      </c>
      <c r="AG76" s="166">
        <v>0</v>
      </c>
      <c r="AH76" s="246">
        <v>-19571177.700000003</v>
      </c>
      <c r="AI76" s="166">
        <v>0</v>
      </c>
      <c r="AJ76" s="166">
        <v>19571177.700000003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129159829.8</v>
      </c>
      <c r="AS76" s="166">
        <v>38.97</v>
      </c>
      <c r="AT76" s="166">
        <v>4872079.8</v>
      </c>
      <c r="AU76" s="166">
        <v>0</v>
      </c>
      <c r="AV76" s="166">
        <v>-4872079.8</v>
      </c>
      <c r="AW76" s="166">
        <v>0</v>
      </c>
      <c r="AX76" s="166">
        <v>-19571177.700000003</v>
      </c>
      <c r="AY76" s="166">
        <v>0</v>
      </c>
      <c r="AZ76" s="166">
        <v>19571177.700000003</v>
      </c>
      <c r="BA76" s="166">
        <v>0</v>
      </c>
      <c r="BB76" s="166">
        <v>38.97</v>
      </c>
      <c r="BC76" s="166">
        <v>40</v>
      </c>
      <c r="BD76" s="166">
        <v>8285850</v>
      </c>
      <c r="BE76" s="166">
        <v>0</v>
      </c>
      <c r="BF76" s="166">
        <v>-8285850</v>
      </c>
      <c r="BG76" s="166">
        <v>0</v>
      </c>
      <c r="BH76" s="166">
        <v>-16157407.5</v>
      </c>
      <c r="BI76" s="166">
        <v>0</v>
      </c>
      <c r="BJ76" s="166">
        <v>16157407.5</v>
      </c>
      <c r="BK76" s="166">
        <v>0</v>
      </c>
      <c r="BL76" s="166">
        <v>0</v>
      </c>
      <c r="BM76" s="166" t="s">
        <v>321</v>
      </c>
      <c r="BN76" s="166">
        <v>0</v>
      </c>
      <c r="BO76" s="166" t="b">
        <v>0</v>
      </c>
      <c r="BP76" s="166">
        <v>16157407.5</v>
      </c>
      <c r="BQ76" s="168">
        <v>11.95</v>
      </c>
      <c r="BR76" s="167">
        <v>39606363</v>
      </c>
      <c r="BS76" s="173">
        <v>83</v>
      </c>
      <c r="BT76" s="167">
        <v>-3413770.2</v>
      </c>
      <c r="BU76" s="231">
        <v>3314340</v>
      </c>
      <c r="BV76" s="167">
        <v>8</v>
      </c>
      <c r="BW76" s="174">
        <v>38.97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-16157407.5</v>
      </c>
      <c r="CH76" s="166">
        <v>0</v>
      </c>
      <c r="CI76" s="166">
        <v>16157407.5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3">
      <c r="A77" s="176" t="s">
        <v>544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129159829.8</v>
      </c>
      <c r="V77" s="180"/>
      <c r="W77" s="180">
        <v>80079094.475999996</v>
      </c>
      <c r="X77" s="180">
        <v>0</v>
      </c>
      <c r="Y77" s="180">
        <v>80079094.475999996</v>
      </c>
      <c r="Z77" s="180">
        <v>0</v>
      </c>
      <c r="AA77" s="180">
        <v>0</v>
      </c>
      <c r="AB77" s="180">
        <v>0</v>
      </c>
      <c r="AC77" s="248">
        <v>132573600</v>
      </c>
      <c r="AD77" s="180">
        <v>-3413770.2</v>
      </c>
      <c r="AE77" s="180">
        <v>0</v>
      </c>
      <c r="AF77" s="180">
        <v>3413770.2</v>
      </c>
      <c r="AG77" s="180">
        <v>0</v>
      </c>
      <c r="AH77" s="249">
        <v>-19571177.700000003</v>
      </c>
      <c r="AI77" s="180">
        <v>0</v>
      </c>
      <c r="AJ77" s="180">
        <v>19571177.700000003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4872079.8</v>
      </c>
      <c r="AU77" s="180">
        <v>0</v>
      </c>
      <c r="AV77" s="180">
        <v>-4872079.8</v>
      </c>
      <c r="AW77" s="180">
        <v>0</v>
      </c>
      <c r="AX77" s="180">
        <v>-19571177.700000003</v>
      </c>
      <c r="AY77" s="180">
        <v>0</v>
      </c>
      <c r="AZ77" s="180">
        <v>19571177.700000003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3">
      <c r="A78" s="176"/>
      <c r="B78" s="176" t="s">
        <v>417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263226319.83625001</v>
      </c>
      <c r="V78" s="191"/>
      <c r="W78" s="191">
        <v>80789753.109750003</v>
      </c>
      <c r="X78" s="191">
        <v>0</v>
      </c>
      <c r="Y78" s="191">
        <v>80789753.109750003</v>
      </c>
      <c r="Z78" s="191">
        <v>0</v>
      </c>
      <c r="AA78" s="191">
        <v>0</v>
      </c>
      <c r="AB78" s="191">
        <v>0</v>
      </c>
      <c r="AC78" s="251">
        <v>266900564.13</v>
      </c>
      <c r="AD78" s="191">
        <v>-3674244.293750003</v>
      </c>
      <c r="AE78" s="191">
        <v>0</v>
      </c>
      <c r="AF78" s="191">
        <v>3674244.293750003</v>
      </c>
      <c r="AG78" s="191">
        <v>0</v>
      </c>
      <c r="AH78" s="252">
        <v>-22293103.203733891</v>
      </c>
      <c r="AI78" s="191">
        <v>0</v>
      </c>
      <c r="AJ78" s="191">
        <v>22293103.203733891</v>
      </c>
      <c r="AK78" s="253">
        <v>0</v>
      </c>
      <c r="AL78" s="195"/>
      <c r="AM78" s="191">
        <v>135757594.15998387</v>
      </c>
      <c r="AN78" s="192"/>
      <c r="AO78" s="195"/>
      <c r="AP78" s="191">
        <v>109382607.8125</v>
      </c>
      <c r="AQ78" s="196"/>
      <c r="AR78" s="191"/>
      <c r="AS78" s="191"/>
      <c r="AT78" s="191">
        <v>3429549.2962661069</v>
      </c>
      <c r="AU78" s="191">
        <v>0</v>
      </c>
      <c r="AV78" s="191">
        <v>-3429549.2962661069</v>
      </c>
      <c r="AW78" s="191">
        <v>0</v>
      </c>
      <c r="AX78" s="191">
        <v>-22293103.203733891</v>
      </c>
      <c r="AY78" s="191">
        <v>0</v>
      </c>
      <c r="AZ78" s="191">
        <v>22293103.203733891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149761828.88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3">
      <c r="A79" s="176" t="s">
        <v>418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462414284.68175</v>
      </c>
      <c r="V79" s="180"/>
      <c r="W79" s="180">
        <v>81076749.373516172</v>
      </c>
      <c r="X79" s="180">
        <v>0</v>
      </c>
      <c r="Y79" s="180">
        <v>81076749.373516172</v>
      </c>
      <c r="Z79" s="180">
        <v>0</v>
      </c>
      <c r="AA79" s="180">
        <v>0</v>
      </c>
      <c r="AB79" s="180">
        <v>0</v>
      </c>
      <c r="AC79" s="248">
        <v>473426558.37741137</v>
      </c>
      <c r="AD79" s="180">
        <v>-11012273.695661359</v>
      </c>
      <c r="AE79" s="180">
        <v>0</v>
      </c>
      <c r="AF79" s="180">
        <v>11012273.695661359</v>
      </c>
      <c r="AG79" s="180">
        <v>0</v>
      </c>
      <c r="AH79" s="249">
        <v>-155550802.8989408</v>
      </c>
      <c r="AI79" s="180">
        <v>0</v>
      </c>
      <c r="AJ79" s="180">
        <v>155550802.8989408</v>
      </c>
      <c r="AK79" s="250">
        <v>0</v>
      </c>
      <c r="AL79" s="184"/>
      <c r="AM79" s="180">
        <v>385997193.01694417</v>
      </c>
      <c r="AN79" s="181"/>
      <c r="AO79" s="184"/>
      <c r="AP79" s="180">
        <v>386191592.69330728</v>
      </c>
      <c r="AQ79" s="185"/>
      <c r="AR79" s="180"/>
      <c r="AS79" s="180"/>
      <c r="AT79" s="180">
        <v>-1070261.2778603528</v>
      </c>
      <c r="AU79" s="180">
        <v>0</v>
      </c>
      <c r="AV79" s="180">
        <v>1070261.2778603528</v>
      </c>
      <c r="AW79" s="180">
        <v>0</v>
      </c>
      <c r="AX79" s="180">
        <v>-155550802.8989408</v>
      </c>
      <c r="AY79" s="180">
        <v>0</v>
      </c>
      <c r="AZ79" s="180">
        <v>155550802.8989408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231967894.56374669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5">
      <c r="A80" s="203"/>
      <c r="B80" s="203" t="s">
        <v>418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462414284.68175</v>
      </c>
      <c r="V80" s="207"/>
      <c r="W80" s="207">
        <v>81076749.373516172</v>
      </c>
      <c r="X80" s="207">
        <v>0</v>
      </c>
      <c r="Y80" s="207">
        <v>81076749.373516172</v>
      </c>
      <c r="Z80" s="207">
        <v>0</v>
      </c>
      <c r="AA80" s="207">
        <v>0</v>
      </c>
      <c r="AB80" s="207">
        <v>0</v>
      </c>
      <c r="AC80" s="254">
        <v>473426558.37741137</v>
      </c>
      <c r="AD80" s="207">
        <v>-11012273.695661359</v>
      </c>
      <c r="AE80" s="207">
        <v>0</v>
      </c>
      <c r="AF80" s="207">
        <v>11012273.695661359</v>
      </c>
      <c r="AG80" s="207">
        <v>0</v>
      </c>
      <c r="AH80" s="255">
        <v>-155550802.8989408</v>
      </c>
      <c r="AI80" s="207">
        <v>0</v>
      </c>
      <c r="AJ80" s="207">
        <v>155550802.8989408</v>
      </c>
      <c r="AK80" s="256">
        <v>0</v>
      </c>
      <c r="AL80" s="209"/>
      <c r="AM80" s="207">
        <v>385997193.01694417</v>
      </c>
      <c r="AN80" s="206"/>
      <c r="AO80" s="209"/>
      <c r="AP80" s="207">
        <v>386191592.69330728</v>
      </c>
      <c r="AQ80" s="210"/>
      <c r="AR80" s="207"/>
      <c r="AS80" s="207"/>
      <c r="AT80" s="207">
        <v>-1070261.2778603528</v>
      </c>
      <c r="AU80" s="207">
        <v>0</v>
      </c>
      <c r="AV80" s="207">
        <v>1070261.2778603528</v>
      </c>
      <c r="AW80" s="207">
        <v>0</v>
      </c>
      <c r="AX80" s="207">
        <v>-155550802.8989408</v>
      </c>
      <c r="AY80" s="207">
        <v>0</v>
      </c>
      <c r="AZ80" s="207">
        <v>155550802.8989408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231967894.56374669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2001-02-27T15:37:17Z</cp:lastPrinted>
  <dcterms:created xsi:type="dcterms:W3CDTF">2000-08-10T21:11:42Z</dcterms:created>
  <dcterms:modified xsi:type="dcterms:W3CDTF">2023-09-10T16:00:33Z</dcterms:modified>
</cp:coreProperties>
</file>