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<sst xmlns="http://schemas.openxmlformats.org/spreadsheetml/2006/main" count="373" uniqueCount="159">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</sst>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66" fontId="4" fillId="0" borderId="0" xfId="2" applyNumberFormat="1" applyFont="1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5" sqref="E5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2" t="s">
        <v>158</v>
      </c>
      <c r="C2" s="92"/>
      <c r="D2" s="92"/>
      <c r="E2" s="92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36962</v>
      </c>
      <c r="D5" s="82" t="s">
        <v>148</v>
      </c>
      <c r="E5" s="83">
        <f>+C5-1</f>
        <v>36961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91">
        <v>-256912167</v>
      </c>
      <c r="D12" s="59">
        <v>0</v>
      </c>
      <c r="E12" s="59">
        <f>+C12-D12</f>
        <v>-256912167</v>
      </c>
      <c r="F12" s="70"/>
    </row>
    <row r="13" spans="1:6" x14ac:dyDescent="0.25">
      <c r="A13" s="68"/>
      <c r="B13" s="69" t="s">
        <v>155</v>
      </c>
      <c r="C13" s="86">
        <f>+C15-C12</f>
        <v>-13872012</v>
      </c>
      <c r="D13" s="86">
        <f>+D15-D12</f>
        <v>0</v>
      </c>
      <c r="E13" s="86">
        <f>+E15-E12</f>
        <v>-13872012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-270784179</v>
      </c>
      <c r="D15" s="87">
        <v>0</v>
      </c>
      <c r="E15" s="87">
        <f>+C15-D15</f>
        <v>-270784179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-144257557.89600003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5" t="s">
        <v>3</v>
      </c>
      <c r="C13" s="95"/>
      <c r="E13" s="95" t="s">
        <v>4</v>
      </c>
      <c r="F13" s="95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3" t="s">
        <v>12</v>
      </c>
      <c r="D21" s="93"/>
      <c r="E21" s="93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5" t="s">
        <v>3</v>
      </c>
      <c r="C34" s="95"/>
      <c r="E34" s="95" t="s">
        <v>4</v>
      </c>
      <c r="F34" s="95"/>
      <c r="H34" s="96" t="s">
        <v>51</v>
      </c>
      <c r="I34" s="96"/>
      <c r="J34" s="96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3" t="s">
        <v>12</v>
      </c>
      <c r="D42" s="93"/>
      <c r="E42" s="93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6" t="s">
        <v>30</v>
      </c>
      <c r="B1" s="96"/>
      <c r="E1" t="s">
        <v>88</v>
      </c>
      <c r="F1" s="25">
        <f>'Credit Analysis'!B3</f>
        <v>36962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349158.25000000006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171</v>
      </c>
      <c r="K3" s="17">
        <f>K1+K2</f>
        <v>10850158.25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349158.25000000006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6" t="s">
        <v>41</v>
      </c>
      <c r="B1" s="96"/>
      <c r="E1" t="s">
        <v>88</v>
      </c>
      <c r="F1" s="25">
        <f>'Credit Analysis'!B3</f>
        <v>36962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171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6" t="s">
        <v>39</v>
      </c>
      <c r="B1" s="96"/>
      <c r="E1" t="s">
        <v>88</v>
      </c>
      <c r="F1" s="25">
        <f>'Credit Analysis'!B3</f>
        <v>36962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1781250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171</v>
      </c>
      <c r="J3" s="17">
        <f>J1+J2</f>
        <v>51781250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1781250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A9" sqref="A9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36962</v>
      </c>
    </row>
    <row r="4" spans="1:6" x14ac:dyDescent="0.25">
      <c r="A4" s="94" t="s">
        <v>26</v>
      </c>
      <c r="B4" s="94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5.7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6" t="s">
        <v>49</v>
      </c>
      <c r="B10" s="96"/>
      <c r="C10" s="96"/>
      <c r="D10" s="96"/>
      <c r="E10" s="96"/>
    </row>
    <row r="11" spans="1:6" x14ac:dyDescent="0.25">
      <c r="B11" s="32" t="s">
        <v>48</v>
      </c>
      <c r="C11" s="33">
        <f>B3</f>
        <v>36962</v>
      </c>
    </row>
    <row r="12" spans="1:6" ht="13.8" thickBot="1" x14ac:dyDescent="0.3">
      <c r="A12" s="95" t="s">
        <v>3</v>
      </c>
      <c r="B12" s="95"/>
      <c r="D12" s="95" t="s">
        <v>4</v>
      </c>
      <c r="E12" s="95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137471460</v>
      </c>
      <c r="D14" t="s">
        <v>6</v>
      </c>
      <c r="E14" s="27">
        <f>'50 NP'!J3</f>
        <v>51781250</v>
      </c>
    </row>
    <row r="15" spans="1:6" x14ac:dyDescent="0.25">
      <c r="A15" s="2" t="s">
        <v>8</v>
      </c>
      <c r="B15" s="27">
        <f>'50 NR'!K3</f>
        <v>10850158.25</v>
      </c>
      <c r="D15" t="s">
        <v>69</v>
      </c>
      <c r="E15" s="27">
        <f>'Hawaii Summary'!C18</f>
        <v>270784179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13747.146000000001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-144257557.89600003</v>
      </c>
    </row>
    <row r="19" spans="1:6" ht="13.8" thickBot="1" x14ac:dyDescent="0.3">
      <c r="B19" s="13">
        <f>SUM(B13:B18)</f>
        <v>178321618.25</v>
      </c>
      <c r="E19" s="35">
        <f>SUM(E13:E18)</f>
        <v>178321618.25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3" t="s">
        <v>51</v>
      </c>
      <c r="B21" s="93"/>
      <c r="C21" s="93"/>
      <c r="E21" s="12">
        <f>+B19-E13-E14-E15-E16</f>
        <v>-144257557.896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-369002340</v>
      </c>
    </row>
    <row r="27" spans="1:6" x14ac:dyDescent="0.25">
      <c r="A27" t="s">
        <v>71</v>
      </c>
      <c r="C27" s="27">
        <f>IF(B16&lt;&gt;0,B16,-E15)</f>
        <v>-270784179</v>
      </c>
    </row>
    <row r="28" spans="1:6" x14ac:dyDescent="0.25">
      <c r="A28" t="s">
        <v>56</v>
      </c>
      <c r="C28" s="36">
        <f>'50 NR'!K4-'258 NP'!J4-'50 NP'!J4</f>
        <v>-1432091.75</v>
      </c>
    </row>
    <row r="29" spans="1:6" x14ac:dyDescent="0.25">
      <c r="A29" t="s">
        <v>59</v>
      </c>
      <c r="C29" s="27">
        <f>C25+C26+C27+C28</f>
        <v>-144243810.75</v>
      </c>
    </row>
    <row r="30" spans="1:6" x14ac:dyDescent="0.25">
      <c r="A30" t="s">
        <v>57</v>
      </c>
      <c r="C30" s="27">
        <f>E18</f>
        <v>-144257557.89600003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13747.146000000001</v>
      </c>
    </row>
    <row r="33" spans="1:4" x14ac:dyDescent="0.25">
      <c r="A33" t="s">
        <v>62</v>
      </c>
      <c r="C33" s="27">
        <f>C29-C30-C31-C32</f>
        <v>2.7655914891511202E-8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3" t="s">
        <v>72</v>
      </c>
      <c r="B35" s="93"/>
      <c r="C35" s="93"/>
    </row>
    <row r="36" spans="1:4" x14ac:dyDescent="0.25">
      <c r="A36" t="s">
        <v>137</v>
      </c>
      <c r="C36" s="27">
        <f>B19</f>
        <v>178321618.25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51781250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13747.146000000001</v>
      </c>
    </row>
    <row r="41" spans="1:4" x14ac:dyDescent="0.25">
      <c r="A41" t="s">
        <v>140</v>
      </c>
      <c r="C41" s="36">
        <f>E15-B16</f>
        <v>270784179</v>
      </c>
    </row>
    <row r="42" spans="1:4" ht="13.8" thickBot="1" x14ac:dyDescent="0.3">
      <c r="C42" s="35">
        <f>C36-SUM(C38:C41)</f>
        <v>-144257557.89600003</v>
      </c>
    </row>
    <row r="43" spans="1:4" ht="13.8" thickTop="1" x14ac:dyDescent="0.25">
      <c r="C43" s="27"/>
    </row>
    <row r="44" spans="1:4" ht="13.8" thickBot="1" x14ac:dyDescent="0.3">
      <c r="A44" s="93" t="s">
        <v>12</v>
      </c>
      <c r="B44" s="93"/>
      <c r="C44" s="93"/>
    </row>
    <row r="45" spans="1:4" x14ac:dyDescent="0.25">
      <c r="A45" t="s">
        <v>13</v>
      </c>
      <c r="C45" s="12">
        <f>+E19</f>
        <v>178321618.25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13747.146000000001</v>
      </c>
    </row>
    <row r="48" spans="1:4" x14ac:dyDescent="0.25">
      <c r="A48" t="s">
        <v>16</v>
      </c>
      <c r="C48" s="5">
        <f>C45+C46-C47</f>
        <v>179307871.104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5415097.7073408002</v>
      </c>
    </row>
    <row r="51" spans="1:3" x14ac:dyDescent="0.25">
      <c r="A51" t="s">
        <v>19</v>
      </c>
      <c r="C51" s="14">
        <f>+C47</f>
        <v>13747.146000000001</v>
      </c>
    </row>
    <row r="52" spans="1:3" x14ac:dyDescent="0.25">
      <c r="A52" t="s">
        <v>20</v>
      </c>
      <c r="C52" s="12">
        <f>C51-C50</f>
        <v>-5401350.5613408005</v>
      </c>
    </row>
    <row r="53" spans="1:3" x14ac:dyDescent="0.25">
      <c r="A53" s="9" t="s">
        <v>21</v>
      </c>
      <c r="B53" s="10"/>
      <c r="C53" s="11">
        <f>C52/C49</f>
        <v>-178852667.59406623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-557029067.59406626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36962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346</v>
      </c>
      <c r="K5">
        <f>'A Amort'!N5</f>
        <v>1986131.25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87199949.15050666</v>
      </c>
      <c r="H6" s="28">
        <v>3954146</v>
      </c>
      <c r="I6" s="45">
        <v>0.15</v>
      </c>
      <c r="J6" s="27">
        <f>B2-B6</f>
        <v>164</v>
      </c>
      <c r="K6" s="41">
        <f>'B_D Amort'!N5</f>
        <v>3973916.73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29187961.193533335</v>
      </c>
      <c r="H7" s="28">
        <v>900355</v>
      </c>
      <c r="I7" s="45">
        <v>0.15</v>
      </c>
      <c r="J7" s="27">
        <f>B2-B7</f>
        <v>196</v>
      </c>
      <c r="K7" s="41">
        <f>'C Amort'!N5</f>
        <v>904856.77500000002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134459002.72737333</v>
      </c>
      <c r="H8" s="35">
        <f>SUM(H5:H7)</f>
        <v>6830751</v>
      </c>
      <c r="K8" s="35">
        <f>SUM(K5:K7)</f>
        <v>6864904.7550000008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5.7</v>
      </c>
    </row>
    <row r="13" spans="1:11" x14ac:dyDescent="0.25">
      <c r="A13" s="96" t="s">
        <v>120</v>
      </c>
      <c r="B13" s="96"/>
      <c r="C13" s="96"/>
      <c r="D13" s="96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103525920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125456314</v>
      </c>
    </row>
    <row r="17" spans="1:3" x14ac:dyDescent="0.25">
      <c r="A17" t="s">
        <v>80</v>
      </c>
      <c r="B17" s="28">
        <f>'C TRS'!B19</f>
        <v>0</v>
      </c>
      <c r="C17" s="28">
        <f>'C TRS'!B20</f>
        <v>41801945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270784179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36962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36950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346</v>
      </c>
      <c r="H4" s="28">
        <f>'Hawaii Summary'!K5</f>
        <v>1986131.25</v>
      </c>
      <c r="I4" s="41"/>
    </row>
    <row r="6" spans="1:9" x14ac:dyDescent="0.25">
      <c r="A6" t="s">
        <v>75</v>
      </c>
      <c r="B6" s="48">
        <f>'Hawaii Summary'!B11</f>
        <v>5.7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38568480</v>
      </c>
      <c r="C10" s="28">
        <f>B4*B7*'Notional Analysis'!C8</f>
        <v>142094400</v>
      </c>
      <c r="E10" t="s">
        <v>122</v>
      </c>
      <c r="G10" s="20">
        <f>B4*B6*'Notional Analysis'!C8</f>
        <v>38568480</v>
      </c>
    </row>
    <row r="11" spans="1:9" x14ac:dyDescent="0.25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18511256.366666667</v>
      </c>
    </row>
    <row r="13" spans="1:9" x14ac:dyDescent="0.25">
      <c r="C13" s="28"/>
      <c r="E13" t="s">
        <v>75</v>
      </c>
      <c r="F13" s="20">
        <f>B4*B6*'Notional Analysis'!C8</f>
        <v>38568480</v>
      </c>
    </row>
    <row r="14" spans="1:9" x14ac:dyDescent="0.25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36592230</v>
      </c>
      <c r="C15" s="59">
        <f>C10-E4+C12</f>
        <v>140118150</v>
      </c>
      <c r="F15" s="20"/>
      <c r="G15" s="20">
        <f>-F14+F13</f>
        <v>-103525920</v>
      </c>
    </row>
    <row r="16" spans="1:9" ht="13.8" thickBot="1" x14ac:dyDescent="0.3">
      <c r="A16" t="s">
        <v>117</v>
      </c>
      <c r="B16" s="20">
        <f>B15-B14</f>
        <v>18521137.616666667</v>
      </c>
      <c r="C16" s="60">
        <f>C15-C14</f>
        <v>122047057.61666667</v>
      </c>
      <c r="D16" s="61" t="s">
        <v>115</v>
      </c>
      <c r="F16" s="20"/>
      <c r="G16" s="17">
        <f>G12-G15</f>
        <v>122037176.36666667</v>
      </c>
      <c r="H16" s="20">
        <f>C16-G16</f>
        <v>9881.25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103525920</v>
      </c>
      <c r="C20" s="28"/>
    </row>
    <row r="21" spans="1:3" x14ac:dyDescent="0.25">
      <c r="A21" t="s">
        <v>116</v>
      </c>
      <c r="B21" s="20">
        <f>B16-B19+B20</f>
        <v>122047057.61666667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36962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12</v>
      </c>
      <c r="F2"/>
      <c r="G2" s="41" t="s">
        <v>99</v>
      </c>
      <c r="H2" s="25">
        <f>VLOOKUP(H1,BD_Debt,1)</f>
        <v>36950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228445.15050666675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19770.73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87199949.15050666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3973916.73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87199949.15050666</v>
      </c>
      <c r="E4" s="28">
        <f>'Hawaii Summary'!H6</f>
        <v>3954146</v>
      </c>
      <c r="F4" s="45">
        <f>'Hawaii Summary'!I6</f>
        <v>0.15</v>
      </c>
      <c r="G4" s="27">
        <f>'Hawaii Summary'!J6</f>
        <v>164</v>
      </c>
      <c r="H4" s="41">
        <f>'Hawaii Summary'!K6</f>
        <v>3973916.73</v>
      </c>
      <c r="I4" s="41"/>
    </row>
    <row r="6" spans="1:9" x14ac:dyDescent="0.25">
      <c r="A6" t="s">
        <v>75</v>
      </c>
      <c r="B6" s="48">
        <f>'Hawaii Summary'!B11</f>
        <v>5.7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48211740</v>
      </c>
      <c r="C10" s="28">
        <f>B4*B7*'Notional Analysis'!C8</f>
        <v>177622200</v>
      </c>
      <c r="E10" t="s">
        <v>122</v>
      </c>
      <c r="G10" s="20">
        <f>B4*B6*'Notional Analysis'!C8</f>
        <v>48211740</v>
      </c>
    </row>
    <row r="11" spans="1:9" x14ac:dyDescent="0.25">
      <c r="A11" t="s">
        <v>108</v>
      </c>
      <c r="B11" s="20">
        <f>D4+H4</f>
        <v>91173865.880506665</v>
      </c>
      <c r="C11" s="28">
        <f>B11</f>
        <v>91173865.880506665</v>
      </c>
      <c r="E11" t="s">
        <v>123</v>
      </c>
      <c r="G11" s="54">
        <f>D4+H4</f>
        <v>91173865.880506665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-42962125.880506665</v>
      </c>
    </row>
    <row r="13" spans="1:9" x14ac:dyDescent="0.25">
      <c r="C13" s="28"/>
      <c r="E13" t="s">
        <v>75</v>
      </c>
      <c r="F13" s="20">
        <f>B4*B6*'Notional Analysis'!C8</f>
        <v>48211740</v>
      </c>
    </row>
    <row r="14" spans="1:9" x14ac:dyDescent="0.25">
      <c r="A14" t="s">
        <v>109</v>
      </c>
      <c r="B14" s="20">
        <f>D4</f>
        <v>87199949.15050666</v>
      </c>
      <c r="C14" s="28">
        <f>B14</f>
        <v>87199949.15050666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48211740</v>
      </c>
      <c r="C15" s="59">
        <f>C10-E4+C12</f>
        <v>173668054</v>
      </c>
      <c r="F15" s="20"/>
      <c r="G15" s="20">
        <f>-F14+F13</f>
        <v>-129410460</v>
      </c>
    </row>
    <row r="16" spans="1:9" ht="13.8" thickBot="1" x14ac:dyDescent="0.3">
      <c r="A16" t="s">
        <v>117</v>
      </c>
      <c r="B16" s="20">
        <f>B15-B14</f>
        <v>-38988209.15050666</v>
      </c>
      <c r="C16" s="60">
        <f>C15-C14</f>
        <v>86468104.84949334</v>
      </c>
      <c r="D16" s="61" t="s">
        <v>115</v>
      </c>
      <c r="F16" s="20"/>
      <c r="G16" s="17">
        <f>G12-G15</f>
        <v>86448334.119493335</v>
      </c>
      <c r="H16" s="20">
        <f>C16-G16</f>
        <v>19770.730000004172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125456314</v>
      </c>
      <c r="C20" s="28"/>
    </row>
    <row r="21" spans="1:3" x14ac:dyDescent="0.25">
      <c r="A21" t="s">
        <v>116</v>
      </c>
      <c r="B21" s="20">
        <f>-B14+B15-B19+B20</f>
        <v>86468104.84949334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36962</v>
      </c>
      <c r="J1" s="1" t="s">
        <v>86</v>
      </c>
    </row>
    <row r="2" spans="1:15" x14ac:dyDescent="0.25">
      <c r="D2" t="s">
        <v>87</v>
      </c>
      <c r="E2" s="27">
        <f>H1-H2</f>
        <v>12</v>
      </c>
      <c r="F2"/>
      <c r="G2" s="41" t="s">
        <v>99</v>
      </c>
      <c r="H2" s="25">
        <f>VLOOKUP(H1,C_Debt,1)</f>
        <v>36950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76466.193533333339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4501.7749999999996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29187961.193533335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904856.77500000002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29187961.193533335</v>
      </c>
      <c r="E4" s="28">
        <f>'Hawaii Summary'!H7</f>
        <v>900355</v>
      </c>
      <c r="F4" s="45">
        <f>'Hawaii Summary'!I7</f>
        <v>0.15</v>
      </c>
      <c r="G4" s="27">
        <f>'Hawaii Summary'!J7</f>
        <v>196</v>
      </c>
      <c r="H4" s="28">
        <f>'Hawaii Summary'!K7</f>
        <v>904856.77500000002</v>
      </c>
      <c r="I4" s="41"/>
    </row>
    <row r="6" spans="1:9" x14ac:dyDescent="0.25">
      <c r="A6" t="s">
        <v>75</v>
      </c>
      <c r="B6" s="48">
        <f>'Hawaii Summary'!B11</f>
        <v>5.7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15908700</v>
      </c>
      <c r="C10" s="28">
        <f>B4*B7*'Notional Analysis'!C8</f>
        <v>58611000</v>
      </c>
      <c r="E10" t="s">
        <v>122</v>
      </c>
      <c r="G10" s="20">
        <f>B4*B6*'Notional Analysis'!C8</f>
        <v>15908700</v>
      </c>
    </row>
    <row r="11" spans="1:9" x14ac:dyDescent="0.25">
      <c r="A11" t="s">
        <v>108</v>
      </c>
      <c r="B11" s="20">
        <f>D4+H4</f>
        <v>30092817.968533333</v>
      </c>
      <c r="C11" s="28">
        <f>B11</f>
        <v>30092817.968533333</v>
      </c>
      <c r="E11" t="s">
        <v>123</v>
      </c>
      <c r="G11" s="54">
        <f>D4+H4</f>
        <v>30092817.968533333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-14184117.968533333</v>
      </c>
    </row>
    <row r="13" spans="1:9" x14ac:dyDescent="0.25">
      <c r="C13" s="28"/>
      <c r="E13" t="s">
        <v>75</v>
      </c>
      <c r="F13" s="20">
        <f>B4*B6*'Notional Analysis'!C8</f>
        <v>15908700</v>
      </c>
    </row>
    <row r="14" spans="1:9" x14ac:dyDescent="0.25">
      <c r="A14" t="s">
        <v>109</v>
      </c>
      <c r="B14" s="20">
        <f>D4</f>
        <v>29187961.193533335</v>
      </c>
      <c r="C14" s="28">
        <f>B14</f>
        <v>29187961.193533335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15908700</v>
      </c>
      <c r="C15" s="59">
        <f>C10-E4+C12</f>
        <v>57710645</v>
      </c>
      <c r="F15" s="20"/>
      <c r="G15" s="20">
        <f>-F14+F13</f>
        <v>-42702300</v>
      </c>
    </row>
    <row r="16" spans="1:9" ht="13.8" thickBot="1" x14ac:dyDescent="0.3">
      <c r="A16" t="s">
        <v>117</v>
      </c>
      <c r="B16" s="20">
        <f>B15-B14</f>
        <v>-13279261.193533335</v>
      </c>
      <c r="C16" s="60">
        <f>C15-C14</f>
        <v>28522683.806466665</v>
      </c>
      <c r="D16" s="61" t="s">
        <v>115</v>
      </c>
      <c r="F16" s="20"/>
      <c r="G16" s="17">
        <f>G12-G15</f>
        <v>28518182.031466667</v>
      </c>
      <c r="H16" s="20">
        <f>C16-G16</f>
        <v>4501.7749999985099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41801945</v>
      </c>
      <c r="C20" s="28"/>
      <c r="F20" s="20"/>
    </row>
    <row r="21" spans="1:6" x14ac:dyDescent="0.25">
      <c r="A21" t="s">
        <v>116</v>
      </c>
      <c r="B21" s="20">
        <f>-B14+B15-B19+B20</f>
        <v>28522683.806466665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2023-09-10T16:00:35Z</dcterms:modified>
</cp:coreProperties>
</file>