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/>
  </bookViews>
  <sheets>
    <sheet name="Summary" sheetId="1" r:id="rId1"/>
    <sheet name="Daily Position" sheetId="3" r:id="rId2"/>
    <sheet name="Stock Prices" sheetId="2" r:id="rId3"/>
    <sheet name="Private Values" sheetId="8" r:id="rId4"/>
    <sheet name="Private Cash" sheetId="9" r:id="rId5"/>
    <sheet name="Financials" sheetId="4" r:id="rId6"/>
    <sheet name="Financials QTR" sheetId="11" r:id="rId7"/>
    <sheet name="Cash-Int-Trans" sheetId="6" r:id="rId8"/>
    <sheet name="Amort" sheetId="5" r:id="rId9"/>
    <sheet name="Shares" sheetId="10" r:id="rId10"/>
    <sheet name="MPR Raptor" sheetId="7" r:id="rId11"/>
  </sheets>
  <externalReferences>
    <externalReference r:id="rId12"/>
  </externalReferences>
  <definedNames>
    <definedName name="_xlnm._FilterDatabase" localSheetId="2" hidden="1">'Stock Prices'!#REF!</definedName>
    <definedName name="acpw">'Stock Prices'!$D$5:$D$377</definedName>
    <definedName name="Amort">Amort!$A$10:$G$20</definedName>
    <definedName name="avci">'Stock Prices'!$C$5:$C$377</definedName>
    <definedName name="caplg">'Stock Prices'!$E$5:$E$377</definedName>
    <definedName name="cesiv">'Stock Prices'!$L$5:$L$377</definedName>
    <definedName name="ene">'Stock Prices'!$A$5:$B$377</definedName>
    <definedName name="kwk">'Stock Prices'!$K$5:$K$377</definedName>
    <definedName name="Loan">Amort!$A$42:$I$52</definedName>
    <definedName name="LoanPeriod">Amort!$B$42:$I$52</definedName>
    <definedName name="MPRR">'MPR Raptor'!$E$3:$CM$140</definedName>
    <definedName name="Note">Amort!$A$10:$I$20</definedName>
    <definedName name="NotePeriod">Amort!$B$10:$I$20</definedName>
    <definedName name="pgeo">'Stock Prices'!$J$5:$J$377</definedName>
    <definedName name="_xlnm.Print_Area" localSheetId="7">'Cash-Int-Trans'!$A$1:$F$164</definedName>
    <definedName name="_xlnm.Print_Area" localSheetId="3">'Private Values'!$A$2:$AH$174</definedName>
    <definedName name="_xlnm.Print_Area" localSheetId="9">Shares!$A$1:$E$30</definedName>
    <definedName name="_xlnm.Print_Area" localSheetId="2">'Stock Prices'!$A$1:$L$180</definedName>
    <definedName name="_xlnm.Print_Area" localSheetId="0">Summary!$A$1:$F$25</definedName>
    <definedName name="_xlnm.Print_Titles" localSheetId="10">'MPR Raptor'!$A:$A</definedName>
    <definedName name="_xlnm.Print_Titles" localSheetId="3">'Private Values'!$A:$A,'Private Values'!$2:$3</definedName>
    <definedName name="_xlnm.Print_Titles" localSheetId="2">'Stock Prices'!$1:$4</definedName>
    <definedName name="Privates">'Private Values'!$A$4:$AH$376</definedName>
    <definedName name="prs">'Stock Prices'!$E$5:$E$377</definedName>
    <definedName name="qsri">'Stock Prices'!$F$5:$F$377</definedName>
    <definedName name="StkPrices">'Stock Prices'!$A$5:$L$377</definedName>
    <definedName name="ttene">'Stock Prices'!$I$5:$I$377</definedName>
    <definedName name="wcrzo">'Stock Prices'!$G$5:$G$377</definedName>
    <definedName name="wtten">'Stock Prices'!$H$5:$H$377</definedName>
  </definedNames>
  <calcPr calcId="92512" fullCalcOnLoad="1"/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D44" i="5"/>
  <c r="F44" i="5"/>
  <c r="G44" i="5"/>
  <c r="H44" i="5"/>
  <c r="I44" i="5"/>
  <c r="B45" i="5"/>
  <c r="C45" i="5"/>
  <c r="D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A66" i="5"/>
  <c r="E66" i="5"/>
  <c r="A67" i="5"/>
  <c r="D67" i="5"/>
  <c r="E67" i="5"/>
  <c r="E68" i="5"/>
  <c r="A70" i="5"/>
  <c r="B70" i="5"/>
  <c r="E70" i="5"/>
  <c r="A71" i="5"/>
  <c r="B71" i="5"/>
  <c r="E71" i="5"/>
  <c r="A72" i="5"/>
  <c r="B72" i="5"/>
  <c r="E72" i="5"/>
  <c r="A73" i="5"/>
  <c r="B73" i="5"/>
  <c r="E73" i="5"/>
  <c r="A74" i="5"/>
  <c r="B74" i="5"/>
  <c r="E74" i="5"/>
  <c r="A75" i="5"/>
  <c r="B75" i="5"/>
  <c r="E75" i="5"/>
  <c r="A76" i="5"/>
  <c r="B76" i="5"/>
  <c r="E76" i="5"/>
  <c r="A77" i="5"/>
  <c r="B77" i="5"/>
  <c r="E77" i="5"/>
  <c r="A78" i="5"/>
  <c r="B78" i="5"/>
  <c r="E78" i="5"/>
  <c r="A79" i="5"/>
  <c r="B79" i="5"/>
  <c r="E79" i="5"/>
  <c r="E80" i="5"/>
  <c r="E81" i="5"/>
  <c r="A83" i="5"/>
  <c r="B83" i="5"/>
  <c r="E83" i="5"/>
  <c r="A84" i="5"/>
  <c r="B84" i="5"/>
  <c r="E84" i="5"/>
  <c r="A85" i="5"/>
  <c r="B85" i="5"/>
  <c r="E85" i="5"/>
  <c r="A86" i="5"/>
  <c r="B86" i="5"/>
  <c r="E86" i="5"/>
  <c r="A87" i="5"/>
  <c r="B87" i="5"/>
  <c r="E87" i="5"/>
  <c r="A88" i="5"/>
  <c r="B88" i="5"/>
  <c r="E88" i="5"/>
  <c r="A89" i="5"/>
  <c r="B89" i="5"/>
  <c r="E89" i="5"/>
  <c r="A90" i="5"/>
  <c r="B90" i="5"/>
  <c r="E90" i="5"/>
  <c r="A91" i="5"/>
  <c r="B91" i="5"/>
  <c r="E91" i="5"/>
  <c r="A92" i="5"/>
  <c r="B92" i="5"/>
  <c r="E92" i="5"/>
  <c r="A93" i="5"/>
  <c r="B93" i="5"/>
  <c r="E93" i="5"/>
  <c r="A94" i="5"/>
  <c r="B94" i="5"/>
  <c r="E94" i="5"/>
  <c r="A95" i="5"/>
  <c r="B95" i="5"/>
  <c r="E95" i="5"/>
  <c r="A96" i="5"/>
  <c r="B96" i="5"/>
  <c r="E96" i="5"/>
  <c r="A97" i="5"/>
  <c r="B97" i="5"/>
  <c r="E97" i="5"/>
  <c r="A98" i="5"/>
  <c r="B98" i="5"/>
  <c r="E98" i="5"/>
  <c r="A99" i="5"/>
  <c r="B99" i="5"/>
  <c r="E99" i="5"/>
  <c r="A100" i="5"/>
  <c r="B100" i="5"/>
  <c r="E100" i="5"/>
  <c r="A101" i="5"/>
  <c r="B101" i="5"/>
  <c r="E101" i="5"/>
  <c r="E102" i="5"/>
  <c r="E103" i="5"/>
  <c r="B4" i="6"/>
  <c r="B5" i="6"/>
  <c r="B6" i="6"/>
  <c r="B7" i="6"/>
  <c r="B9" i="6"/>
  <c r="B10" i="6"/>
  <c r="D10" i="6"/>
  <c r="B12" i="6"/>
  <c r="B13" i="6"/>
  <c r="D13" i="6"/>
  <c r="B16" i="6"/>
  <c r="B17" i="6"/>
  <c r="B19" i="6"/>
  <c r="D19" i="6"/>
  <c r="B20" i="6"/>
  <c r="D20" i="6"/>
  <c r="B22" i="6"/>
  <c r="D22" i="6"/>
  <c r="B23" i="6"/>
  <c r="D23" i="6"/>
  <c r="B26" i="6"/>
  <c r="D27" i="6"/>
  <c r="D28" i="6"/>
  <c r="B29" i="6"/>
  <c r="D29" i="6"/>
  <c r="D30" i="6"/>
  <c r="B34" i="6"/>
  <c r="B36" i="6"/>
  <c r="B37" i="6"/>
  <c r="A38" i="6"/>
  <c r="B38" i="6"/>
  <c r="B41" i="6"/>
  <c r="B42" i="6"/>
  <c r="B43" i="6"/>
  <c r="B44" i="6"/>
  <c r="B46" i="6"/>
  <c r="B47" i="6"/>
  <c r="B49" i="6"/>
  <c r="D49" i="6"/>
  <c r="E49" i="6"/>
  <c r="B52" i="6"/>
  <c r="E55" i="6"/>
  <c r="B56" i="6"/>
  <c r="B57" i="6"/>
  <c r="B59" i="6"/>
  <c r="B60" i="6"/>
  <c r="E60" i="6"/>
  <c r="B61" i="6"/>
  <c r="B62" i="6"/>
  <c r="B64" i="6"/>
  <c r="B65" i="6"/>
  <c r="E65" i="6"/>
  <c r="B66" i="6"/>
  <c r="B67" i="6"/>
  <c r="B69" i="6"/>
  <c r="B70" i="6"/>
  <c r="E70" i="6"/>
  <c r="B71" i="6"/>
  <c r="B72" i="6"/>
  <c r="B74" i="6"/>
  <c r="B75" i="6"/>
  <c r="E75" i="6"/>
  <c r="B76" i="6"/>
  <c r="B77" i="6"/>
  <c r="B79" i="6"/>
  <c r="B80" i="6"/>
  <c r="E80" i="6"/>
  <c r="B81" i="6"/>
  <c r="B82" i="6"/>
  <c r="B84" i="6"/>
  <c r="B85" i="6"/>
  <c r="E85" i="6"/>
  <c r="B86" i="6"/>
  <c r="B87" i="6"/>
  <c r="B89" i="6"/>
  <c r="B90" i="6"/>
  <c r="E90" i="6"/>
  <c r="B91" i="6"/>
  <c r="B92" i="6"/>
  <c r="B94" i="6"/>
  <c r="B95" i="6"/>
  <c r="E95" i="6"/>
  <c r="B96" i="6"/>
  <c r="B97" i="6"/>
  <c r="B99" i="6"/>
  <c r="B100" i="6"/>
  <c r="E100" i="6"/>
  <c r="B101" i="6"/>
  <c r="B102" i="6"/>
  <c r="B104" i="6"/>
  <c r="B105" i="6"/>
  <c r="E105" i="6"/>
  <c r="B106" i="6"/>
  <c r="B107" i="6"/>
  <c r="B109" i="6"/>
  <c r="B110" i="6"/>
  <c r="E110" i="6"/>
  <c r="B111" i="6"/>
  <c r="B112" i="6"/>
  <c r="B117" i="6"/>
  <c r="B119" i="6"/>
  <c r="D119" i="6"/>
  <c r="E122" i="6"/>
  <c r="B123" i="6"/>
  <c r="E123" i="6"/>
  <c r="A124" i="6"/>
  <c r="E124" i="6"/>
  <c r="B126" i="6"/>
  <c r="E126" i="6"/>
  <c r="B127" i="6"/>
  <c r="E127" i="6"/>
  <c r="A128" i="6"/>
  <c r="B128" i="6"/>
  <c r="E128" i="6"/>
  <c r="B130" i="6"/>
  <c r="E130" i="6"/>
  <c r="B131" i="6"/>
  <c r="E131" i="6"/>
  <c r="B132" i="6"/>
  <c r="E132" i="6"/>
  <c r="E134" i="6"/>
  <c r="B135" i="6"/>
  <c r="E135" i="6"/>
  <c r="B136" i="6"/>
  <c r="E136" i="6"/>
  <c r="E138" i="6"/>
  <c r="B139" i="6"/>
  <c r="E139" i="6"/>
  <c r="B140" i="6"/>
  <c r="E140" i="6"/>
  <c r="E142" i="6"/>
  <c r="B143" i="6"/>
  <c r="E143" i="6"/>
  <c r="E144" i="6"/>
  <c r="E146" i="6"/>
  <c r="B147" i="6"/>
  <c r="E147" i="6"/>
  <c r="E148" i="6"/>
  <c r="E150" i="6"/>
  <c r="B151" i="6"/>
  <c r="E151" i="6"/>
  <c r="E152" i="6"/>
  <c r="E154" i="6"/>
  <c r="B155" i="6"/>
  <c r="E155" i="6"/>
  <c r="E156" i="6"/>
  <c r="E158" i="6"/>
  <c r="B159" i="6"/>
  <c r="E159" i="6"/>
  <c r="E160" i="6"/>
  <c r="E162" i="6"/>
  <c r="B163" i="6"/>
  <c r="E163" i="6"/>
  <c r="B164" i="6"/>
  <c r="E164" i="6"/>
  <c r="B166" i="6"/>
  <c r="E166" i="6"/>
  <c r="B167" i="6"/>
  <c r="E167" i="6"/>
  <c r="B168" i="6"/>
  <c r="E168" i="6"/>
  <c r="E170" i="6"/>
  <c r="B171" i="6"/>
  <c r="E171" i="6"/>
  <c r="B172" i="6"/>
  <c r="E172" i="6"/>
  <c r="E174" i="6"/>
  <c r="B175" i="6"/>
  <c r="E175" i="6"/>
  <c r="B176" i="6"/>
  <c r="E176" i="6"/>
  <c r="E178" i="6"/>
  <c r="B179" i="6"/>
  <c r="E179" i="6"/>
  <c r="A180" i="6"/>
  <c r="B180" i="6"/>
  <c r="E180" i="6"/>
  <c r="E182" i="6"/>
  <c r="B183" i="6"/>
  <c r="E183" i="6"/>
  <c r="A184" i="6"/>
  <c r="B184" i="6"/>
  <c r="E184" i="6"/>
  <c r="E186" i="6"/>
  <c r="B187" i="6"/>
  <c r="E187" i="6"/>
  <c r="A188" i="6"/>
  <c r="B188" i="6"/>
  <c r="E188" i="6"/>
  <c r="E190" i="6"/>
  <c r="B191" i="6"/>
  <c r="E191" i="6"/>
  <c r="A192" i="6"/>
  <c r="B192" i="6"/>
  <c r="E192" i="6"/>
  <c r="E194" i="6"/>
  <c r="B195" i="6"/>
  <c r="E195" i="6"/>
  <c r="A196" i="6"/>
  <c r="B196" i="6"/>
  <c r="E196" i="6"/>
  <c r="E198" i="6"/>
  <c r="B199" i="6"/>
  <c r="E199" i="6"/>
  <c r="B200" i="6"/>
  <c r="E200" i="6"/>
  <c r="E202" i="6"/>
  <c r="B203" i="6"/>
  <c r="E203" i="6"/>
  <c r="B204" i="6"/>
  <c r="E204" i="6"/>
  <c r="E206" i="6"/>
  <c r="B207" i="6"/>
  <c r="E207" i="6"/>
  <c r="B208" i="6"/>
  <c r="E208" i="6"/>
  <c r="E210" i="6"/>
  <c r="B211" i="6"/>
  <c r="E211" i="6"/>
  <c r="A212" i="6"/>
  <c r="B212" i="6"/>
  <c r="E212" i="6"/>
  <c r="E214" i="6"/>
  <c r="B215" i="6"/>
  <c r="E215" i="6"/>
  <c r="A216" i="6"/>
  <c r="B216" i="6"/>
  <c r="E216" i="6"/>
  <c r="E218" i="6"/>
  <c r="B219" i="6"/>
  <c r="E219" i="6"/>
  <c r="A220" i="6"/>
  <c r="B220" i="6"/>
  <c r="E220" i="6"/>
  <c r="E222" i="6"/>
  <c r="B223" i="6"/>
  <c r="E223" i="6"/>
  <c r="A224" i="6"/>
  <c r="B224" i="6"/>
  <c r="E224" i="6"/>
  <c r="E226" i="6"/>
  <c r="B227" i="6"/>
  <c r="E227" i="6"/>
  <c r="A228" i="6"/>
  <c r="B228" i="6"/>
  <c r="E228" i="6"/>
  <c r="E230" i="6"/>
  <c r="B231" i="6"/>
  <c r="E231" i="6"/>
  <c r="A232" i="6"/>
  <c r="B232" i="6"/>
  <c r="E232" i="6"/>
  <c r="E234" i="6"/>
  <c r="B235" i="6"/>
  <c r="E235" i="6"/>
  <c r="E236" i="6"/>
  <c r="E238" i="6"/>
  <c r="B239" i="6"/>
  <c r="E239" i="6"/>
  <c r="A240" i="6"/>
  <c r="E240" i="6"/>
  <c r="E242" i="6"/>
  <c r="B243" i="6"/>
  <c r="E243" i="6"/>
  <c r="A244" i="6"/>
  <c r="E244" i="6"/>
  <c r="I4" i="3"/>
  <c r="K4" i="3"/>
  <c r="L4" i="3"/>
  <c r="M4" i="3"/>
  <c r="N4" i="3"/>
  <c r="O4" i="3"/>
  <c r="P4" i="3"/>
  <c r="Q4" i="3"/>
  <c r="R4" i="3"/>
  <c r="S4" i="3"/>
  <c r="T4" i="3"/>
  <c r="U4" i="3"/>
  <c r="W4" i="3"/>
  <c r="AB4" i="3"/>
  <c r="AC4" i="3"/>
  <c r="AD4" i="3"/>
  <c r="AG4" i="3"/>
  <c r="G5" i="3"/>
  <c r="H5" i="3"/>
  <c r="I5" i="3"/>
  <c r="N5" i="3"/>
  <c r="O5" i="3"/>
  <c r="P5" i="3"/>
  <c r="Q5" i="3"/>
  <c r="R5" i="3"/>
  <c r="S5" i="3"/>
  <c r="T5" i="3"/>
  <c r="U5" i="3"/>
  <c r="W5" i="3"/>
  <c r="AB5" i="3"/>
  <c r="AC5" i="3"/>
  <c r="AD5" i="3"/>
  <c r="AG5" i="3"/>
  <c r="G6" i="3"/>
  <c r="H6" i="3"/>
  <c r="I6" i="3"/>
  <c r="K6" i="3"/>
  <c r="L6" i="3"/>
  <c r="N6" i="3"/>
  <c r="O6" i="3"/>
  <c r="P6" i="3"/>
  <c r="Q6" i="3"/>
  <c r="R6" i="3"/>
  <c r="S6" i="3"/>
  <c r="T6" i="3"/>
  <c r="U6" i="3"/>
  <c r="G7" i="3"/>
  <c r="H7" i="3"/>
  <c r="I7" i="3"/>
  <c r="L7" i="3"/>
  <c r="M7" i="3"/>
  <c r="N7" i="3"/>
  <c r="O7" i="3"/>
  <c r="P7" i="3"/>
  <c r="Q7" i="3"/>
  <c r="R7" i="3"/>
  <c r="S7" i="3"/>
  <c r="T7" i="3"/>
  <c r="U7" i="3"/>
  <c r="G8" i="3"/>
  <c r="H8" i="3"/>
  <c r="I8" i="3"/>
  <c r="L8" i="3"/>
  <c r="M8" i="3"/>
  <c r="N8" i="3"/>
  <c r="O8" i="3"/>
  <c r="P8" i="3"/>
  <c r="Q8" i="3"/>
  <c r="R8" i="3"/>
  <c r="S8" i="3"/>
  <c r="T8" i="3"/>
  <c r="U8" i="3"/>
  <c r="G9" i="3"/>
  <c r="H9" i="3"/>
  <c r="I9" i="3"/>
  <c r="L9" i="3"/>
  <c r="M9" i="3"/>
  <c r="N9" i="3"/>
  <c r="O9" i="3"/>
  <c r="P9" i="3"/>
  <c r="Q9" i="3"/>
  <c r="R9" i="3"/>
  <c r="S9" i="3"/>
  <c r="T9" i="3"/>
  <c r="U9" i="3"/>
  <c r="G10" i="3"/>
  <c r="H10" i="3"/>
  <c r="I10" i="3"/>
  <c r="L10" i="3"/>
  <c r="M10" i="3"/>
  <c r="N10" i="3"/>
  <c r="O10" i="3"/>
  <c r="P10" i="3"/>
  <c r="Q10" i="3"/>
  <c r="R10" i="3"/>
  <c r="S10" i="3"/>
  <c r="T10" i="3"/>
  <c r="U10" i="3"/>
  <c r="G11" i="3"/>
  <c r="H11" i="3"/>
  <c r="I11" i="3"/>
  <c r="L11" i="3"/>
  <c r="M11" i="3"/>
  <c r="N11" i="3"/>
  <c r="O11" i="3"/>
  <c r="P11" i="3"/>
  <c r="Q11" i="3"/>
  <c r="R11" i="3"/>
  <c r="S11" i="3"/>
  <c r="T11" i="3"/>
  <c r="U11" i="3"/>
  <c r="G12" i="3"/>
  <c r="H12" i="3"/>
  <c r="I12" i="3"/>
  <c r="L12" i="3"/>
  <c r="M12" i="3"/>
  <c r="N12" i="3"/>
  <c r="O12" i="3"/>
  <c r="P12" i="3"/>
  <c r="Q12" i="3"/>
  <c r="R12" i="3"/>
  <c r="S12" i="3"/>
  <c r="T12" i="3"/>
  <c r="U12" i="3"/>
  <c r="I13" i="3"/>
  <c r="K13" i="3"/>
  <c r="L13" i="3"/>
  <c r="N13" i="3"/>
  <c r="O13" i="3"/>
  <c r="P13" i="3"/>
  <c r="Q13" i="3"/>
  <c r="R13" i="3"/>
  <c r="S13" i="3"/>
  <c r="T13" i="3"/>
  <c r="U13" i="3"/>
  <c r="W13" i="3"/>
  <c r="AB13" i="3"/>
  <c r="AC13" i="3"/>
  <c r="AD13" i="3"/>
  <c r="AG13" i="3"/>
  <c r="I14" i="3"/>
  <c r="L14" i="3"/>
  <c r="M14" i="3"/>
  <c r="N14" i="3"/>
  <c r="O14" i="3"/>
  <c r="P14" i="3"/>
  <c r="Q14" i="3"/>
  <c r="R14" i="3"/>
  <c r="S14" i="3"/>
  <c r="T14" i="3"/>
  <c r="U14" i="3"/>
  <c r="W14" i="3"/>
  <c r="AB14" i="3"/>
  <c r="AC14" i="3"/>
  <c r="AD14" i="3"/>
  <c r="AG14" i="3"/>
  <c r="G15" i="3"/>
  <c r="H15" i="3"/>
  <c r="I15" i="3"/>
  <c r="N15" i="3"/>
  <c r="O15" i="3"/>
  <c r="P15" i="3"/>
  <c r="Q15" i="3"/>
  <c r="R15" i="3"/>
  <c r="S15" i="3"/>
  <c r="T15" i="3"/>
  <c r="U15" i="3"/>
  <c r="W15" i="3"/>
  <c r="AB15" i="3"/>
  <c r="AC15" i="3"/>
  <c r="AD15" i="3"/>
  <c r="AG15" i="3"/>
  <c r="H16" i="3"/>
  <c r="I16" i="3"/>
  <c r="N16" i="3"/>
  <c r="O16" i="3"/>
  <c r="P16" i="3"/>
  <c r="Q16" i="3"/>
  <c r="R16" i="3"/>
  <c r="S16" i="3"/>
  <c r="T16" i="3"/>
  <c r="U16" i="3"/>
  <c r="W16" i="3"/>
  <c r="AB16" i="3"/>
  <c r="AC16" i="3"/>
  <c r="AD16" i="3"/>
  <c r="AG16" i="3"/>
  <c r="B17" i="3"/>
  <c r="G17" i="3"/>
  <c r="H17" i="3"/>
  <c r="I17" i="3"/>
  <c r="K17" i="3"/>
  <c r="L17" i="3"/>
  <c r="M17" i="3"/>
  <c r="N17" i="3"/>
  <c r="O17" i="3"/>
  <c r="P17" i="3"/>
  <c r="Q17" i="3"/>
  <c r="R17" i="3"/>
  <c r="S17" i="3"/>
  <c r="T17" i="3"/>
  <c r="U17" i="3"/>
  <c r="B18" i="3"/>
  <c r="G18" i="3"/>
  <c r="H18" i="3"/>
  <c r="I18" i="3"/>
  <c r="K18" i="3"/>
  <c r="L18" i="3"/>
  <c r="M18" i="3"/>
  <c r="N18" i="3"/>
  <c r="O18" i="3"/>
  <c r="P18" i="3"/>
  <c r="Q18" i="3"/>
  <c r="R18" i="3"/>
  <c r="S18" i="3"/>
  <c r="T18" i="3"/>
  <c r="U18" i="3"/>
  <c r="B19" i="3"/>
  <c r="G19" i="3"/>
  <c r="H19" i="3"/>
  <c r="I19" i="3"/>
  <c r="K19" i="3"/>
  <c r="L19" i="3"/>
  <c r="M19" i="3"/>
  <c r="N19" i="3"/>
  <c r="O19" i="3"/>
  <c r="P19" i="3"/>
  <c r="Q19" i="3"/>
  <c r="R19" i="3"/>
  <c r="S19" i="3"/>
  <c r="T19" i="3"/>
  <c r="U19" i="3"/>
  <c r="B20" i="3"/>
  <c r="G20" i="3"/>
  <c r="H20" i="3"/>
  <c r="I20" i="3"/>
  <c r="L20" i="3"/>
  <c r="M20" i="3"/>
  <c r="N20" i="3"/>
  <c r="O20" i="3"/>
  <c r="P20" i="3"/>
  <c r="Q20" i="3"/>
  <c r="R20" i="3"/>
  <c r="S20" i="3"/>
  <c r="T20" i="3"/>
  <c r="U20" i="3"/>
  <c r="B21" i="3"/>
  <c r="G21" i="3"/>
  <c r="H21" i="3"/>
  <c r="I21" i="3"/>
  <c r="L21" i="3"/>
  <c r="M21" i="3"/>
  <c r="N21" i="3"/>
  <c r="O21" i="3"/>
  <c r="P21" i="3"/>
  <c r="Q21" i="3"/>
  <c r="R21" i="3"/>
  <c r="S21" i="3"/>
  <c r="T21" i="3"/>
  <c r="U21" i="3"/>
  <c r="B22" i="3"/>
  <c r="G22" i="3"/>
  <c r="H22" i="3"/>
  <c r="I22" i="3"/>
  <c r="L22" i="3"/>
  <c r="M22" i="3"/>
  <c r="N22" i="3"/>
  <c r="O22" i="3"/>
  <c r="P22" i="3"/>
  <c r="Q22" i="3"/>
  <c r="R22" i="3"/>
  <c r="S22" i="3"/>
  <c r="T22" i="3"/>
  <c r="U22" i="3"/>
  <c r="B23" i="3"/>
  <c r="G23" i="3"/>
  <c r="H23" i="3"/>
  <c r="I23" i="3"/>
  <c r="L23" i="3"/>
  <c r="M23" i="3"/>
  <c r="N23" i="3"/>
  <c r="O23" i="3"/>
  <c r="P23" i="3"/>
  <c r="Q23" i="3"/>
  <c r="R23" i="3"/>
  <c r="S23" i="3"/>
  <c r="T23" i="3"/>
  <c r="U23" i="3"/>
  <c r="B24" i="3"/>
  <c r="G24" i="3"/>
  <c r="H24" i="3"/>
  <c r="I24" i="3"/>
  <c r="L24" i="3"/>
  <c r="M24" i="3"/>
  <c r="N24" i="3"/>
  <c r="O24" i="3"/>
  <c r="P24" i="3"/>
  <c r="Q24" i="3"/>
  <c r="R24" i="3"/>
  <c r="S24" i="3"/>
  <c r="T24" i="3"/>
  <c r="U24" i="3"/>
  <c r="B25" i="3"/>
  <c r="G25" i="3"/>
  <c r="H25" i="3"/>
  <c r="I25" i="3"/>
  <c r="L25" i="3"/>
  <c r="M25" i="3"/>
  <c r="N25" i="3"/>
  <c r="O25" i="3"/>
  <c r="P25" i="3"/>
  <c r="Q25" i="3"/>
  <c r="R25" i="3"/>
  <c r="S25" i="3"/>
  <c r="T25" i="3"/>
  <c r="U25" i="3"/>
  <c r="B26" i="3"/>
  <c r="G26" i="3"/>
  <c r="H26" i="3"/>
  <c r="I26" i="3"/>
  <c r="L26" i="3"/>
  <c r="M26" i="3"/>
  <c r="N26" i="3"/>
  <c r="O26" i="3"/>
  <c r="P26" i="3"/>
  <c r="Q26" i="3"/>
  <c r="R26" i="3"/>
  <c r="S26" i="3"/>
  <c r="T26" i="3"/>
  <c r="U26" i="3"/>
  <c r="B27" i="3"/>
  <c r="G27" i="3"/>
  <c r="H27" i="3"/>
  <c r="I27" i="3"/>
  <c r="L27" i="3"/>
  <c r="M27" i="3"/>
  <c r="N27" i="3"/>
  <c r="O27" i="3"/>
  <c r="P27" i="3"/>
  <c r="Q27" i="3"/>
  <c r="R27" i="3"/>
  <c r="S27" i="3"/>
  <c r="T27" i="3"/>
  <c r="U27" i="3"/>
  <c r="I28" i="3"/>
  <c r="L28" i="3"/>
  <c r="M28" i="3"/>
  <c r="N28" i="3"/>
  <c r="O28" i="3"/>
  <c r="P28" i="3"/>
  <c r="Q28" i="3"/>
  <c r="R28" i="3"/>
  <c r="S28" i="3"/>
  <c r="T28" i="3"/>
  <c r="U28" i="3"/>
  <c r="AB28" i="3"/>
  <c r="AC28" i="3"/>
  <c r="AG28" i="3"/>
  <c r="G29" i="3"/>
  <c r="H29" i="3"/>
  <c r="I29" i="3"/>
  <c r="K29" i="3"/>
  <c r="L29" i="3"/>
  <c r="M29" i="3"/>
  <c r="N29" i="3"/>
  <c r="O29" i="3"/>
  <c r="P29" i="3"/>
  <c r="Q29" i="3"/>
  <c r="R29" i="3"/>
  <c r="S29" i="3"/>
  <c r="T29" i="3"/>
  <c r="U29" i="3"/>
  <c r="W29" i="3"/>
  <c r="AB29" i="3"/>
  <c r="AC29" i="3"/>
  <c r="AD29" i="3"/>
  <c r="AG29" i="3"/>
  <c r="G30" i="3"/>
  <c r="H30" i="3"/>
  <c r="I30" i="3"/>
  <c r="K30" i="3"/>
  <c r="L30" i="3"/>
  <c r="N30" i="3"/>
  <c r="O30" i="3"/>
  <c r="P30" i="3"/>
  <c r="Q30" i="3"/>
  <c r="R30" i="3"/>
  <c r="S30" i="3"/>
  <c r="T30" i="3"/>
  <c r="U30" i="3"/>
  <c r="AB30" i="3"/>
  <c r="AC30" i="3"/>
  <c r="AG30" i="3"/>
  <c r="I31" i="3"/>
  <c r="K31" i="3"/>
  <c r="L31" i="3"/>
  <c r="N31" i="3"/>
  <c r="O31" i="3"/>
  <c r="P31" i="3"/>
  <c r="Q31" i="3"/>
  <c r="R31" i="3"/>
  <c r="S31" i="3"/>
  <c r="T31" i="3"/>
  <c r="U31" i="3"/>
  <c r="AB31" i="3"/>
  <c r="AC31" i="3"/>
  <c r="AG31" i="3"/>
  <c r="N34" i="3"/>
  <c r="O34" i="3"/>
  <c r="P34" i="3"/>
  <c r="R34" i="3"/>
  <c r="T34" i="3"/>
  <c r="U34" i="3"/>
  <c r="W34" i="3"/>
  <c r="AB34" i="3"/>
  <c r="AC34" i="3"/>
  <c r="AD34" i="3"/>
  <c r="N35" i="3"/>
  <c r="O35" i="3"/>
  <c r="P35" i="3"/>
  <c r="R35" i="3"/>
  <c r="T35" i="3"/>
  <c r="U35" i="3"/>
  <c r="V35" i="3"/>
  <c r="W35" i="3"/>
  <c r="AB35" i="3"/>
  <c r="AC35" i="3"/>
  <c r="AD35" i="3"/>
  <c r="N36" i="3"/>
  <c r="O36" i="3"/>
  <c r="P36" i="3"/>
  <c r="R36" i="3"/>
  <c r="T36" i="3"/>
  <c r="U36" i="3"/>
  <c r="V36" i="3"/>
  <c r="W36" i="3"/>
  <c r="AB36" i="3"/>
  <c r="AC36" i="3"/>
  <c r="AD36" i="3"/>
  <c r="N37" i="3"/>
  <c r="O37" i="3"/>
  <c r="P37" i="3"/>
  <c r="Q37" i="3"/>
  <c r="R37" i="3"/>
  <c r="S37" i="3"/>
  <c r="T37" i="3"/>
  <c r="U37" i="3"/>
  <c r="V37" i="3"/>
  <c r="AB37" i="3"/>
  <c r="AC37" i="3"/>
  <c r="I38" i="3"/>
  <c r="M38" i="3"/>
  <c r="N38" i="3"/>
  <c r="O38" i="3"/>
  <c r="P38" i="3"/>
  <c r="Q38" i="3"/>
  <c r="R38" i="3"/>
  <c r="S38" i="3"/>
  <c r="T38" i="3"/>
  <c r="U38" i="3"/>
  <c r="V38" i="3"/>
  <c r="AB38" i="3"/>
  <c r="AC38" i="3"/>
  <c r="G39" i="3"/>
  <c r="H39" i="3"/>
  <c r="I39" i="3"/>
  <c r="N39" i="3"/>
  <c r="O39" i="3"/>
  <c r="P39" i="3"/>
  <c r="R39" i="3"/>
  <c r="T39" i="3"/>
  <c r="U39" i="3"/>
  <c r="V39" i="3"/>
  <c r="AB39" i="3"/>
  <c r="AC39" i="3"/>
  <c r="N40" i="3"/>
  <c r="O40" i="3"/>
  <c r="P40" i="3"/>
  <c r="R40" i="3"/>
  <c r="T40" i="3"/>
  <c r="U40" i="3"/>
  <c r="V40" i="3"/>
  <c r="W40" i="3"/>
  <c r="AB40" i="3"/>
  <c r="AC40" i="3"/>
  <c r="AD40" i="3"/>
  <c r="I41" i="3"/>
  <c r="N41" i="3"/>
  <c r="O41" i="3"/>
  <c r="P41" i="3"/>
  <c r="R41" i="3"/>
  <c r="T41" i="3"/>
  <c r="U41" i="3"/>
  <c r="V41" i="3"/>
  <c r="W41" i="3"/>
  <c r="AB41" i="3"/>
  <c r="AC41" i="3"/>
  <c r="AD41" i="3"/>
  <c r="N42" i="3"/>
  <c r="O42" i="3"/>
  <c r="P42" i="3"/>
  <c r="Q42" i="3"/>
  <c r="R42" i="3"/>
  <c r="S42" i="3"/>
  <c r="T42" i="3"/>
  <c r="U42" i="3"/>
  <c r="V42" i="3"/>
  <c r="AB42" i="3"/>
  <c r="AC42" i="3"/>
  <c r="I43" i="3"/>
  <c r="N43" i="3"/>
  <c r="O43" i="3"/>
  <c r="P43" i="3"/>
  <c r="R43" i="3"/>
  <c r="T43" i="3"/>
  <c r="U43" i="3"/>
  <c r="V43" i="3"/>
  <c r="W43" i="3"/>
  <c r="AB43" i="3"/>
  <c r="AC43" i="3"/>
  <c r="AD43" i="3"/>
  <c r="N44" i="3"/>
  <c r="O44" i="3"/>
  <c r="P44" i="3"/>
  <c r="R44" i="3"/>
  <c r="T44" i="3"/>
  <c r="U44" i="3"/>
  <c r="V44" i="3"/>
  <c r="W44" i="3"/>
  <c r="AB44" i="3"/>
  <c r="AC44" i="3"/>
  <c r="AD44" i="3"/>
  <c r="N45" i="3"/>
  <c r="O45" i="3"/>
  <c r="P45" i="3"/>
  <c r="R45" i="3"/>
  <c r="T45" i="3"/>
  <c r="U45" i="3"/>
  <c r="V45" i="3"/>
  <c r="W45" i="3"/>
  <c r="AB45" i="3"/>
  <c r="AC45" i="3"/>
  <c r="AD45" i="3"/>
  <c r="N46" i="3"/>
  <c r="O46" i="3"/>
  <c r="P46" i="3"/>
  <c r="R46" i="3"/>
  <c r="T46" i="3"/>
  <c r="U46" i="3"/>
  <c r="V46" i="3"/>
  <c r="W46" i="3"/>
  <c r="AB46" i="3"/>
  <c r="AC46" i="3"/>
  <c r="AD46" i="3"/>
  <c r="N47" i="3"/>
  <c r="O47" i="3"/>
  <c r="P47" i="3"/>
  <c r="R47" i="3"/>
  <c r="T47" i="3"/>
  <c r="U47" i="3"/>
  <c r="V47" i="3"/>
  <c r="W47" i="3"/>
  <c r="AB47" i="3"/>
  <c r="AC47" i="3"/>
  <c r="AD47" i="3"/>
  <c r="N48" i="3"/>
  <c r="O48" i="3"/>
  <c r="P48" i="3"/>
  <c r="R48" i="3"/>
  <c r="T48" i="3"/>
  <c r="U48" i="3"/>
  <c r="V48" i="3"/>
  <c r="W48" i="3"/>
  <c r="AB48" i="3"/>
  <c r="AC48" i="3"/>
  <c r="AD48" i="3"/>
  <c r="N49" i="3"/>
  <c r="O49" i="3"/>
  <c r="P49" i="3"/>
  <c r="R49" i="3"/>
  <c r="T49" i="3"/>
  <c r="U49" i="3"/>
  <c r="V49" i="3"/>
  <c r="W49" i="3"/>
  <c r="AB49" i="3"/>
  <c r="AC49" i="3"/>
  <c r="AD49" i="3"/>
  <c r="N50" i="3"/>
  <c r="O50" i="3"/>
  <c r="P50" i="3"/>
  <c r="R50" i="3"/>
  <c r="T50" i="3"/>
  <c r="U50" i="3"/>
  <c r="V50" i="3"/>
  <c r="W50" i="3"/>
  <c r="AB50" i="3"/>
  <c r="AC50" i="3"/>
  <c r="AD50" i="3"/>
  <c r="N51" i="3"/>
  <c r="O51" i="3"/>
  <c r="P51" i="3"/>
  <c r="Q51" i="3"/>
  <c r="R51" i="3"/>
  <c r="S51" i="3"/>
  <c r="T51" i="3"/>
  <c r="U51" i="3"/>
  <c r="V51" i="3"/>
  <c r="W51" i="3"/>
  <c r="AB51" i="3"/>
  <c r="AC51" i="3"/>
  <c r="AD51" i="3"/>
  <c r="N52" i="3"/>
  <c r="O52" i="3"/>
  <c r="P52" i="3"/>
  <c r="R52" i="3"/>
  <c r="T52" i="3"/>
  <c r="U52" i="3"/>
  <c r="V52" i="3"/>
  <c r="W52" i="3"/>
  <c r="AB52" i="3"/>
  <c r="AC52" i="3"/>
  <c r="AD52" i="3"/>
  <c r="N53" i="3"/>
  <c r="O53" i="3"/>
  <c r="P53" i="3"/>
  <c r="R53" i="3"/>
  <c r="T53" i="3"/>
  <c r="U53" i="3"/>
  <c r="V53" i="3"/>
  <c r="W53" i="3"/>
  <c r="AB53" i="3"/>
  <c r="AC53" i="3"/>
  <c r="AD53" i="3"/>
  <c r="N54" i="3"/>
  <c r="O54" i="3"/>
  <c r="P54" i="3"/>
  <c r="Q54" i="3"/>
  <c r="R54" i="3"/>
  <c r="S54" i="3"/>
  <c r="T54" i="3"/>
  <c r="U54" i="3"/>
  <c r="V54" i="3"/>
  <c r="AB54" i="3"/>
  <c r="AC54" i="3"/>
  <c r="N55" i="3"/>
  <c r="O55" i="3"/>
  <c r="P55" i="3"/>
  <c r="R55" i="3"/>
  <c r="T55" i="3"/>
  <c r="U55" i="3"/>
  <c r="V55" i="3"/>
  <c r="W55" i="3"/>
  <c r="AB55" i="3"/>
  <c r="AC55" i="3"/>
  <c r="AD55" i="3"/>
  <c r="N56" i="3"/>
  <c r="O56" i="3"/>
  <c r="P56" i="3"/>
  <c r="R56" i="3"/>
  <c r="T56" i="3"/>
  <c r="U56" i="3"/>
  <c r="V56" i="3"/>
  <c r="W56" i="3"/>
  <c r="AB56" i="3"/>
  <c r="AC56" i="3"/>
  <c r="AD56" i="3"/>
  <c r="N57" i="3"/>
  <c r="O57" i="3"/>
  <c r="P57" i="3"/>
  <c r="R57" i="3"/>
  <c r="T57" i="3"/>
  <c r="U57" i="3"/>
  <c r="V57" i="3"/>
  <c r="W57" i="3"/>
  <c r="AB57" i="3"/>
  <c r="AC57" i="3"/>
  <c r="AD57" i="3"/>
  <c r="N58" i="3"/>
  <c r="O58" i="3"/>
  <c r="P58" i="3"/>
  <c r="R58" i="3"/>
  <c r="T58" i="3"/>
  <c r="U58" i="3"/>
  <c r="V58" i="3"/>
  <c r="W58" i="3"/>
  <c r="AB58" i="3"/>
  <c r="AC58" i="3"/>
  <c r="AD58" i="3"/>
  <c r="N59" i="3"/>
  <c r="O59" i="3"/>
  <c r="P59" i="3"/>
  <c r="R59" i="3"/>
  <c r="T59" i="3"/>
  <c r="U59" i="3"/>
  <c r="V59" i="3"/>
  <c r="W59" i="3"/>
  <c r="AB59" i="3"/>
  <c r="AC59" i="3"/>
  <c r="AD59" i="3"/>
  <c r="N60" i="3"/>
  <c r="O60" i="3"/>
  <c r="P60" i="3"/>
  <c r="R60" i="3"/>
  <c r="T60" i="3"/>
  <c r="U60" i="3"/>
  <c r="V60" i="3"/>
  <c r="W60" i="3"/>
  <c r="AB60" i="3"/>
  <c r="AC60" i="3"/>
  <c r="AD60" i="3"/>
  <c r="N61" i="3"/>
  <c r="O61" i="3"/>
  <c r="P61" i="3"/>
  <c r="R61" i="3"/>
  <c r="T61" i="3"/>
  <c r="U61" i="3"/>
  <c r="V61" i="3"/>
  <c r="W61" i="3"/>
  <c r="AB61" i="3"/>
  <c r="AC61" i="3"/>
  <c r="AD61" i="3"/>
  <c r="N62" i="3"/>
  <c r="O62" i="3"/>
  <c r="P62" i="3"/>
  <c r="R62" i="3"/>
  <c r="T62" i="3"/>
  <c r="U62" i="3"/>
  <c r="V62" i="3"/>
  <c r="W62" i="3"/>
  <c r="AB62" i="3"/>
  <c r="AC62" i="3"/>
  <c r="AD62" i="3"/>
  <c r="I63" i="3"/>
  <c r="N63" i="3"/>
  <c r="O63" i="3"/>
  <c r="P63" i="3"/>
  <c r="R63" i="3"/>
  <c r="T63" i="3"/>
  <c r="U63" i="3"/>
  <c r="V63" i="3"/>
  <c r="W63" i="3"/>
  <c r="AB63" i="3"/>
  <c r="AC63" i="3"/>
  <c r="AD63" i="3"/>
  <c r="I64" i="3"/>
  <c r="N64" i="3"/>
  <c r="O64" i="3"/>
  <c r="P64" i="3"/>
  <c r="Q64" i="3"/>
  <c r="R64" i="3"/>
  <c r="S64" i="3"/>
  <c r="T64" i="3"/>
  <c r="U64" i="3"/>
  <c r="V64" i="3"/>
  <c r="W64" i="3"/>
  <c r="AB64" i="3"/>
  <c r="AC64" i="3"/>
  <c r="AD64" i="3"/>
  <c r="I65" i="3"/>
  <c r="N65" i="3"/>
  <c r="O65" i="3"/>
  <c r="P65" i="3"/>
  <c r="Q65" i="3"/>
  <c r="R65" i="3"/>
  <c r="S65" i="3"/>
  <c r="T65" i="3"/>
  <c r="U65" i="3"/>
  <c r="V65" i="3"/>
  <c r="W65" i="3"/>
  <c r="AB65" i="3"/>
  <c r="AC65" i="3"/>
  <c r="AD65" i="3"/>
  <c r="I66" i="3"/>
  <c r="M66" i="3"/>
  <c r="N66" i="3"/>
  <c r="O66" i="3"/>
  <c r="P66" i="3"/>
  <c r="Q66" i="3"/>
  <c r="R66" i="3"/>
  <c r="S66" i="3"/>
  <c r="T66" i="3"/>
  <c r="AB66" i="3"/>
  <c r="AC66" i="3"/>
  <c r="G69" i="3"/>
  <c r="H69" i="3"/>
  <c r="I69" i="3"/>
  <c r="K69" i="3"/>
  <c r="L69" i="3"/>
  <c r="M69" i="3"/>
  <c r="N69" i="3"/>
  <c r="O69" i="3"/>
  <c r="P69" i="3"/>
  <c r="Q69" i="3"/>
  <c r="R69" i="3"/>
  <c r="S69" i="3"/>
  <c r="T69" i="3"/>
  <c r="U69" i="3"/>
  <c r="W69" i="3"/>
  <c r="AB69" i="3"/>
  <c r="AC69" i="3"/>
  <c r="AD69" i="3"/>
  <c r="AG69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AB70" i="3"/>
  <c r="AC70" i="3"/>
  <c r="AG70" i="3"/>
  <c r="A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W71" i="3"/>
  <c r="AB71" i="3"/>
  <c r="AC71" i="3"/>
  <c r="AD71" i="3"/>
  <c r="AG71" i="3"/>
  <c r="A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AB72" i="3"/>
  <c r="AC72" i="3"/>
  <c r="AG72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AB73" i="3"/>
  <c r="AC73" i="3"/>
  <c r="I74" i="3"/>
  <c r="M74" i="3"/>
  <c r="N74" i="3"/>
  <c r="O74" i="3"/>
  <c r="P74" i="3"/>
  <c r="R74" i="3"/>
  <c r="T74" i="3"/>
  <c r="U74" i="3"/>
  <c r="W74" i="3"/>
  <c r="AB74" i="3"/>
  <c r="AC74" i="3"/>
  <c r="AD74" i="3"/>
  <c r="I75" i="3"/>
  <c r="M75" i="3"/>
  <c r="N75" i="3"/>
  <c r="O75" i="3"/>
  <c r="P75" i="3"/>
  <c r="R75" i="3"/>
  <c r="T75" i="3"/>
  <c r="U75" i="3"/>
  <c r="W75" i="3"/>
  <c r="AB75" i="3"/>
  <c r="AC75" i="3"/>
  <c r="AD75" i="3"/>
  <c r="E78" i="3"/>
  <c r="I78" i="3"/>
  <c r="P78" i="3"/>
  <c r="Q78" i="3"/>
  <c r="R78" i="3"/>
  <c r="S78" i="3"/>
  <c r="T78" i="3"/>
  <c r="W78" i="3"/>
  <c r="AB78" i="3"/>
  <c r="AC78" i="3"/>
  <c r="AD78" i="3"/>
  <c r="P80" i="3"/>
  <c r="Q80" i="3"/>
  <c r="T80" i="3"/>
  <c r="AC80" i="3"/>
  <c r="I81" i="3"/>
  <c r="Q81" i="3"/>
  <c r="I82" i="3"/>
  <c r="Q82" i="3"/>
  <c r="I84" i="3"/>
  <c r="H2" i="4"/>
  <c r="L2" i="4"/>
  <c r="I5" i="4"/>
  <c r="B6" i="4"/>
  <c r="I6" i="4"/>
  <c r="M6" i="4"/>
  <c r="E7" i="4"/>
  <c r="B8" i="4"/>
  <c r="M8" i="4"/>
  <c r="P8" i="4"/>
  <c r="Q8" i="4"/>
  <c r="E9" i="4"/>
  <c r="M9" i="4"/>
  <c r="P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D14" i="4"/>
  <c r="I14" i="4"/>
  <c r="M14" i="4"/>
  <c r="P14" i="4"/>
  <c r="B15" i="4"/>
  <c r="I15" i="4"/>
  <c r="M15" i="4"/>
  <c r="P15" i="4"/>
  <c r="B16" i="4"/>
  <c r="D16" i="4"/>
  <c r="I16" i="4"/>
  <c r="P16" i="4"/>
  <c r="Q16" i="4"/>
  <c r="B17" i="4"/>
  <c r="D17" i="4"/>
  <c r="I17" i="4"/>
  <c r="B18" i="4"/>
  <c r="I19" i="4"/>
  <c r="M19" i="4"/>
  <c r="P19" i="4"/>
  <c r="I20" i="4"/>
  <c r="P20" i="4"/>
  <c r="E21" i="4"/>
  <c r="I21" i="4"/>
  <c r="P21" i="4"/>
  <c r="I22" i="4"/>
  <c r="P22" i="4"/>
  <c r="E23" i="4"/>
  <c r="I23" i="4"/>
  <c r="P23" i="4"/>
  <c r="E24" i="4"/>
  <c r="I24" i="4"/>
  <c r="E25" i="4"/>
  <c r="P25" i="4"/>
  <c r="E26" i="4"/>
  <c r="E28" i="4"/>
  <c r="I28" i="4"/>
  <c r="E29" i="4"/>
  <c r="I29" i="4"/>
  <c r="E30" i="4"/>
  <c r="I30" i="4"/>
  <c r="M31" i="4"/>
  <c r="I32" i="4"/>
  <c r="M32" i="4"/>
  <c r="I33" i="4"/>
  <c r="M33" i="4"/>
  <c r="A34" i="4"/>
  <c r="I34" i="4"/>
  <c r="M34" i="4"/>
  <c r="A35" i="4"/>
  <c r="I35" i="4"/>
  <c r="M35" i="4"/>
  <c r="I36" i="4"/>
  <c r="M36" i="4"/>
  <c r="A37" i="4"/>
  <c r="I37" i="4"/>
  <c r="M37" i="4"/>
  <c r="A38" i="4"/>
  <c r="I38" i="4"/>
  <c r="M38" i="4"/>
  <c r="I39" i="4"/>
  <c r="M39" i="4"/>
  <c r="N39" i="4"/>
  <c r="M40" i="4"/>
  <c r="N40" i="4"/>
  <c r="P44" i="4"/>
  <c r="M45" i="4"/>
  <c r="O45" i="4"/>
  <c r="P45" i="4"/>
  <c r="M46" i="4"/>
  <c r="O46" i="4"/>
  <c r="P46" i="4"/>
  <c r="P47" i="4"/>
  <c r="P48" i="4"/>
  <c r="P49" i="4"/>
  <c r="P50" i="4"/>
  <c r="P51" i="4"/>
  <c r="P52" i="4"/>
  <c r="P53" i="4"/>
  <c r="H2" i="11"/>
  <c r="E3" i="11"/>
  <c r="H3" i="11"/>
  <c r="E4" i="11"/>
  <c r="H4" i="11"/>
  <c r="E5" i="11"/>
  <c r="H5" i="11"/>
  <c r="E6" i="11"/>
  <c r="H6" i="11"/>
  <c r="E7" i="11"/>
  <c r="H7" i="11"/>
  <c r="H8" i="11"/>
  <c r="E9" i="11"/>
  <c r="H9" i="11"/>
  <c r="E10" i="11"/>
  <c r="H10" i="11"/>
  <c r="E12" i="11"/>
  <c r="H12" i="11"/>
  <c r="H13" i="11"/>
  <c r="E14" i="11"/>
  <c r="H14" i="11"/>
  <c r="H15" i="11"/>
  <c r="E16" i="11"/>
  <c r="H16" i="11"/>
  <c r="E17" i="11"/>
  <c r="H17" i="11"/>
  <c r="E18" i="11"/>
  <c r="H18" i="11"/>
  <c r="E20" i="11"/>
  <c r="H20" i="11"/>
  <c r="H23" i="11"/>
  <c r="E24" i="11"/>
  <c r="H24" i="11"/>
  <c r="E26" i="11"/>
  <c r="H26" i="11"/>
  <c r="E27" i="11"/>
  <c r="H27" i="11"/>
  <c r="E28" i="11"/>
  <c r="H28" i="11"/>
  <c r="E29" i="11"/>
  <c r="H29" i="11"/>
  <c r="H30" i="11"/>
  <c r="H31" i="11"/>
  <c r="E32" i="11"/>
  <c r="H32" i="11"/>
  <c r="E33" i="11"/>
  <c r="H33" i="11"/>
  <c r="E34" i="11"/>
  <c r="H34" i="11"/>
  <c r="E37" i="11"/>
  <c r="H37" i="11"/>
  <c r="E38" i="11"/>
  <c r="H38" i="11"/>
  <c r="E39" i="11"/>
  <c r="H39" i="11"/>
  <c r="E40" i="11"/>
  <c r="H40" i="11"/>
  <c r="E41" i="11"/>
  <c r="H41" i="11"/>
  <c r="E42" i="11"/>
  <c r="H42" i="11"/>
  <c r="E43" i="11"/>
  <c r="H43" i="11"/>
  <c r="E44" i="11"/>
  <c r="H44" i="11"/>
  <c r="AC37" i="9"/>
  <c r="F69" i="9"/>
  <c r="F70" i="9"/>
  <c r="D103" i="9"/>
  <c r="T234" i="9"/>
  <c r="U234" i="9"/>
  <c r="B378" i="9"/>
  <c r="C378" i="9"/>
  <c r="D378" i="9"/>
  <c r="E378" i="9"/>
  <c r="F378" i="9"/>
  <c r="G378" i="9"/>
  <c r="H378" i="9"/>
  <c r="I378" i="9"/>
  <c r="J378" i="9"/>
  <c r="K378" i="9"/>
  <c r="L378" i="9"/>
  <c r="M378" i="9"/>
  <c r="N378" i="9"/>
  <c r="O378" i="9"/>
  <c r="P378" i="9"/>
  <c r="Q378" i="9"/>
  <c r="R378" i="9"/>
  <c r="S378" i="9"/>
  <c r="T378" i="9"/>
  <c r="U378" i="9"/>
  <c r="V378" i="9"/>
  <c r="W378" i="9"/>
  <c r="X378" i="9"/>
  <c r="Y378" i="9"/>
  <c r="Z378" i="9"/>
  <c r="AA378" i="9"/>
  <c r="AB378" i="9"/>
  <c r="AC378" i="9"/>
  <c r="AD378" i="9"/>
  <c r="AE378" i="9"/>
  <c r="AF378" i="9"/>
  <c r="AG378" i="9"/>
  <c r="A380" i="9"/>
  <c r="B380" i="9"/>
  <c r="C380" i="9"/>
  <c r="D380" i="9"/>
  <c r="H380" i="9"/>
  <c r="I380" i="9"/>
  <c r="K380" i="9"/>
  <c r="L380" i="9"/>
  <c r="M380" i="9"/>
  <c r="N380" i="9"/>
  <c r="O380" i="9"/>
  <c r="P380" i="9"/>
  <c r="Q380" i="9"/>
  <c r="R380" i="9"/>
  <c r="S380" i="9"/>
  <c r="T380" i="9"/>
  <c r="U380" i="9"/>
  <c r="X380" i="9"/>
  <c r="Y380" i="9"/>
  <c r="Z380" i="9"/>
  <c r="AA380" i="9"/>
  <c r="AB380" i="9"/>
  <c r="AC380" i="9"/>
  <c r="AD380" i="9"/>
  <c r="AE380" i="9"/>
  <c r="AF380" i="9"/>
  <c r="AG380" i="9"/>
  <c r="C381" i="9"/>
  <c r="A382" i="9"/>
  <c r="B382" i="9"/>
  <c r="C382" i="9"/>
  <c r="D382" i="9"/>
  <c r="H382" i="9"/>
  <c r="I382" i="9"/>
  <c r="K382" i="9"/>
  <c r="L382" i="9"/>
  <c r="M382" i="9"/>
  <c r="N382" i="9"/>
  <c r="O382" i="9"/>
  <c r="P382" i="9"/>
  <c r="Q382" i="9"/>
  <c r="R382" i="9"/>
  <c r="S382" i="9"/>
  <c r="T382" i="9"/>
  <c r="U382" i="9"/>
  <c r="X382" i="9"/>
  <c r="Y382" i="9"/>
  <c r="Z382" i="9"/>
  <c r="AA382" i="9"/>
  <c r="AB382" i="9"/>
  <c r="AC382" i="9"/>
  <c r="AD382" i="9"/>
  <c r="AE382" i="9"/>
  <c r="AF382" i="9"/>
  <c r="AG382" i="9"/>
  <c r="A383" i="9"/>
  <c r="B383" i="9"/>
  <c r="C383" i="9"/>
  <c r="D383" i="9"/>
  <c r="H383" i="9"/>
  <c r="I383" i="9"/>
  <c r="K383" i="9"/>
  <c r="L383" i="9"/>
  <c r="M383" i="9"/>
  <c r="N383" i="9"/>
  <c r="O383" i="9"/>
  <c r="P383" i="9"/>
  <c r="Q383" i="9"/>
  <c r="R383" i="9"/>
  <c r="S383" i="9"/>
  <c r="T383" i="9"/>
  <c r="U383" i="9"/>
  <c r="X383" i="9"/>
  <c r="Y383" i="9"/>
  <c r="Z383" i="9"/>
  <c r="AA383" i="9"/>
  <c r="AB383" i="9"/>
  <c r="AC383" i="9"/>
  <c r="AD383" i="9"/>
  <c r="AE383" i="9"/>
  <c r="AF383" i="9"/>
  <c r="AG383" i="9"/>
  <c r="A384" i="9"/>
  <c r="B384" i="9"/>
  <c r="C384" i="9"/>
  <c r="D384" i="9"/>
  <c r="H384" i="9"/>
  <c r="I384" i="9"/>
  <c r="K384" i="9"/>
  <c r="L384" i="9"/>
  <c r="M384" i="9"/>
  <c r="N384" i="9"/>
  <c r="O384" i="9"/>
  <c r="P384" i="9"/>
  <c r="Q384" i="9"/>
  <c r="R384" i="9"/>
  <c r="S384" i="9"/>
  <c r="T384" i="9"/>
  <c r="U384" i="9"/>
  <c r="X384" i="9"/>
  <c r="Y384" i="9"/>
  <c r="Z384" i="9"/>
  <c r="AA384" i="9"/>
  <c r="AB384" i="9"/>
  <c r="AC384" i="9"/>
  <c r="AD384" i="9"/>
  <c r="AE384" i="9"/>
  <c r="AF384" i="9"/>
  <c r="AG384" i="9"/>
  <c r="Q386" i="9"/>
  <c r="AE386" i="9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F69" i="8"/>
  <c r="A378" i="8"/>
  <c r="B378" i="8"/>
  <c r="C378" i="8"/>
  <c r="D378" i="8"/>
  <c r="H378" i="8"/>
  <c r="I378" i="8"/>
  <c r="K378" i="8"/>
  <c r="L378" i="8"/>
  <c r="M378" i="8"/>
  <c r="N378" i="8"/>
  <c r="O378" i="8"/>
  <c r="P378" i="8"/>
  <c r="Q378" i="8"/>
  <c r="R378" i="8"/>
  <c r="S378" i="8"/>
  <c r="T378" i="8"/>
  <c r="U378" i="8"/>
  <c r="W378" i="8"/>
  <c r="X378" i="8"/>
  <c r="Y378" i="8"/>
  <c r="Z378" i="8"/>
  <c r="AA378" i="8"/>
  <c r="AB378" i="8"/>
  <c r="AC378" i="8"/>
  <c r="AD378" i="8"/>
  <c r="AE378" i="8"/>
  <c r="AF378" i="8"/>
  <c r="AG378" i="8"/>
  <c r="AH378" i="8"/>
  <c r="D2" i="10"/>
  <c r="D3" i="10"/>
  <c r="E3" i="10"/>
  <c r="D4" i="10"/>
  <c r="E4" i="10"/>
  <c r="D5" i="10"/>
  <c r="E5" i="10"/>
  <c r="D7" i="10"/>
  <c r="D8" i="10"/>
  <c r="D9" i="10"/>
  <c r="B10" i="10"/>
  <c r="D11" i="10"/>
  <c r="E11" i="10"/>
  <c r="B14" i="10"/>
  <c r="C14" i="10"/>
  <c r="D14" i="10"/>
  <c r="B17" i="10"/>
  <c r="C17" i="10"/>
  <c r="D17" i="10"/>
  <c r="D18" i="10"/>
  <c r="E18" i="10"/>
  <c r="D19" i="10"/>
  <c r="D20" i="10"/>
  <c r="E20" i="10"/>
  <c r="F20" i="10"/>
  <c r="D21" i="10"/>
  <c r="E21" i="10"/>
  <c r="B23" i="10"/>
  <c r="C23" i="10"/>
  <c r="D23" i="10"/>
  <c r="D24" i="10"/>
  <c r="E24" i="10"/>
  <c r="D25" i="10"/>
  <c r="D26" i="10"/>
  <c r="E26" i="10"/>
  <c r="F26" i="10"/>
  <c r="D27" i="10"/>
  <c r="E27" i="10"/>
  <c r="D28" i="10"/>
  <c r="B30" i="10"/>
  <c r="D30" i="10"/>
  <c r="B39" i="10"/>
  <c r="C39" i="10"/>
  <c r="D39" i="10"/>
  <c r="C2" i="2"/>
  <c r="D2" i="2"/>
  <c r="E2" i="2"/>
  <c r="F2" i="2"/>
  <c r="G2" i="2"/>
  <c r="H2" i="2"/>
  <c r="I2" i="2"/>
  <c r="J2" i="2"/>
  <c r="K2" i="2"/>
  <c r="L2" i="2"/>
  <c r="C64" i="2"/>
  <c r="B77" i="2"/>
  <c r="E77" i="2"/>
  <c r="E78" i="2"/>
  <c r="A379" i="2"/>
  <c r="B379" i="2"/>
  <c r="C379" i="2"/>
  <c r="D379" i="2"/>
  <c r="F379" i="2"/>
  <c r="G379" i="2"/>
  <c r="H379" i="2"/>
  <c r="I379" i="2"/>
  <c r="J379" i="2"/>
  <c r="L379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gmckillo</author>
  </authors>
  <commentList>
    <comment ref="H15" authorId="0" shapeId="0">
      <text>
        <r>
          <rPr>
            <b/>
            <sz val="8"/>
            <color indexed="81"/>
            <rFont val="Tahoma"/>
          </rPr>
          <t>gmckillo:</t>
        </r>
        <r>
          <rPr>
            <sz val="8"/>
            <color indexed="81"/>
            <rFont val="Tahoma"/>
          </rPr>
          <t xml:space="preserve">
5.2 - per S. Ayala, recvd share verification fron RAC, addl 3,603 from below market warrant, warrant was part of hedge</t>
        </r>
      </text>
    </comment>
  </commentList>
</comments>
</file>

<file path=xl/comments2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<sst xmlns="http://schemas.openxmlformats.org/spreadsheetml/2006/main" count="1854" uniqueCount="590">
  <si>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</si>
  <si>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</si>
  <si>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</si>
  <si>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</si>
  <si>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</si>
  <si>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</si>
  <si>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</si>
  <si>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</si>
  <si>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</si>
  <si>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</si>
  <si>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</si>
  <si>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</si>
  <si>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</si>
  <si>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Avici Systems</t>
  </si>
  <si>
    <t>AVCI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</si>
  <si>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</si>
  <si>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</si>
  <si>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</si>
  <si>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</si>
  <si>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</si>
  <si>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</si>
  <si>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</si>
  <si>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</si>
  <si>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</si>
  <si>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</si>
  <si>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</si>
  <si>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</si>
  <si>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</si>
  <si>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</si>
  <si>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</si>
  <si>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</si>
  <si>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</si>
  <si>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Talon Balance Sheet as of 4/18/00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</si>
  <si>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</si>
  <si>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</si>
  <si>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</si>
  <si>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</si>
  <si>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</si>
  <si>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</si>
  <si>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</si>
  <si>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</si>
  <si>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</si>
  <si>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</si>
  <si>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</si>
  <si>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</si>
  <si>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</si>
  <si>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</si>
  <si>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</si>
  <si>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</si>
  <si>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</si>
  <si>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</si>
  <si>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</si>
  <si>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</si>
  <si>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</si>
  <si>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</si>
  <si>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</si>
  <si>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</si>
  <si>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</si>
  <si>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</si>
  <si>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</si>
  <si>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</si>
  <si>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</si>
  <si>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</si>
  <si>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</si>
  <si>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</si>
  <si>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</si>
  <si>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</si>
  <si>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</si>
  <si>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</si>
  <si>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</si>
  <si>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</si>
  <si>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</si>
  <si>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</si>
  <si>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</si>
  <si>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</si>
  <si>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</si>
  <si>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</si>
  <si>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</si>
  <si>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</si>
  <si>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</si>
  <si>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</si>
  <si>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</si>
  <si>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Initial</t>
  </si>
  <si>
    <t>I/S</t>
  </si>
  <si>
    <t>Days O/S</t>
  </si>
  <si>
    <t>Balance Sheet and 3 Percent Test</t>
  </si>
  <si>
    <t>Raptor I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</si>
  <si>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</si>
  <si>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</si>
  <si>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</si>
  <si>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</si>
  <si>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</si>
  <si>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</si>
  <si>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</si>
  <si>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</si>
  <si>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</si>
  <si>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</si>
  <si>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</si>
  <si>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</si>
  <si>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</si>
  <si>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</si>
  <si>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</si>
  <si>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</si>
  <si>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</si>
  <si>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</si>
  <si>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</si>
  <si>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</si>
  <si>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</si>
  <si>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</si>
  <si>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</si>
  <si>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</si>
  <si>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</si>
  <si>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</si>
  <si>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</si>
  <si>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</si>
  <si>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</si>
  <si>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</si>
  <si>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</si>
  <si>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</si>
  <si>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</si>
  <si>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</si>
  <si>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</si>
  <si>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</si>
  <si>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</si>
  <si>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</si>
  <si>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</si>
  <si>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Raptor I Daily Position Report &amp; Summary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</si>
  <si>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</si>
  <si>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</si>
  <si>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</si>
  <si>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</si>
  <si>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</si>
  <si>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</si>
  <si>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</si>
  <si>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</si>
  <si>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</si>
  <si>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</si>
  <si>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</si>
  <si>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</si>
  <si>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</si>
  <si>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</si>
  <si>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</si>
  <si>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</si>
  <si>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</si>
  <si>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</si>
  <si>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</si>
  <si>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</si>
  <si>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</si>
  <si>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</si>
  <si>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</si>
  <si>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</si>
  <si>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</si>
  <si>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</si>
  <si>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</si>
  <si>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</si>
  <si>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</si>
  <si>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</si>
  <si>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</si>
  <si>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</si>
  <si>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</si>
  <si>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</si>
  <si>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</si>
  <si>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</si>
  <si>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</si>
  <si>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Active Power</t>
  </si>
  <si>
    <t>Carrizo Warrants</t>
  </si>
  <si>
    <t>3TEC Warrants</t>
  </si>
  <si>
    <t>Paradigm</t>
  </si>
  <si>
    <t>Quicksilver</t>
  </si>
  <si>
    <t>KWK</t>
  </si>
  <si>
    <t>ACPW</t>
  </si>
  <si>
    <t>CRZO</t>
  </si>
  <si>
    <t>TTEN</t>
  </si>
  <si>
    <t>Units</t>
  </si>
  <si>
    <t>PGEO</t>
  </si>
  <si>
    <t>End of Range</t>
  </si>
  <si>
    <t>PUBLICS</t>
  </si>
  <si>
    <t>PRIVATES</t>
  </si>
  <si>
    <t>Catalytica</t>
  </si>
  <si>
    <t>Invasion Energy</t>
  </si>
  <si>
    <t>HV Marine Warrants</t>
  </si>
  <si>
    <t>Merlin Credit Derivative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</si>
  <si>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</si>
  <si>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</si>
  <si>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</si>
  <si>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</si>
  <si>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</si>
  <si>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</si>
  <si>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</si>
  <si>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</si>
  <si>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</si>
  <si>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</si>
  <si>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</si>
  <si>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</si>
  <si>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</si>
  <si>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</si>
  <si>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</si>
  <si>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</si>
  <si>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</si>
  <si>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</si>
  <si>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</si>
  <si>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</si>
  <si>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Heartland Steel Common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</si>
  <si>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</si>
  <si>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</si>
  <si>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</si>
  <si>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</si>
  <si>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</si>
  <si>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</si>
  <si>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</si>
  <si>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Venoco Convertible Raptor I</t>
  </si>
  <si>
    <t>City Forest IPC Raptor I</t>
  </si>
  <si>
    <t>WB Oil &amp; Gas Raptor I</t>
  </si>
  <si>
    <t>Paradigm Common Raptor I</t>
  </si>
  <si>
    <t>Ameritex</t>
  </si>
  <si>
    <t>Black Bay</t>
  </si>
  <si>
    <t>Brigham Secured SubDebt</t>
  </si>
  <si>
    <t>City Forest IPC</t>
  </si>
  <si>
    <t>Geo. Pursuit (EBGB)</t>
  </si>
  <si>
    <t>Hughes Rawls Loan</t>
  </si>
  <si>
    <t>Hughes Rawls Note</t>
  </si>
  <si>
    <t>Industrial Holdings</t>
  </si>
  <si>
    <t>Juniper</t>
  </si>
  <si>
    <t>Keathley Canyon</t>
  </si>
  <si>
    <t>LSI Preferred</t>
  </si>
  <si>
    <t>LSI Warrants</t>
  </si>
  <si>
    <t>Oconto Falls Common</t>
  </si>
  <si>
    <t>Texland</t>
  </si>
  <si>
    <t>Price/Value</t>
  </si>
  <si>
    <t>Juniper Committed Exposurer</t>
  </si>
  <si>
    <t>Texland Committed Exposurer</t>
  </si>
  <si>
    <t>Chewco SLP Exposurer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</si>
  <si>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</si>
  <si>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</si>
  <si>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</si>
  <si>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</si>
  <si>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</si>
  <si>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</si>
  <si>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</si>
  <si>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</si>
  <si>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</si>
  <si>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</si>
  <si>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</si>
  <si>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</si>
  <si>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</si>
  <si>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</si>
  <si>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</si>
  <si>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</si>
  <si>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</si>
  <si>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</si>
  <si>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</si>
  <si>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</si>
  <si>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</si>
  <si>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</si>
  <si>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</si>
  <si>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</si>
  <si>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</si>
  <si>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</si>
  <si>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</si>
  <si>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</si>
  <si>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</si>
  <si>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</si>
  <si>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</si>
  <si>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</si>
  <si>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</si>
  <si>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</si>
  <si>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</si>
  <si>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</si>
  <si>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</si>
  <si>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</si>
  <si>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</si>
  <si>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</si>
  <si>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</si>
  <si>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</si>
  <si>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</si>
  <si>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</si>
  <si>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</si>
  <si>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</si>
  <si>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</si>
  <si>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</si>
  <si>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</si>
  <si>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</si>
  <si>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</si>
  <si>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</si>
  <si>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</si>
  <si>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</si>
  <si>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</si>
  <si>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</si>
  <si>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</si>
  <si>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</si>
  <si>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</si>
  <si>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</si>
  <si>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</si>
  <si>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</si>
  <si>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</si>
  <si>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</si>
  <si>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</si>
  <si>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</si>
  <si>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</si>
  <si>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</si>
  <si>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</si>
  <si>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</si>
  <si>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</si>
  <si>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</si>
  <si>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</si>
  <si>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</si>
  <si>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</si>
  <si>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</si>
  <si>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</si>
  <si>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</si>
  <si>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</si>
  <si>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</si>
  <si>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</si>
  <si>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</si>
  <si>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015:Enron Raptor I</t>
  </si>
  <si>
    <t>Y</t>
  </si>
  <si>
    <t>Enron Raptor I - Canadian - Private Total</t>
  </si>
  <si>
    <t>Public</t>
  </si>
  <si>
    <t>N</t>
  </si>
  <si>
    <t>Canada Raptor Total</t>
  </si>
  <si>
    <t>Enron Raptor I - Priv. Equity Partnerships</t>
  </si>
  <si>
    <t>Energy Capital Resources Raptor</t>
  </si>
  <si>
    <t>Energy Capital Resources</t>
  </si>
  <si>
    <t xml:space="preserve">Private </t>
  </si>
  <si>
    <t>Partnership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</si>
  <si>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</si>
  <si>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</si>
  <si>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</si>
  <si>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</si>
  <si>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</si>
  <si>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</si>
  <si>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</si>
  <si>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</si>
  <si>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</si>
  <si>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</si>
  <si>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</si>
  <si>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</si>
  <si>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</si>
  <si>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</si>
  <si>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Enron Raptor I - US Structured Credit-Book</t>
  </si>
  <si>
    <t>Financing</t>
  </si>
  <si>
    <t>Enron Raptor I - US Structured Credit-Book Total</t>
  </si>
  <si>
    <t>Enron Raptor I - US Private</t>
  </si>
  <si>
    <t>Enron Raptor I - US Private Total</t>
  </si>
  <si>
    <t>US;ACPW</t>
  </si>
  <si>
    <t>Producer EGF Raptor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</si>
  <si>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</si>
  <si>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</si>
  <si>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</si>
  <si>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</si>
  <si>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</si>
  <si>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</si>
  <si>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</si>
  <si>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</si>
  <si>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</si>
  <si>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</si>
  <si>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</si>
  <si>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</si>
  <si>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</si>
  <si>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</si>
  <si>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</si>
  <si>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</si>
  <si>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Enron Raptor I - Convertible - Private Total</t>
  </si>
  <si>
    <t>Enron Raptor I - US Structured Credit-Book RA</t>
  </si>
  <si>
    <t>Enron Raptor I - US Structured Credit-Book RA Total</t>
  </si>
  <si>
    <t>Enron Raptor I - Warrants - Private</t>
  </si>
  <si>
    <t/>
  </si>
  <si>
    <t>Enron Raptor I - Warrants - Private Total</t>
  </si>
  <si>
    <t>Enron Raptor I - Warrants - Public</t>
  </si>
  <si>
    <t>US;CRZO</t>
  </si>
  <si>
    <t>Enron Raptor I - Warrants - Public Total</t>
  </si>
  <si>
    <t>Convertible</t>
  </si>
  <si>
    <t>Convertible Preferred</t>
  </si>
  <si>
    <t>LTD. Partnership</t>
  </si>
  <si>
    <t>US;PGEO</t>
  </si>
  <si>
    <t>Grand Total</t>
  </si>
  <si>
    <t>Oconto Falls IPC Raptor I</t>
  </si>
  <si>
    <t>Heartland Steel Common Condor Raptor I</t>
  </si>
  <si>
    <t>Steel</t>
  </si>
  <si>
    <t>Place Resources</t>
  </si>
  <si>
    <t>CA:PLG</t>
  </si>
  <si>
    <t>Heartland Common (Condor)</t>
  </si>
  <si>
    <t>WB Oil &amp; Gas</t>
  </si>
  <si>
    <t>Venoco Convertible</t>
  </si>
  <si>
    <t>Enron Raptor I - EBS Public</t>
  </si>
  <si>
    <t>Avici EBS Raptor I</t>
  </si>
  <si>
    <t>US;AVCI</t>
  </si>
  <si>
    <t>Network Equipment</t>
  </si>
  <si>
    <t>Enron Raptor I - EBS Public Total</t>
  </si>
  <si>
    <t>Basic Energy Preferred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</si>
  <si>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</si>
  <si>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</si>
  <si>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</si>
  <si>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</si>
  <si>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</si>
  <si>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</si>
  <si>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LJM Maximum Capital</t>
  </si>
  <si>
    <t>Intial Contribution</t>
  </si>
  <si>
    <t>Additional</t>
  </si>
  <si>
    <t>Capital Return if available</t>
  </si>
  <si>
    <t>Maxium B/S LJM Capital</t>
  </si>
  <si>
    <t>3TEC Warr.- SLP</t>
  </si>
  <si>
    <t>TTENE</t>
  </si>
  <si>
    <t>Heartland Common</t>
  </si>
  <si>
    <t>Heartland Loan</t>
  </si>
  <si>
    <t>Heartland Warrants</t>
  </si>
  <si>
    <t>Vastar</t>
  </si>
  <si>
    <t>Vastar Exposure</t>
  </si>
  <si>
    <t>CTG</t>
  </si>
  <si>
    <t>Not Available</t>
  </si>
  <si>
    <t>Merlin Credit Derivative Raptor I</t>
  </si>
  <si>
    <t>Other</t>
  </si>
  <si>
    <t>Ecogas Loan &amp; Equity</t>
  </si>
  <si>
    <t>Oconto Falls IPC</t>
  </si>
  <si>
    <t>Amerada Hess Exposure</t>
  </si>
  <si>
    <t>Juniper Exposure Raptor I</t>
  </si>
  <si>
    <t>Texland Exposure Raptor I</t>
  </si>
  <si>
    <t>Vastar Exposure Raptor I</t>
  </si>
  <si>
    <t>Column</t>
  </si>
  <si>
    <t>Put</t>
  </si>
  <si>
    <t>Put Option Exposure</t>
  </si>
  <si>
    <t>Merlin Credit Derivative Put Premium</t>
  </si>
  <si>
    <t>Merlin Put Premium</t>
  </si>
  <si>
    <t>Reduction to Note</t>
  </si>
  <si>
    <t>Discount Amortization</t>
  </si>
  <si>
    <t>Transfer to Note</t>
  </si>
  <si>
    <t>to LJM</t>
  </si>
  <si>
    <t>LJM additional Equity</t>
  </si>
  <si>
    <t>check if sum=0 then ok</t>
  </si>
  <si>
    <t>Option/Put Obligations</t>
  </si>
  <si>
    <t>Permitted Investment</t>
  </si>
  <si>
    <t>Paymentof Interest on Note Receivable</t>
  </si>
  <si>
    <t>DevX Energy Common EGF Raptor I</t>
  </si>
  <si>
    <t>US;DVXE</t>
  </si>
  <si>
    <t>DevX Energy Common Raptor I</t>
  </si>
  <si>
    <t>Amerada Hess Exposure Raptor I</t>
  </si>
  <si>
    <t>(1) Put at $81 per share and Call at $116 included</t>
  </si>
  <si>
    <t>Collar Gains / (Losses)</t>
  </si>
  <si>
    <t>Collar Obligation</t>
  </si>
  <si>
    <t>Collar Receivable</t>
  </si>
  <si>
    <t xml:space="preserve">          ENE share gain (loss) from $70.50</t>
  </si>
  <si>
    <t>Plus:  Talon Earnings (1)</t>
  </si>
  <si>
    <t>Catalytica Before 12/14</t>
  </si>
  <si>
    <t>Catalytica After 12/14</t>
  </si>
  <si>
    <t>public shares exchanged</t>
  </si>
  <si>
    <t>Terminations</t>
  </si>
  <si>
    <t>settled</t>
  </si>
  <si>
    <t>Net Notional</t>
  </si>
  <si>
    <t>exchange</t>
  </si>
  <si>
    <t>DevX Energy Common</t>
  </si>
  <si>
    <t>DevX Energy Pref</t>
  </si>
  <si>
    <t>CESI</t>
  </si>
  <si>
    <t>US;CESI</t>
  </si>
  <si>
    <t>12/29/00</t>
  </si>
  <si>
    <t>Byargeon</t>
  </si>
  <si>
    <t>713-853-0650</t>
  </si>
  <si>
    <t>US;HC</t>
  </si>
  <si>
    <t>Place Resources US$</t>
  </si>
  <si>
    <t>Realized Losses</t>
  </si>
  <si>
    <t>Realized Gains</t>
  </si>
  <si>
    <t>check</t>
  </si>
  <si>
    <t>Total Exposure</t>
  </si>
  <si>
    <t>Third Party</t>
  </si>
  <si>
    <t>Original Balance Sheet</t>
  </si>
  <si>
    <t>Original Notional</t>
  </si>
  <si>
    <t>Existing Notional</t>
  </si>
  <si>
    <t>Remaining Notional</t>
  </si>
  <si>
    <t>Short</t>
  </si>
  <si>
    <t>DEVX</t>
  </si>
  <si>
    <t>Place Termination</t>
  </si>
  <si>
    <t>Quicksilver Termination</t>
  </si>
  <si>
    <t>DEVX Pref Termination</t>
  </si>
  <si>
    <t>Black Bay and Keathley Termination</t>
  </si>
  <si>
    <t>Geo. Pursuit Termination</t>
  </si>
  <si>
    <t>Avici Termination</t>
  </si>
  <si>
    <t>Active Power Termination</t>
  </si>
  <si>
    <t>Enron Raptor II - EGF SLP - US Public</t>
  </si>
  <si>
    <t>Hanover Compressor Common EGF Raptor II</t>
  </si>
  <si>
    <t>016:Enron Raptor II</t>
  </si>
  <si>
    <t>Enron Raptor II - EGF SLP - US Public Total</t>
  </si>
  <si>
    <t>Basic Energy CFPC Raptor I</t>
  </si>
  <si>
    <t>Enron Raptor II - US Public</t>
  </si>
  <si>
    <t>Hanover Compressor Common Raptor II</t>
  </si>
  <si>
    <t>Enron Raptor II - US Public Total</t>
  </si>
  <si>
    <t>Current QTR</t>
  </si>
  <si>
    <t>Prior YTD</t>
  </si>
  <si>
    <t>Basic Energy Preferred Raptor I</t>
  </si>
  <si>
    <t>partial</t>
  </si>
  <si>
    <t xml:space="preserve">Merlin </t>
  </si>
  <si>
    <t>Merlin</t>
  </si>
  <si>
    <t>Brigham Debt</t>
  </si>
  <si>
    <t>Hornbeck-Leevac Warrants Raptor I</t>
  </si>
  <si>
    <t>Catalytica Common Raptor I</t>
  </si>
  <si>
    <t>LSI Preferred (AIM) Raptor I</t>
  </si>
  <si>
    <t>LSI Warrants (AIM) Raptor I</t>
  </si>
  <si>
    <t>$ Equivalents</t>
  </si>
  <si>
    <t>Share Equivalents</t>
  </si>
  <si>
    <t>ENE Stock Price</t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</si>
  <si>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</si>
  <si>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</si>
  <si>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</si>
  <si>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</si>
  <si>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</si>
  <si>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</si>
  <si>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</si>
  <si>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Origanal Shares</t>
  </si>
  <si>
    <t>Origanal Discount</t>
  </si>
  <si>
    <t>Amortization</t>
  </si>
  <si>
    <t>Balance</t>
  </si>
  <si>
    <t>Shares Available</t>
  </si>
  <si>
    <t>Balance Sheet</t>
  </si>
  <si>
    <t>Reserve for Shares</t>
  </si>
  <si>
    <t>Raptor I Shares</t>
  </si>
  <si>
    <t>ENE Shares</t>
  </si>
  <si>
    <t xml:space="preserve">          March ENE Shares</t>
  </si>
  <si>
    <t>New ENE Shares</t>
  </si>
  <si>
    <t>Raptor 1</t>
  </si>
  <si>
    <t>Raptor 2</t>
  </si>
  <si>
    <t>Raptor 4</t>
  </si>
  <si>
    <t>Total Shares</t>
  </si>
  <si>
    <t>R 1 Shares</t>
  </si>
  <si>
    <t>R1 Cost</t>
  </si>
  <si>
    <t xml:space="preserve">          ENE shares not included above</t>
  </si>
  <si>
    <t>Paper</t>
  </si>
  <si>
    <t>Devx and Invasion</t>
  </si>
  <si>
    <t>Paradigm and Active</t>
  </si>
  <si>
    <t>Active</t>
  </si>
  <si>
    <t>Special Assets</t>
  </si>
  <si>
    <t>S. Josey</t>
  </si>
  <si>
    <t>713-853-0321</t>
  </si>
  <si>
    <t>J. Thompson</t>
  </si>
  <si>
    <t>713-853-3019</t>
  </si>
  <si>
    <t>Asset value</t>
  </si>
  <si>
    <t>3 Tec and Carrizo</t>
  </si>
  <si>
    <t>End Date</t>
  </si>
  <si>
    <t>LIBOR</t>
  </si>
  <si>
    <t>For the period ending 9/11/00 to</t>
  </si>
  <si>
    <t>to</t>
  </si>
  <si>
    <t>Interest Income--Harrier Note</t>
  </si>
  <si>
    <t>Discount Amortization - Jedi Shares</t>
  </si>
  <si>
    <t>Collar Gains / (Losses) Jedi Shares</t>
  </si>
  <si>
    <t>Unrealized Gains / (Losses) Derivative</t>
  </si>
  <si>
    <t xml:space="preserve">Changes to: </t>
  </si>
  <si>
    <t>Enron Jedi Shares</t>
  </si>
  <si>
    <t>ENE Share Derivative</t>
  </si>
  <si>
    <t>Condor I - Energy Capital Resources</t>
  </si>
  <si>
    <t>Condor I - Principal Investing</t>
  </si>
  <si>
    <t>Condor I - Special Assets</t>
  </si>
  <si>
    <t>Condor II - Special Assets</t>
  </si>
  <si>
    <t>Enron Raptor II - Total Return Swap</t>
  </si>
  <si>
    <t>Enron Raptor II - Total Return Swap Total</t>
  </si>
  <si>
    <t>Condor II - Energy</t>
  </si>
  <si>
    <t>Enron Raptor II - EGF SLP - Total Return Swap</t>
  </si>
  <si>
    <t>Hanover Compressor EGF Raptor II TRS</t>
  </si>
  <si>
    <t>Enron Raptor II - EGF SLP - Total Return Swap Total</t>
  </si>
  <si>
    <t>Hanover Compressor Raptor II TRS</t>
  </si>
  <si>
    <t>EBS - Raptor - EPI</t>
  </si>
  <si>
    <t>EBS - Raptor - EPI Total</t>
  </si>
  <si>
    <t>Paper Raptor - EPI</t>
  </si>
  <si>
    <t>Paper Raptor - EPI Total</t>
  </si>
  <si>
    <t>Principal Investing - Raptor - EPI</t>
  </si>
  <si>
    <t>Principal Investing - Raptor - EPI Total</t>
  </si>
  <si>
    <t>Special Assets - Raptor - EPI</t>
  </si>
  <si>
    <t>Special Assets - Raptor - EPI Total</t>
  </si>
  <si>
    <t>Special Assets EGF Raptor - EPI</t>
  </si>
  <si>
    <t>Special Assets EGF Raptor - EPI Total</t>
  </si>
  <si>
    <t>Hickey</t>
  </si>
  <si>
    <t>713-853-3195</t>
  </si>
  <si>
    <t>Enerson</t>
  </si>
  <si>
    <t>713-853-1788</t>
  </si>
  <si>
    <t>Kuykendall</t>
  </si>
  <si>
    <t>713-853-3995</t>
  </si>
  <si>
    <t>Morris</t>
  </si>
  <si>
    <t>713-345-7134</t>
  </si>
  <si>
    <t>Johnson</t>
  </si>
  <si>
    <t>713-853-9453</t>
  </si>
  <si>
    <t>Meier</t>
  </si>
  <si>
    <t>713-345-8961</t>
  </si>
  <si>
    <t>Structured</t>
  </si>
  <si>
    <t>Partner</t>
  </si>
  <si>
    <t>Vehicle</t>
  </si>
  <si>
    <t>Raptor</t>
  </si>
  <si>
    <t>JEDI I</t>
  </si>
  <si>
    <t>JEDI II</t>
  </si>
  <si>
    <t>Condor</t>
  </si>
  <si>
    <t>Condor/Raptor</t>
  </si>
  <si>
    <t>Enserco</t>
  </si>
  <si>
    <t>N/A</t>
  </si>
  <si>
    <t>Hanover Compressor Common Raptor II Offset</t>
  </si>
  <si>
    <t xml:space="preserve"> -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</si>
</sst>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  <numFmt numFmtId="187" formatCode="[$CAD]\ #,##0.000_);\([$CAD]\ #,##0.000\)"/>
    <numFmt numFmtId="188" formatCode="[$CAD]\ #,##0.000"/>
    <numFmt numFmtId="191" formatCode="_(* #,##0.00000_);_(* \(#,##0.00000\);_(* &quot;-&quot;??_);_(@_)"/>
    <numFmt numFmtId="198" formatCode="_(* #,##0.0000000_);_(* \(#,##0.0000000\);_(* &quot;-&quot;??_);_(@_)"/>
    <numFmt numFmtId="223" formatCode="0.00000%"/>
  </numFmts>
  <fonts count="33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sz val="8.5"/>
      <name val="MS Sans Serif"/>
      <family val="2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9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44" fontId="0" fillId="0" borderId="0" xfId="2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179" fontId="0" fillId="0" borderId="0" xfId="2" applyNumberFormat="1" applyFont="1"/>
    <xf numFmtId="187" fontId="0" fillId="0" borderId="0" xfId="0" applyNumberFormat="1"/>
    <xf numFmtId="188" fontId="0" fillId="0" borderId="0" xfId="0" applyNumberFormat="1"/>
    <xf numFmtId="167" fontId="21" fillId="0" borderId="0" xfId="2" applyNumberFormat="1" applyFont="1" applyBorder="1" applyAlignment="1">
      <alignment horizontal="center" wrapText="1"/>
    </xf>
    <xf numFmtId="44" fontId="21" fillId="0" borderId="0" xfId="2" applyFont="1" applyBorder="1" applyAlignment="1">
      <alignment horizontal="center" wrapText="1"/>
    </xf>
    <xf numFmtId="165" fontId="21" fillId="0" borderId="0" xfId="1" applyNumberFormat="1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7" fillId="2" borderId="0" xfId="2" applyFont="1" applyFill="1" applyBorder="1" applyAlignment="1">
      <alignment horizontal="center"/>
    </xf>
    <xf numFmtId="43" fontId="25" fillId="0" borderId="0" xfId="1" applyNumberFormat="1" applyFont="1"/>
    <xf numFmtId="43" fontId="0" fillId="0" borderId="0" xfId="1" applyFont="1"/>
    <xf numFmtId="191" fontId="0" fillId="0" borderId="0" xfId="1" applyNumberFormat="1" applyFont="1"/>
    <xf numFmtId="0" fontId="26" fillId="2" borderId="9" xfId="0" applyFont="1" applyFill="1" applyBorder="1" applyAlignment="1">
      <alignment horizontal="left"/>
    </xf>
    <xf numFmtId="0" fontId="26" fillId="2" borderId="31" xfId="0" applyFont="1" applyFill="1" applyBorder="1" applyAlignment="1">
      <alignment horizontal="left"/>
    </xf>
    <xf numFmtId="43" fontId="27" fillId="2" borderId="9" xfId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14" fontId="27" fillId="2" borderId="9" xfId="2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left"/>
    </xf>
    <xf numFmtId="0" fontId="26" fillId="2" borderId="32" xfId="0" applyFont="1" applyFill="1" applyBorder="1" applyAlignment="1">
      <alignment horizontal="left"/>
    </xf>
    <xf numFmtId="43" fontId="27" fillId="2" borderId="0" xfId="1" applyFont="1" applyFill="1" applyBorder="1" applyAlignment="1">
      <alignment horizontal="center"/>
    </xf>
    <xf numFmtId="39" fontId="27" fillId="2" borderId="0" xfId="2" applyNumberFormat="1" applyFont="1" applyFill="1" applyBorder="1" applyAlignment="1">
      <alignment horizontal="center"/>
    </xf>
    <xf numFmtId="14" fontId="27" fillId="2" borderId="0" xfId="2" applyNumberFormat="1" applyFont="1" applyFill="1" applyBorder="1" applyAlignment="1">
      <alignment horizontal="center"/>
    </xf>
    <xf numFmtId="39" fontId="27" fillId="2" borderId="0" xfId="2" quotePrefix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left"/>
    </xf>
    <xf numFmtId="0" fontId="26" fillId="2" borderId="20" xfId="0" applyFont="1" applyFill="1" applyBorder="1" applyAlignment="1">
      <alignment horizontal="left"/>
    </xf>
    <xf numFmtId="43" fontId="27" fillId="2" borderId="5" xfId="1" applyFont="1" applyFill="1" applyBorder="1" applyAlignment="1">
      <alignment horizontal="center"/>
    </xf>
    <xf numFmtId="39" fontId="27" fillId="2" borderId="5" xfId="2" applyNumberFormat="1" applyFont="1" applyFill="1" applyBorder="1" applyAlignment="1">
      <alignment horizontal="center"/>
    </xf>
    <xf numFmtId="14" fontId="27" fillId="2" borderId="5" xfId="2" applyNumberFormat="1" applyFont="1" applyFill="1" applyBorder="1" applyAlignment="1">
      <alignment horizontal="center"/>
    </xf>
    <xf numFmtId="44" fontId="27" fillId="2" borderId="5" xfId="2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8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98" fontId="0" fillId="0" borderId="0" xfId="1" applyNumberFormat="1" applyFont="1"/>
    <xf numFmtId="37" fontId="0" fillId="0" borderId="0" xfId="0" applyNumberFormat="1" applyFill="1" applyBorder="1" applyAlignment="1">
      <alignment horizontal="left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32" fillId="0" borderId="0" xfId="1" applyNumberFormat="1" applyFont="1"/>
    <xf numFmtId="44" fontId="0" fillId="0" borderId="0" xfId="0" applyNumberFormat="1"/>
    <xf numFmtId="165" fontId="27" fillId="2" borderId="9" xfId="1" applyNumberFormat="1" applyFont="1" applyFill="1" applyBorder="1" applyAlignment="1">
      <alignment horizontal="center"/>
    </xf>
    <xf numFmtId="165" fontId="27" fillId="2" borderId="0" xfId="1" applyNumberFormat="1" applyFont="1" applyFill="1" applyBorder="1" applyAlignment="1">
      <alignment horizontal="center"/>
    </xf>
    <xf numFmtId="165" fontId="27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37" fontId="0" fillId="0" borderId="3" xfId="0" applyNumberFormat="1" applyFill="1" applyBorder="1" applyAlignment="1">
      <alignment horizontal="right" wrapText="1"/>
    </xf>
    <xf numFmtId="0" fontId="0" fillId="0" borderId="3" xfId="0" applyFill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165" fontId="29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5" fontId="3" fillId="0" borderId="0" xfId="1" applyNumberFormat="1" applyFont="1" applyFill="1" applyBorder="1" applyAlignment="1"/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7" fillId="2" borderId="35" xfId="2" applyNumberFormat="1" applyFont="1" applyFill="1" applyBorder="1" applyAlignment="1">
      <alignment horizontal="center"/>
    </xf>
    <xf numFmtId="39" fontId="27" fillId="2" borderId="36" xfId="2" applyNumberFormat="1" applyFont="1" applyFill="1" applyBorder="1" applyAlignment="1">
      <alignment horizontal="center"/>
    </xf>
    <xf numFmtId="14" fontId="27" fillId="2" borderId="37" xfId="2" applyNumberFormat="1" applyFont="1" applyFill="1" applyBorder="1" applyAlignment="1">
      <alignment horizontal="center"/>
    </xf>
    <xf numFmtId="44" fontId="27" fillId="2" borderId="38" xfId="2" applyFont="1" applyFill="1" applyBorder="1" applyAlignment="1">
      <alignment horizontal="center"/>
    </xf>
    <xf numFmtId="44" fontId="27" fillId="2" borderId="39" xfId="2" applyFont="1" applyFill="1" applyBorder="1" applyAlignment="1">
      <alignment horizontal="center"/>
    </xf>
    <xf numFmtId="44" fontId="29" fillId="0" borderId="36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21" fillId="0" borderId="0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43" fontId="0" fillId="0" borderId="0" xfId="1" applyNumberFormat="1" applyFont="1"/>
    <xf numFmtId="172" fontId="0" fillId="0" borderId="0" xfId="1" quotePrefix="1" applyNumberFormat="1" applyFont="1"/>
    <xf numFmtId="165" fontId="21" fillId="0" borderId="6" xfId="1" applyNumberFormat="1" applyFont="1" applyBorder="1" applyAlignment="1">
      <alignment horizontal="center" wrapText="1"/>
    </xf>
    <xf numFmtId="167" fontId="21" fillId="0" borderId="17" xfId="2" applyNumberFormat="1" applyFont="1" applyBorder="1" applyAlignment="1">
      <alignment horizontal="center" wrapText="1"/>
    </xf>
    <xf numFmtId="14" fontId="0" fillId="0" borderId="0" xfId="0" applyNumberFormat="1" applyAlignment="1">
      <alignment wrapText="1"/>
    </xf>
    <xf numFmtId="179" fontId="21" fillId="0" borderId="0" xfId="2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165" fontId="0" fillId="0" borderId="0" xfId="1" applyNumberFormat="1" applyFont="1" applyBorder="1" applyAlignment="1">
      <alignment horizontal="center"/>
    </xf>
    <xf numFmtId="165" fontId="0" fillId="0" borderId="3" xfId="1" applyNumberFormat="1" applyFont="1" applyBorder="1"/>
    <xf numFmtId="39" fontId="4" fillId="0" borderId="33" xfId="1" applyNumberFormat="1" applyFont="1" applyFill="1" applyBorder="1" applyAlignment="1">
      <alignment vertical="center"/>
    </xf>
    <xf numFmtId="169" fontId="29" fillId="0" borderId="0" xfId="1" applyNumberFormat="1" applyFont="1" applyFill="1" applyBorder="1" applyAlignment="1"/>
    <xf numFmtId="169" fontId="10" fillId="0" borderId="5" xfId="1" applyNumberFormat="1" applyFont="1" applyFill="1" applyBorder="1" applyAlignment="1">
      <alignment vertical="center"/>
    </xf>
    <xf numFmtId="169" fontId="4" fillId="0" borderId="5" xfId="1" applyNumberFormat="1" applyFont="1" applyFill="1" applyBorder="1" applyAlignment="1">
      <alignment vertical="center"/>
    </xf>
    <xf numFmtId="169" fontId="29" fillId="0" borderId="0" xfId="3" applyNumberFormat="1" applyFont="1" applyFill="1" applyBorder="1" applyAlignment="1"/>
    <xf numFmtId="169" fontId="10" fillId="0" borderId="5" xfId="3" applyNumberFormat="1" applyFont="1" applyFill="1" applyBorder="1" applyAlignment="1">
      <alignment vertical="center"/>
    </xf>
    <xf numFmtId="169" fontId="4" fillId="0" borderId="5" xfId="3" applyNumberFormat="1" applyFont="1" applyFill="1" applyBorder="1" applyAlignment="1">
      <alignment vertical="center"/>
    </xf>
    <xf numFmtId="169" fontId="4" fillId="0" borderId="33" xfId="1" applyNumberFormat="1" applyFont="1" applyFill="1" applyBorder="1" applyAlignment="1">
      <alignment vertical="center"/>
    </xf>
    <xf numFmtId="167" fontId="0" fillId="0" borderId="0" xfId="0" applyNumberFormat="1" applyFill="1"/>
    <xf numFmtId="179" fontId="0" fillId="0" borderId="0" xfId="2" applyNumberFormat="1" applyFont="1" applyFill="1"/>
    <xf numFmtId="167" fontId="0" fillId="0" borderId="0" xfId="2" applyNumberFormat="1" applyFont="1" applyFill="1"/>
    <xf numFmtId="179" fontId="3" fillId="0" borderId="0" xfId="2" applyNumberFormat="1" applyFont="1" applyFill="1"/>
    <xf numFmtId="44" fontId="0" fillId="0" borderId="3" xfId="2" applyFont="1" applyBorder="1" applyAlignment="1">
      <alignment horizontal="center"/>
    </xf>
    <xf numFmtId="165" fontId="0" fillId="0" borderId="7" xfId="0" applyNumberFormat="1" applyBorder="1"/>
    <xf numFmtId="169" fontId="0" fillId="0" borderId="0" xfId="3" applyNumberFormat="1" applyFont="1"/>
    <xf numFmtId="43" fontId="0" fillId="0" borderId="0" xfId="2" applyNumberFormat="1" applyFont="1"/>
    <xf numFmtId="37" fontId="21" fillId="0" borderId="0" xfId="0" applyNumberFormat="1" applyFont="1"/>
    <xf numFmtId="44" fontId="0" fillId="0" borderId="0" xfId="2" applyFont="1" applyFill="1" applyBorder="1"/>
    <xf numFmtId="165" fontId="0" fillId="0" borderId="0" xfId="0" applyNumberFormat="1" applyFill="1"/>
    <xf numFmtId="0" fontId="0" fillId="0" borderId="0" xfId="0" applyFill="1"/>
    <xf numFmtId="179" fontId="3" fillId="0" borderId="0" xfId="2" applyNumberFormat="1" applyFont="1"/>
    <xf numFmtId="0" fontId="0" fillId="0" borderId="0" xfId="0" applyAlignment="1">
      <alignment horizontal="right"/>
    </xf>
    <xf numFmtId="0" fontId="0" fillId="0" borderId="23" xfId="0" applyBorder="1" applyAlignment="1">
      <alignment horizontal="center"/>
    </xf>
    <xf numFmtId="167" fontId="0" fillId="0" borderId="2" xfId="0" applyNumberFormat="1" applyFill="1" applyBorder="1"/>
    <xf numFmtId="165" fontId="0" fillId="0" borderId="0" xfId="1" applyNumberFormat="1" applyFont="1" applyBorder="1"/>
    <xf numFmtId="165" fontId="0" fillId="0" borderId="0" xfId="0" applyNumberFormat="1" applyBorder="1"/>
    <xf numFmtId="0" fontId="0" fillId="0" borderId="0" xfId="0" quotePrefix="1"/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223" fontId="0" fillId="0" borderId="0" xfId="3" applyNumberFormat="1" applyFont="1" applyBorder="1" applyAlignment="1">
      <alignment horizontal="center"/>
    </xf>
    <xf numFmtId="43" fontId="3" fillId="0" borderId="0" xfId="1" applyFont="1"/>
    <xf numFmtId="43" fontId="31" fillId="0" borderId="0" xfId="1" applyFont="1"/>
    <xf numFmtId="43" fontId="0" fillId="0" borderId="3" xfId="1" applyFont="1" applyBorder="1"/>
    <xf numFmtId="14" fontId="19" fillId="3" borderId="0" xfId="0" applyNumberFormat="1" applyFont="1" applyFill="1" applyAlignment="1">
      <alignment horizontal="center"/>
    </xf>
    <xf numFmtId="0" fontId="3" fillId="2" borderId="0" xfId="0" applyFont="1" applyFill="1"/>
    <xf numFmtId="37" fontId="3" fillId="2" borderId="0" xfId="0" applyNumberFormat="1" applyFont="1" applyFill="1"/>
    <xf numFmtId="49" fontId="4" fillId="0" borderId="33" xfId="0" applyNumberFormat="1" applyFont="1" applyFill="1" applyBorder="1" applyAlignment="1">
      <alignment horizontal="left" vertical="center"/>
    </xf>
    <xf numFmtId="44" fontId="21" fillId="0" borderId="18" xfId="2" applyNumberFormat="1" applyFont="1" applyBorder="1" applyAlignment="1">
      <alignment horizontal="center" wrapText="1"/>
    </xf>
    <xf numFmtId="44" fontId="21" fillId="0" borderId="0" xfId="2" applyNumberFormat="1" applyFont="1" applyBorder="1" applyAlignment="1">
      <alignment horizontal="center" wrapText="1"/>
    </xf>
    <xf numFmtId="44" fontId="0" fillId="0" borderId="0" xfId="2" applyNumberFormat="1" applyFont="1" applyFill="1"/>
    <xf numFmtId="44" fontId="0" fillId="0" borderId="2" xfId="2" applyNumberFormat="1" applyFont="1" applyFill="1" applyBorder="1"/>
    <xf numFmtId="44" fontId="0" fillId="0" borderId="0" xfId="2" applyNumberFormat="1" applyFont="1"/>
    <xf numFmtId="44" fontId="0" fillId="0" borderId="3" xfId="2" applyNumberFormat="1" applyFont="1" applyBorder="1"/>
    <xf numFmtId="37" fontId="2" fillId="0" borderId="0" xfId="0" applyNumberFormat="1" applyFont="1" applyFill="1"/>
    <xf numFmtId="165" fontId="0" fillId="5" borderId="0" xfId="1" applyNumberFormat="1" applyFont="1" applyFill="1"/>
    <xf numFmtId="167" fontId="0" fillId="0" borderId="21" xfId="0" applyNumberFormat="1" applyFill="1" applyBorder="1"/>
    <xf numFmtId="43" fontId="0" fillId="0" borderId="0" xfId="1" applyFont="1" applyFill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67" fontId="21" fillId="0" borderId="44" xfId="2" applyNumberFormat="1" applyFont="1" applyBorder="1" applyAlignment="1">
      <alignment horizontal="center" wrapText="1"/>
    </xf>
    <xf numFmtId="167" fontId="21" fillId="0" borderId="0" xfId="2" applyNumberFormat="1" applyFont="1" applyBorder="1" applyAlignment="1">
      <alignment horizontal="center" wrapText="1"/>
    </xf>
    <xf numFmtId="167" fontId="21" fillId="0" borderId="32" xfId="2" applyNumberFormat="1" applyFont="1" applyBorder="1" applyAlignment="1">
      <alignment horizontal="center" wrapText="1"/>
    </xf>
    <xf numFmtId="14" fontId="4" fillId="0" borderId="0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0" fillId="0" borderId="9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4" fillId="0" borderId="6" xfId="0" applyNumberFormat="1" applyFont="1" applyFill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0" fontId="21" fillId="0" borderId="6" xfId="0" applyFont="1" applyBorder="1" applyAlignment="1">
      <alignment horizontal="center"/>
    </xf>
    <xf numFmtId="14" fontId="3" fillId="0" borderId="3" xfId="0" applyNumberFormat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44" fontId="27" fillId="2" borderId="0" xfId="2" applyFont="1" applyFill="1" applyBorder="1" applyAlignment="1">
      <alignment horizontal="center"/>
    </xf>
    <xf numFmtId="44" fontId="27" fillId="2" borderId="8" xfId="2" applyFont="1" applyFill="1" applyBorder="1" applyAlignment="1">
      <alignment horizontal="center"/>
    </xf>
    <xf numFmtId="44" fontId="27" fillId="2" borderId="10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ummaryBase329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able"/>
      <sheetName val="Raptor I&amp;2 Hedges"/>
    </sheetNames>
    <sheetDataSet>
      <sheetData sheetId="0"/>
      <sheetData sheetId="1">
        <row r="2">
          <cell r="I2">
            <v>36976</v>
          </cell>
        </row>
        <row r="3">
          <cell r="B3">
            <v>37161</v>
          </cell>
          <cell r="C3">
            <v>0</v>
          </cell>
          <cell r="H3">
            <v>38338200.215799153</v>
          </cell>
        </row>
        <row r="5">
          <cell r="B5">
            <v>25.25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/>
  </sheetViews>
  <sheetFormatPr defaultRowHeight="15.6" x14ac:dyDescent="0.3"/>
  <cols>
    <col min="2" max="2" width="30.8984375" bestFit="1" customWidth="1"/>
    <col min="3" max="5" width="15.59765625" customWidth="1"/>
  </cols>
  <sheetData>
    <row r="1" spans="1:6" x14ac:dyDescent="0.3">
      <c r="A1" s="57"/>
      <c r="B1" s="58"/>
      <c r="C1" s="58"/>
      <c r="D1" s="58"/>
      <c r="E1" s="58"/>
      <c r="F1" s="59"/>
    </row>
    <row r="2" spans="1:6" ht="17.399999999999999" x14ac:dyDescent="0.3">
      <c r="A2" s="60"/>
      <c r="B2" s="322" t="s">
        <v>126</v>
      </c>
      <c r="C2" s="322"/>
      <c r="D2" s="322"/>
      <c r="E2" s="322"/>
      <c r="F2" s="61"/>
    </row>
    <row r="3" spans="1:6" x14ac:dyDescent="0.3">
      <c r="A3" s="60"/>
      <c r="B3" s="62"/>
      <c r="C3" s="62"/>
      <c r="D3" s="62"/>
      <c r="E3" s="62"/>
      <c r="F3" s="61"/>
    </row>
    <row r="4" spans="1:6" x14ac:dyDescent="0.3">
      <c r="A4" s="60"/>
      <c r="B4" s="74" t="s">
        <v>0</v>
      </c>
      <c r="C4" s="64"/>
      <c r="D4" s="62"/>
      <c r="E4" s="62"/>
      <c r="F4" s="61"/>
    </row>
    <row r="5" spans="1:6" x14ac:dyDescent="0.3">
      <c r="A5" s="60"/>
      <c r="B5" s="62" t="s">
        <v>15</v>
      </c>
      <c r="C5" s="64">
        <f>+'Stock Prices'!A379</f>
        <v>37161</v>
      </c>
      <c r="D5" s="65" t="s">
        <v>20</v>
      </c>
      <c r="E5" s="66">
        <f>+C5-1</f>
        <v>37160</v>
      </c>
      <c r="F5" s="61"/>
    </row>
    <row r="6" spans="1:6" x14ac:dyDescent="0.3">
      <c r="A6" s="60"/>
      <c r="B6" s="62"/>
      <c r="C6" s="62"/>
      <c r="D6" s="62"/>
      <c r="E6" s="62"/>
      <c r="F6" s="61"/>
    </row>
    <row r="7" spans="1:6" x14ac:dyDescent="0.3">
      <c r="A7" s="60"/>
      <c r="B7" s="62"/>
      <c r="C7" s="212"/>
      <c r="D7" s="62"/>
      <c r="E7" s="62"/>
      <c r="F7" s="61"/>
    </row>
    <row r="8" spans="1:6" x14ac:dyDescent="0.3">
      <c r="A8" s="60"/>
      <c r="B8" s="74" t="s">
        <v>120</v>
      </c>
      <c r="C8" s="62"/>
      <c r="D8" s="62"/>
      <c r="E8" s="62"/>
      <c r="F8" s="61"/>
    </row>
    <row r="9" spans="1:6" x14ac:dyDescent="0.3">
      <c r="A9" s="60"/>
      <c r="B9" s="63"/>
      <c r="C9" s="62"/>
      <c r="D9" s="62"/>
      <c r="E9" s="62"/>
      <c r="F9" s="61"/>
    </row>
    <row r="10" spans="1:6" x14ac:dyDescent="0.3">
      <c r="A10" s="60"/>
      <c r="B10" s="62" t="s">
        <v>8</v>
      </c>
      <c r="C10" s="56" t="s">
        <v>7</v>
      </c>
      <c r="D10" s="56" t="s">
        <v>5</v>
      </c>
      <c r="E10" s="56" t="s">
        <v>6</v>
      </c>
      <c r="F10" s="61"/>
    </row>
    <row r="11" spans="1:6" x14ac:dyDescent="0.3">
      <c r="A11" s="60"/>
      <c r="B11" s="62"/>
      <c r="C11" s="68"/>
      <c r="D11" s="68"/>
      <c r="E11" s="68"/>
      <c r="F11" s="61"/>
    </row>
    <row r="12" spans="1:6" x14ac:dyDescent="0.3">
      <c r="A12" s="60"/>
      <c r="B12" s="62" t="s">
        <v>9</v>
      </c>
      <c r="C12" s="69">
        <f>+'Daily Position'!T78</f>
        <v>-539062840.27464867</v>
      </c>
      <c r="D12" s="69">
        <f>+'Daily Position'!S78</f>
        <v>-126932303.76306601</v>
      </c>
      <c r="E12" s="69">
        <f>+C12-D12</f>
        <v>-412130536.51158267</v>
      </c>
      <c r="F12" s="61"/>
    </row>
    <row r="13" spans="1:6" x14ac:dyDescent="0.3">
      <c r="A13" s="60"/>
      <c r="B13" s="62" t="s">
        <v>10</v>
      </c>
      <c r="C13" s="54">
        <f>+C15-C12</f>
        <v>-467423.47841703892</v>
      </c>
      <c r="D13" s="54">
        <f>+D15-D12</f>
        <v>0</v>
      </c>
      <c r="E13" s="54">
        <f>+E15-E12</f>
        <v>-467423.47841703892</v>
      </c>
      <c r="F13" s="61"/>
    </row>
    <row r="14" spans="1:6" x14ac:dyDescent="0.3">
      <c r="A14" s="60"/>
      <c r="B14" s="62"/>
      <c r="C14" s="69"/>
      <c r="D14" s="69"/>
      <c r="E14" s="69"/>
      <c r="F14" s="61"/>
    </row>
    <row r="15" spans="1:6" ht="16.2" thickBot="1" x14ac:dyDescent="0.35">
      <c r="A15" s="60"/>
      <c r="B15" s="62" t="s">
        <v>11</v>
      </c>
      <c r="C15" s="55">
        <f>+'Daily Position'!R78</f>
        <v>-539530263.75306571</v>
      </c>
      <c r="D15" s="55">
        <f>+'Daily Position'!Q78</f>
        <v>-126932303.76306601</v>
      </c>
      <c r="E15" s="55">
        <f>+C15-D15</f>
        <v>-412597959.98999971</v>
      </c>
      <c r="F15" s="61"/>
    </row>
    <row r="16" spans="1:6" ht="16.2" thickTop="1" x14ac:dyDescent="0.3">
      <c r="A16" s="60"/>
      <c r="B16" s="62"/>
      <c r="C16" s="69"/>
      <c r="D16" s="69"/>
      <c r="E16" s="69"/>
      <c r="F16" s="61"/>
    </row>
    <row r="17" spans="1:6" x14ac:dyDescent="0.3">
      <c r="A17" s="60"/>
      <c r="B17" s="62"/>
      <c r="C17" s="62"/>
      <c r="D17" s="62"/>
      <c r="E17" s="62"/>
      <c r="F17" s="61"/>
    </row>
    <row r="18" spans="1:6" x14ac:dyDescent="0.3">
      <c r="A18" s="60"/>
      <c r="B18" s="62" t="s">
        <v>3</v>
      </c>
      <c r="C18" s="69">
        <f>IF(+Financials!P25&lt;0,"No Capacity Available",+Financials!P25)</f>
        <v>37600803.393050089</v>
      </c>
      <c r="D18" s="62"/>
      <c r="E18" s="62"/>
      <c r="F18" s="61"/>
    </row>
    <row r="19" spans="1:6" x14ac:dyDescent="0.3">
      <c r="A19" s="60"/>
      <c r="B19" s="62"/>
      <c r="C19" s="69"/>
      <c r="D19" s="62"/>
      <c r="E19" s="62"/>
      <c r="F19" s="61"/>
    </row>
    <row r="20" spans="1:6" x14ac:dyDescent="0.3">
      <c r="A20" s="60"/>
      <c r="B20" s="62"/>
      <c r="C20" s="69"/>
      <c r="D20" s="62"/>
      <c r="E20" s="62"/>
      <c r="F20" s="61"/>
    </row>
    <row r="21" spans="1:6" x14ac:dyDescent="0.3">
      <c r="A21" s="60"/>
      <c r="B21" s="62" t="s">
        <v>2</v>
      </c>
      <c r="C21" s="69">
        <f>ROUND(+Financials!I39,2)</f>
        <v>-337394140.24000001</v>
      </c>
      <c r="D21" s="62"/>
      <c r="E21" s="62"/>
      <c r="F21" s="61"/>
    </row>
    <row r="22" spans="1:6" x14ac:dyDescent="0.3">
      <c r="A22" s="60"/>
      <c r="B22" s="62"/>
      <c r="C22" s="69"/>
      <c r="D22" s="212"/>
      <c r="E22" s="62"/>
      <c r="F22" s="61"/>
    </row>
    <row r="23" spans="1:6" x14ac:dyDescent="0.3">
      <c r="A23" s="60"/>
      <c r="B23" s="62"/>
      <c r="C23" s="69"/>
      <c r="D23" s="62"/>
      <c r="E23" s="62"/>
      <c r="F23" s="61"/>
    </row>
    <row r="24" spans="1:6" x14ac:dyDescent="0.3">
      <c r="A24" s="60"/>
      <c r="B24" s="70" t="s">
        <v>125</v>
      </c>
      <c r="C24" s="69">
        <f>1500000000-'Daily Position'!I78</f>
        <v>766318323.92999995</v>
      </c>
      <c r="D24" s="62"/>
      <c r="E24" s="62"/>
      <c r="F24" s="61"/>
    </row>
    <row r="25" spans="1:6" ht="16.2" thickBot="1" x14ac:dyDescent="0.35">
      <c r="A25" s="71"/>
      <c r="B25" s="72"/>
      <c r="C25" s="72"/>
      <c r="D25" s="72"/>
      <c r="E25" s="72"/>
      <c r="F25" s="73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zoomScaleNormal="100" workbookViewId="0">
      <selection activeCell="E20" sqref="E20"/>
    </sheetView>
  </sheetViews>
  <sheetFormatPr defaultRowHeight="15.6" x14ac:dyDescent="0.3"/>
  <cols>
    <col min="1" max="1" width="25" customWidth="1"/>
    <col min="2" max="2" width="11.09765625" style="3" customWidth="1"/>
    <col min="3" max="3" width="12.3984375" customWidth="1"/>
    <col min="4" max="4" width="14.69921875" customWidth="1"/>
    <col min="5" max="5" width="15.3984375" customWidth="1"/>
    <col min="6" max="6" width="14.5" customWidth="1"/>
  </cols>
  <sheetData>
    <row r="1" spans="1:6" x14ac:dyDescent="0.3">
      <c r="D1" s="286" t="s">
        <v>495</v>
      </c>
      <c r="E1" s="56" t="s">
        <v>496</v>
      </c>
    </row>
    <row r="2" spans="1:6" x14ac:dyDescent="0.3">
      <c r="A2" s="62" t="s">
        <v>497</v>
      </c>
      <c r="C2" s="216"/>
      <c r="D2" s="2">
        <f>+Financials!I5</f>
        <v>25.25</v>
      </c>
      <c r="F2" s="52"/>
    </row>
    <row r="3" spans="1:6" x14ac:dyDescent="0.3">
      <c r="A3" t="s">
        <v>498</v>
      </c>
      <c r="B3" s="3">
        <v>50000000</v>
      </c>
      <c r="D3" s="5">
        <f>B3*D2</f>
        <v>1262500000</v>
      </c>
      <c r="E3" s="3">
        <f>ROUND(D3/D2+0.49,0)</f>
        <v>50000000</v>
      </c>
    </row>
    <row r="4" spans="1:6" x14ac:dyDescent="0.3">
      <c r="A4" t="s">
        <v>499</v>
      </c>
      <c r="D4" s="54">
        <f>1400000000+1027000000+500000</f>
        <v>2427500000</v>
      </c>
      <c r="E4" s="273">
        <f>ROUND(D4/D2+0.49,0)</f>
        <v>96138614</v>
      </c>
    </row>
    <row r="5" spans="1:6" x14ac:dyDescent="0.3">
      <c r="A5" t="s">
        <v>500</v>
      </c>
      <c r="D5" s="4">
        <f>D3-D4</f>
        <v>-1165000000</v>
      </c>
      <c r="E5" s="52">
        <f>E3-E4</f>
        <v>-46138614</v>
      </c>
    </row>
    <row r="6" spans="1:6" x14ac:dyDescent="0.3">
      <c r="A6" t="s">
        <v>501</v>
      </c>
      <c r="D6" s="2"/>
    </row>
    <row r="7" spans="1:6" x14ac:dyDescent="0.3">
      <c r="A7" t="s">
        <v>502</v>
      </c>
      <c r="B7" s="3">
        <v>3876755</v>
      </c>
      <c r="D7" s="4">
        <f>+B7*D2</f>
        <v>97888063.75</v>
      </c>
      <c r="E7" s="3">
        <v>3876755</v>
      </c>
    </row>
    <row r="8" spans="1:6" x14ac:dyDescent="0.3">
      <c r="A8" t="s">
        <v>503</v>
      </c>
      <c r="B8" s="3">
        <v>7809790</v>
      </c>
      <c r="D8" s="4">
        <f>+B8*D2</f>
        <v>197197197.5</v>
      </c>
      <c r="E8" s="3">
        <v>7809790</v>
      </c>
    </row>
    <row r="9" spans="1:6" x14ac:dyDescent="0.3">
      <c r="A9" t="s">
        <v>504</v>
      </c>
      <c r="B9" s="3">
        <v>6326045</v>
      </c>
      <c r="D9" s="54">
        <f>+B9*D2</f>
        <v>159732636.25</v>
      </c>
      <c r="E9" s="273">
        <v>6326045</v>
      </c>
    </row>
    <row r="10" spans="1:6" x14ac:dyDescent="0.3">
      <c r="B10" s="3">
        <f>+B7+B8+B9</f>
        <v>18012590</v>
      </c>
      <c r="D10" s="2"/>
    </row>
    <row r="11" spans="1:6" ht="16.2" thickBot="1" x14ac:dyDescent="0.35">
      <c r="A11" t="s">
        <v>29</v>
      </c>
      <c r="D11" s="55">
        <f>D5-SUM(D7:D9)</f>
        <v>-1619817897.5</v>
      </c>
      <c r="E11" s="287">
        <f>E5-SUM(E7:E9)</f>
        <v>-64151204</v>
      </c>
    </row>
    <row r="12" spans="1:6" ht="16.2" thickTop="1" x14ac:dyDescent="0.3">
      <c r="A12" s="3"/>
      <c r="D12" s="223"/>
      <c r="E12" s="52"/>
      <c r="F12" s="3"/>
    </row>
    <row r="13" spans="1:6" x14ac:dyDescent="0.3">
      <c r="D13" s="5"/>
      <c r="E13" s="216"/>
      <c r="F13" s="3"/>
    </row>
    <row r="14" spans="1:6" x14ac:dyDescent="0.3">
      <c r="A14" t="s">
        <v>512</v>
      </c>
      <c r="B14" s="3">
        <f>IF(E11&gt;0,B7,IF((B9+B8)&gt;-E11,B7,IF(-E11&gt;(+B9+B8+B7),0,IF(D2&lt;50,0,(+B9+B8+B7+E11)))))</f>
        <v>0</v>
      </c>
      <c r="C14" s="3">
        <f>+Financials!D14</f>
        <v>3739175</v>
      </c>
      <c r="D14" s="3">
        <f>+B14+C14</f>
        <v>3739175</v>
      </c>
      <c r="E14" s="52"/>
      <c r="F14" s="3"/>
    </row>
    <row r="17" spans="1:6" x14ac:dyDescent="0.3">
      <c r="A17" t="s">
        <v>505</v>
      </c>
      <c r="B17" s="3">
        <f>+Financials!D15+Financials!D14</f>
        <v>7615930</v>
      </c>
      <c r="C17" s="2">
        <f>+Financials!E15</f>
        <v>70.5</v>
      </c>
      <c r="D17" s="4">
        <f>+Financials!B15+Financials!B14</f>
        <v>536923065</v>
      </c>
    </row>
    <row r="18" spans="1:6" x14ac:dyDescent="0.3">
      <c r="A18" t="s">
        <v>506</v>
      </c>
      <c r="D18" s="4">
        <f>+Financials!B17</f>
        <v>-186923065</v>
      </c>
      <c r="E18" s="288">
        <f>-D18/D17</f>
        <v>0.34813752134116271</v>
      </c>
    </row>
    <row r="19" spans="1:6" x14ac:dyDescent="0.3">
      <c r="D19" s="4">
        <f>+D17+D18</f>
        <v>350000000</v>
      </c>
    </row>
    <row r="20" spans="1:6" x14ac:dyDescent="0.3">
      <c r="A20" t="s">
        <v>507</v>
      </c>
      <c r="D20" s="4">
        <f>+Financials!I15</f>
        <v>94086394.703915954</v>
      </c>
      <c r="E20" s="288">
        <f>(+Financials!A35)/Financials!A38</f>
        <v>0.5033428844317096</v>
      </c>
      <c r="F20">
        <f>+D18*E20+D20</f>
        <v>0</v>
      </c>
    </row>
    <row r="21" spans="1:6" x14ac:dyDescent="0.3">
      <c r="A21" t="s">
        <v>508</v>
      </c>
      <c r="D21" s="4">
        <f>+D19+D20</f>
        <v>444086394.70391595</v>
      </c>
      <c r="E21" s="288">
        <f>+D21/D17</f>
        <v>0.82709502282960401</v>
      </c>
    </row>
    <row r="22" spans="1:6" x14ac:dyDescent="0.3">
      <c r="D22" s="4"/>
    </row>
    <row r="23" spans="1:6" x14ac:dyDescent="0.3">
      <c r="A23" t="s">
        <v>509</v>
      </c>
      <c r="B23" s="3">
        <f>+D14</f>
        <v>3739175</v>
      </c>
      <c r="C23" s="2">
        <f>+C17</f>
        <v>70.5</v>
      </c>
      <c r="D23" s="4">
        <f>+B23*C23</f>
        <v>263611837.5</v>
      </c>
    </row>
    <row r="24" spans="1:6" x14ac:dyDescent="0.3">
      <c r="A24" t="s">
        <v>506</v>
      </c>
      <c r="D24" s="4">
        <f>D18/D17*D23</f>
        <v>-91773171.70343937</v>
      </c>
      <c r="E24" s="288">
        <f>-D24/D23</f>
        <v>0.34813752134116271</v>
      </c>
    </row>
    <row r="25" spans="1:6" x14ac:dyDescent="0.3">
      <c r="D25" s="4">
        <f>+D23+D24</f>
        <v>171838665.79656065</v>
      </c>
    </row>
    <row r="26" spans="1:6" x14ac:dyDescent="0.3">
      <c r="A26" t="s">
        <v>507</v>
      </c>
      <c r="D26" s="4">
        <f>-D24*E20</f>
        <v>46193372.958655722</v>
      </c>
      <c r="E26" s="288">
        <f>+E20</f>
        <v>0.5033428844317096</v>
      </c>
      <c r="F26">
        <f>+D24*E26+D26</f>
        <v>0</v>
      </c>
    </row>
    <row r="27" spans="1:6" x14ac:dyDescent="0.3">
      <c r="A27" t="s">
        <v>510</v>
      </c>
      <c r="D27" s="4">
        <f>+D25+D26</f>
        <v>218032038.75521636</v>
      </c>
      <c r="E27" s="288">
        <f>+D27/D23</f>
        <v>0.82709502282960401</v>
      </c>
    </row>
    <row r="28" spans="1:6" x14ac:dyDescent="0.3">
      <c r="A28" t="s">
        <v>182</v>
      </c>
      <c r="D28" s="289">
        <f>+Financials!M11-D27</f>
        <v>0</v>
      </c>
      <c r="E28" s="288"/>
    </row>
    <row r="29" spans="1:6" x14ac:dyDescent="0.3">
      <c r="D29" s="4"/>
    </row>
    <row r="30" spans="1:6" x14ac:dyDescent="0.3">
      <c r="A30" t="s">
        <v>511</v>
      </c>
      <c r="B30" s="3">
        <f>+B17-B23</f>
        <v>3876755</v>
      </c>
      <c r="D30" s="4">
        <f>+D21-D27</f>
        <v>226054355.94869959</v>
      </c>
    </row>
    <row r="33" spans="1:4" x14ac:dyDescent="0.3">
      <c r="A33" t="s">
        <v>515</v>
      </c>
    </row>
    <row r="34" spans="1:4" x14ac:dyDescent="0.3">
      <c r="B34" s="3" t="s">
        <v>519</v>
      </c>
      <c r="C34" t="s">
        <v>520</v>
      </c>
      <c r="D34" t="s">
        <v>521</v>
      </c>
    </row>
    <row r="35" spans="1:4" x14ac:dyDescent="0.3">
      <c r="A35" t="s">
        <v>516</v>
      </c>
      <c r="B35" s="3">
        <v>3876755</v>
      </c>
      <c r="C35">
        <v>0</v>
      </c>
      <c r="D35">
        <v>0</v>
      </c>
    </row>
    <row r="36" spans="1:4" x14ac:dyDescent="0.3">
      <c r="A36" t="s">
        <v>517</v>
      </c>
      <c r="B36" s="3">
        <v>7809790</v>
      </c>
      <c r="C36">
        <v>0</v>
      </c>
      <c r="D36">
        <v>0</v>
      </c>
    </row>
    <row r="37" spans="1:4" x14ac:dyDescent="0.3">
      <c r="A37" t="s">
        <v>518</v>
      </c>
      <c r="B37" s="3">
        <v>6326045</v>
      </c>
      <c r="C37">
        <v>0</v>
      </c>
      <c r="D37">
        <v>0</v>
      </c>
    </row>
    <row r="39" spans="1:4" x14ac:dyDescent="0.3">
      <c r="A39" t="s">
        <v>7</v>
      </c>
      <c r="B39" s="3">
        <f>SUM(B35:B38)</f>
        <v>18012590</v>
      </c>
      <c r="C39" s="3">
        <f>SUM(C35:C38)</f>
        <v>0</v>
      </c>
      <c r="D39" s="3">
        <f>SUM(D35:D38)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79"/>
  <sheetViews>
    <sheetView zoomScaleNormal="100" workbookViewId="0">
      <selection sqref="A1:IV65536"/>
    </sheetView>
  </sheetViews>
  <sheetFormatPr defaultRowHeight="15.6" outlineLevelRow="3" x14ac:dyDescent="0.3"/>
  <cols>
    <col min="1" max="1" width="47.19921875" bestFit="1" customWidth="1"/>
    <col min="2" max="2" width="31.8984375" bestFit="1" customWidth="1"/>
    <col min="3" max="3" width="11.19921875" bestFit="1" customWidth="1"/>
    <col min="4" max="4" width="12.09765625" hidden="1" customWidth="1"/>
    <col min="5" max="5" width="36.59765625" bestFit="1" customWidth="1"/>
    <col min="6" max="6" width="8.59765625" bestFit="1" customWidth="1"/>
    <col min="7" max="7" width="27.8984375" bestFit="1" customWidth="1"/>
    <col min="8" max="8" width="8.69921875" hidden="1" customWidth="1"/>
    <col min="9" max="9" width="16" hidden="1" customWidth="1"/>
    <col min="10" max="10" width="11.8984375" bestFit="1" customWidth="1"/>
    <col min="11" max="11" width="13.09765625" hidden="1" customWidth="1"/>
    <col min="12" max="13" width="7.09765625" hidden="1" customWidth="1"/>
    <col min="14" max="14" width="6.09765625" hidden="1" customWidth="1"/>
    <col min="15" max="15" width="13.09765625" hidden="1" customWidth="1"/>
    <col min="16" max="16" width="12.19921875" hidden="1" customWidth="1"/>
    <col min="17" max="17" width="11" hidden="1" customWidth="1"/>
    <col min="18" max="18" width="7.09765625" hidden="1" customWidth="1"/>
    <col min="19" max="19" width="11.5" hidden="1" customWidth="1"/>
    <col min="20" max="20" width="11.19921875" hidden="1" customWidth="1"/>
    <col min="21" max="21" width="14.5" bestFit="1" customWidth="1"/>
    <col min="22" max="22" width="16" hidden="1" customWidth="1"/>
    <col min="23" max="23" width="13.59765625" hidden="1" customWidth="1"/>
    <col min="24" max="24" width="6" hidden="1" customWidth="1"/>
    <col min="25" max="25" width="13.59765625" hidden="1" customWidth="1"/>
    <col min="26" max="26" width="5.59765625" hidden="1" customWidth="1"/>
    <col min="27" max="27" width="6" hidden="1" customWidth="1"/>
    <col min="28" max="28" width="5.5" hidden="1" customWidth="1"/>
    <col min="29" max="29" width="14.5" bestFit="1" customWidth="1"/>
    <col min="30" max="30" width="13.19921875" bestFit="1" customWidth="1"/>
    <col min="31" max="31" width="10.59765625" bestFit="1" customWidth="1"/>
    <col min="32" max="32" width="12.8984375" bestFit="1" customWidth="1"/>
    <col min="33" max="33" width="9.59765625" bestFit="1" customWidth="1"/>
    <col min="34" max="34" width="14.09765625" bestFit="1" customWidth="1"/>
    <col min="35" max="35" width="10.59765625" bestFit="1" customWidth="1"/>
    <col min="36" max="36" width="13.59765625" bestFit="1" customWidth="1"/>
    <col min="37" max="37" width="9.59765625" bestFit="1" customWidth="1"/>
    <col min="38" max="38" width="11.09765625" hidden="1" customWidth="1"/>
    <col min="39" max="39" width="14.5" bestFit="1" customWidth="1"/>
    <col min="40" max="40" width="4.59765625" hidden="1" customWidth="1"/>
    <col min="41" max="41" width="7.19921875" hidden="1" customWidth="1"/>
    <col min="42" max="42" width="14.5" hidden="1" customWidth="1"/>
    <col min="43" max="43" width="12.8984375" hidden="1" customWidth="1"/>
    <col min="44" max="44" width="14" hidden="1" customWidth="1"/>
    <col min="45" max="45" width="16.8984375" hidden="1" customWidth="1"/>
    <col min="46" max="46" width="11.8984375" hidden="1" customWidth="1"/>
    <col min="47" max="47" width="10.59765625" hidden="1" customWidth="1"/>
    <col min="48" max="48" width="12.8984375" hidden="1" customWidth="1"/>
    <col min="49" max="49" width="9.59765625" hidden="1" customWidth="1"/>
    <col min="50" max="50" width="15" hidden="1" customWidth="1"/>
    <col min="51" max="51" width="10.59765625" hidden="1" customWidth="1"/>
    <col min="52" max="52" width="14.5" hidden="1" customWidth="1"/>
    <col min="53" max="53" width="9.59765625" hidden="1" customWidth="1"/>
    <col min="54" max="54" width="8.8984375" bestFit="1" customWidth="1"/>
    <col min="55" max="55" width="12.09765625" bestFit="1" customWidth="1"/>
    <col min="56" max="56" width="11.19921875" hidden="1" customWidth="1"/>
    <col min="57" max="57" width="10.59765625" hidden="1" customWidth="1"/>
    <col min="58" max="58" width="12.8984375" hidden="1" customWidth="1"/>
    <col min="59" max="59" width="9.59765625" hidden="1" customWidth="1"/>
    <col min="60" max="60" width="13.59765625" hidden="1" customWidth="1"/>
    <col min="61" max="61" width="10.59765625" hidden="1" customWidth="1"/>
    <col min="62" max="62" width="13.09765625" hidden="1" customWidth="1"/>
    <col min="63" max="63" width="9.59765625" hidden="1" customWidth="1"/>
    <col min="64" max="64" width="14" hidden="1" customWidth="1"/>
    <col min="65" max="65" width="9.8984375" hidden="1" customWidth="1"/>
    <col min="66" max="66" width="15.8984375" hidden="1" customWidth="1"/>
    <col min="67" max="67" width="12" hidden="1" customWidth="1"/>
    <col min="68" max="68" width="13.09765625" hidden="1" customWidth="1"/>
    <col min="69" max="69" width="10.69921875" hidden="1" customWidth="1"/>
    <col min="70" max="70" width="12.19921875" hidden="1" customWidth="1"/>
    <col min="71" max="71" width="9.09765625" hidden="1" customWidth="1"/>
    <col min="72" max="72" width="10.3984375" hidden="1" customWidth="1"/>
    <col min="73" max="73" width="15.69921875" hidden="1" customWidth="1"/>
    <col min="74" max="74" width="9.59765625" hidden="1" customWidth="1"/>
    <col min="75" max="76" width="9.19921875" hidden="1" customWidth="1"/>
    <col min="77" max="77" width="12.69921875" hidden="1" customWidth="1"/>
    <col min="78" max="78" width="12.19921875" hidden="1" customWidth="1"/>
    <col min="79" max="79" width="13.59765625" bestFit="1" customWidth="1"/>
    <col min="80" max="80" width="13.59765625" hidden="1" customWidth="1"/>
    <col min="81" max="84" width="11.5" hidden="1" customWidth="1"/>
    <col min="85" max="85" width="13.59765625" hidden="1" customWidth="1"/>
    <col min="86" max="86" width="10.59765625" hidden="1" customWidth="1"/>
    <col min="87" max="87" width="13.09765625" hidden="1" customWidth="1"/>
    <col min="88" max="88" width="9.59765625" hidden="1" customWidth="1"/>
    <col min="89" max="89" width="9.69921875" hidden="1" customWidth="1"/>
    <col min="90" max="90" width="10" hidden="1" customWidth="1"/>
  </cols>
  <sheetData>
    <row r="1" spans="1:90" ht="16.2" thickBot="1" x14ac:dyDescent="0.35">
      <c r="A1" s="139"/>
      <c r="B1" s="139"/>
      <c r="C1" s="139"/>
      <c r="D1" s="139"/>
      <c r="E1" s="139"/>
      <c r="F1" s="139"/>
      <c r="G1" s="139"/>
      <c r="H1" s="139"/>
      <c r="I1" s="140"/>
      <c r="J1" s="141" t="s">
        <v>232</v>
      </c>
      <c r="K1" s="141" t="s">
        <v>233</v>
      </c>
      <c r="L1" s="142"/>
      <c r="M1" s="141"/>
      <c r="N1" s="143"/>
      <c r="O1" s="142" t="s">
        <v>234</v>
      </c>
      <c r="P1" s="142" t="s">
        <v>235</v>
      </c>
      <c r="Q1" s="142" t="s">
        <v>236</v>
      </c>
      <c r="R1" s="343" t="s">
        <v>237</v>
      </c>
      <c r="S1" s="343"/>
      <c r="T1" s="343"/>
      <c r="U1" s="236" t="s">
        <v>234</v>
      </c>
      <c r="V1" s="142" t="s">
        <v>4</v>
      </c>
      <c r="W1" s="142"/>
      <c r="X1" s="144"/>
      <c r="Y1" s="142"/>
      <c r="Z1" s="144"/>
      <c r="AA1" s="144"/>
      <c r="AB1" s="144"/>
      <c r="AC1" s="236" t="s">
        <v>238</v>
      </c>
      <c r="AD1" s="344" t="s">
        <v>239</v>
      </c>
      <c r="AE1" s="344"/>
      <c r="AF1" s="344"/>
      <c r="AG1" s="344"/>
      <c r="AH1" s="344"/>
      <c r="AI1" s="344"/>
      <c r="AJ1" s="344"/>
      <c r="AK1" s="344"/>
      <c r="AL1" s="145"/>
      <c r="AM1" s="144"/>
      <c r="AN1" s="145"/>
      <c r="AO1" s="144"/>
      <c r="AP1" s="144"/>
      <c r="AQ1" s="144" t="s">
        <v>240</v>
      </c>
      <c r="AR1" s="143"/>
      <c r="AS1" s="142" t="s">
        <v>234</v>
      </c>
      <c r="AT1" s="344" t="s">
        <v>241</v>
      </c>
      <c r="AU1" s="344"/>
      <c r="AV1" s="344"/>
      <c r="AW1" s="344"/>
      <c r="AX1" s="344"/>
      <c r="AY1" s="344"/>
      <c r="AZ1" s="344"/>
      <c r="BA1" s="344"/>
      <c r="BB1" s="144" t="s">
        <v>232</v>
      </c>
      <c r="BC1" s="144" t="s">
        <v>233</v>
      </c>
      <c r="BD1" s="344" t="s">
        <v>242</v>
      </c>
      <c r="BE1" s="344"/>
      <c r="BF1" s="344"/>
      <c r="BG1" s="344"/>
      <c r="BH1" s="344"/>
      <c r="BI1" s="344"/>
      <c r="BJ1" s="344"/>
      <c r="BK1" s="344"/>
      <c r="BL1" s="144" t="s">
        <v>233</v>
      </c>
      <c r="BM1" s="144" t="s">
        <v>243</v>
      </c>
      <c r="BN1" s="144" t="s">
        <v>244</v>
      </c>
      <c r="BO1" s="144" t="s">
        <v>245</v>
      </c>
      <c r="BP1" s="144"/>
      <c r="BQ1" s="142"/>
      <c r="BR1" s="141"/>
      <c r="BS1" s="144"/>
      <c r="BT1" s="144" t="s">
        <v>246</v>
      </c>
      <c r="BU1" s="217" t="s">
        <v>247</v>
      </c>
      <c r="BV1" s="144"/>
      <c r="BW1" s="144" t="s">
        <v>246</v>
      </c>
      <c r="BX1" s="144" t="s">
        <v>248</v>
      </c>
      <c r="BY1" s="142"/>
      <c r="BZ1" s="142"/>
      <c r="CA1" s="142"/>
      <c r="CB1" s="142"/>
      <c r="CC1" s="142"/>
      <c r="CD1" s="142"/>
      <c r="CE1" s="142"/>
      <c r="CF1" s="142"/>
      <c r="CG1" s="345" t="s">
        <v>249</v>
      </c>
      <c r="CH1" s="345"/>
      <c r="CI1" s="345"/>
      <c r="CJ1" s="345"/>
      <c r="CK1" s="141" t="s">
        <v>250</v>
      </c>
      <c r="CL1" s="141" t="s">
        <v>251</v>
      </c>
    </row>
    <row r="2" spans="1:90" x14ac:dyDescent="0.3">
      <c r="A2" s="146"/>
      <c r="B2" s="146"/>
      <c r="C2" s="146" t="s">
        <v>252</v>
      </c>
      <c r="D2" s="146"/>
      <c r="E2" s="146"/>
      <c r="F2" s="146"/>
      <c r="G2" s="146"/>
      <c r="H2" s="146" t="s">
        <v>253</v>
      </c>
      <c r="I2" s="147"/>
      <c r="J2" s="148" t="s">
        <v>254</v>
      </c>
      <c r="K2" s="148" t="s">
        <v>254</v>
      </c>
      <c r="L2" s="149"/>
      <c r="M2" s="148" t="s">
        <v>255</v>
      </c>
      <c r="N2" s="135"/>
      <c r="O2" s="149" t="s">
        <v>138</v>
      </c>
      <c r="P2" s="149" t="s">
        <v>256</v>
      </c>
      <c r="Q2" s="149" t="s">
        <v>256</v>
      </c>
      <c r="R2" s="149" t="s">
        <v>305</v>
      </c>
      <c r="S2" s="149"/>
      <c r="T2" s="149" t="s">
        <v>578</v>
      </c>
      <c r="U2" s="237" t="s">
        <v>138</v>
      </c>
      <c r="V2" s="149" t="s">
        <v>257</v>
      </c>
      <c r="W2" s="149" t="s">
        <v>258</v>
      </c>
      <c r="X2" s="149" t="s">
        <v>259</v>
      </c>
      <c r="Y2" s="149" t="s">
        <v>58</v>
      </c>
      <c r="Z2" s="149" t="s">
        <v>258</v>
      </c>
      <c r="AA2" s="149" t="s">
        <v>259</v>
      </c>
      <c r="AB2" s="149" t="s">
        <v>58</v>
      </c>
      <c r="AC2" s="237" t="s">
        <v>234</v>
      </c>
      <c r="AD2" s="346" t="s">
        <v>260</v>
      </c>
      <c r="AE2" s="346"/>
      <c r="AF2" s="346"/>
      <c r="AG2" s="346"/>
      <c r="AH2" s="347" t="s">
        <v>261</v>
      </c>
      <c r="AI2" s="344"/>
      <c r="AJ2" s="344"/>
      <c r="AK2" s="348"/>
      <c r="AL2" s="150">
        <v>36525</v>
      </c>
      <c r="AM2" s="151" t="s">
        <v>453</v>
      </c>
      <c r="AN2" s="149" t="s">
        <v>262</v>
      </c>
      <c r="AO2" s="149" t="s">
        <v>263</v>
      </c>
      <c r="AP2" s="149" t="s">
        <v>264</v>
      </c>
      <c r="AQ2" s="149" t="s">
        <v>265</v>
      </c>
      <c r="AR2" s="135" t="s">
        <v>266</v>
      </c>
      <c r="AS2" s="149" t="s">
        <v>138</v>
      </c>
      <c r="AT2" s="346" t="s">
        <v>267</v>
      </c>
      <c r="AU2" s="346"/>
      <c r="AV2" s="346"/>
      <c r="AW2" s="346"/>
      <c r="AX2" s="346" t="s">
        <v>262</v>
      </c>
      <c r="AY2" s="346"/>
      <c r="AZ2" s="346"/>
      <c r="BA2" s="346"/>
      <c r="BB2" s="149" t="s">
        <v>265</v>
      </c>
      <c r="BC2" s="149" t="s">
        <v>265</v>
      </c>
      <c r="BD2" s="346" t="s">
        <v>267</v>
      </c>
      <c r="BE2" s="346"/>
      <c r="BF2" s="346"/>
      <c r="BG2" s="346"/>
      <c r="BH2" s="346" t="s">
        <v>262</v>
      </c>
      <c r="BI2" s="346"/>
      <c r="BJ2" s="346"/>
      <c r="BK2" s="346"/>
      <c r="BL2" s="149" t="s">
        <v>264</v>
      </c>
      <c r="BM2" s="149" t="s">
        <v>268</v>
      </c>
      <c r="BN2" s="149" t="s">
        <v>269</v>
      </c>
      <c r="BO2" s="149" t="s">
        <v>270</v>
      </c>
      <c r="BP2" s="152" t="s">
        <v>233</v>
      </c>
      <c r="BQ2" s="149" t="s">
        <v>271</v>
      </c>
      <c r="BR2" s="148" t="s">
        <v>21</v>
      </c>
      <c r="BS2" s="149" t="s">
        <v>272</v>
      </c>
      <c r="BT2" s="149" t="s">
        <v>251</v>
      </c>
      <c r="BU2" s="218" t="s">
        <v>273</v>
      </c>
      <c r="BV2" s="152" t="s">
        <v>274</v>
      </c>
      <c r="BW2" s="149" t="s">
        <v>265</v>
      </c>
      <c r="BX2" s="149" t="s">
        <v>265</v>
      </c>
      <c r="BY2" s="149" t="s">
        <v>260</v>
      </c>
      <c r="BZ2" s="149" t="s">
        <v>267</v>
      </c>
      <c r="CA2" s="149" t="s">
        <v>261</v>
      </c>
      <c r="CB2" s="149" t="s">
        <v>262</v>
      </c>
      <c r="CC2" s="149" t="s">
        <v>260</v>
      </c>
      <c r="CD2" s="149" t="s">
        <v>267</v>
      </c>
      <c r="CE2" s="149" t="s">
        <v>261</v>
      </c>
      <c r="CF2" s="149" t="s">
        <v>262</v>
      </c>
      <c r="CG2" s="346" t="s">
        <v>275</v>
      </c>
      <c r="CH2" s="346"/>
      <c r="CI2" s="346"/>
      <c r="CJ2" s="346"/>
      <c r="CK2" s="148" t="s">
        <v>276</v>
      </c>
      <c r="CL2" s="148" t="s">
        <v>250</v>
      </c>
    </row>
    <row r="3" spans="1:90" x14ac:dyDescent="0.3">
      <c r="A3" s="153" t="s">
        <v>277</v>
      </c>
      <c r="B3" s="153" t="s">
        <v>278</v>
      </c>
      <c r="C3" s="153" t="s">
        <v>279</v>
      </c>
      <c r="D3" s="153" t="s">
        <v>280</v>
      </c>
      <c r="E3" s="153" t="s">
        <v>258</v>
      </c>
      <c r="F3" s="153" t="s">
        <v>143</v>
      </c>
      <c r="G3" s="153" t="s">
        <v>255</v>
      </c>
      <c r="H3" s="153" t="s">
        <v>281</v>
      </c>
      <c r="I3" s="154" t="s">
        <v>272</v>
      </c>
      <c r="J3" s="155" t="s">
        <v>282</v>
      </c>
      <c r="K3" s="155" t="s">
        <v>282</v>
      </c>
      <c r="L3" s="156" t="s">
        <v>263</v>
      </c>
      <c r="M3" s="155" t="s">
        <v>283</v>
      </c>
      <c r="N3" s="155" t="s">
        <v>266</v>
      </c>
      <c r="O3" s="156" t="s">
        <v>284</v>
      </c>
      <c r="P3" s="156" t="s">
        <v>284</v>
      </c>
      <c r="Q3" s="156" t="s">
        <v>284</v>
      </c>
      <c r="R3" s="157" t="s">
        <v>579</v>
      </c>
      <c r="S3" s="157" t="s">
        <v>285</v>
      </c>
      <c r="T3" s="157" t="s">
        <v>580</v>
      </c>
      <c r="U3" s="238">
        <v>37161</v>
      </c>
      <c r="V3" s="157" t="s">
        <v>286</v>
      </c>
      <c r="W3" s="157" t="s">
        <v>7</v>
      </c>
      <c r="X3" s="157" t="s">
        <v>7</v>
      </c>
      <c r="Y3" s="157" t="s">
        <v>7</v>
      </c>
      <c r="Z3" s="157" t="s">
        <v>287</v>
      </c>
      <c r="AA3" s="157" t="s">
        <v>287</v>
      </c>
      <c r="AB3" s="157" t="s">
        <v>287</v>
      </c>
      <c r="AC3" s="238" t="s">
        <v>138</v>
      </c>
      <c r="AD3" s="158" t="s">
        <v>288</v>
      </c>
      <c r="AE3" s="158" t="s">
        <v>289</v>
      </c>
      <c r="AF3" s="158" t="s">
        <v>290</v>
      </c>
      <c r="AG3" s="158" t="s">
        <v>291</v>
      </c>
      <c r="AH3" s="239" t="s">
        <v>288</v>
      </c>
      <c r="AI3" s="158" t="s">
        <v>289</v>
      </c>
      <c r="AJ3" s="158" t="s">
        <v>290</v>
      </c>
      <c r="AK3" s="240" t="s">
        <v>291</v>
      </c>
      <c r="AL3" s="158" t="s">
        <v>292</v>
      </c>
      <c r="AM3" s="157" t="s">
        <v>293</v>
      </c>
      <c r="AN3" s="157" t="s">
        <v>294</v>
      </c>
      <c r="AO3" s="157" t="s">
        <v>295</v>
      </c>
      <c r="AP3" s="157" t="s">
        <v>293</v>
      </c>
      <c r="AQ3" s="157" t="s">
        <v>296</v>
      </c>
      <c r="AR3" s="159" t="s">
        <v>295</v>
      </c>
      <c r="AS3" s="156" t="s">
        <v>297</v>
      </c>
      <c r="AT3" s="158" t="s">
        <v>288</v>
      </c>
      <c r="AU3" s="158" t="s">
        <v>289</v>
      </c>
      <c r="AV3" s="158" t="s">
        <v>290</v>
      </c>
      <c r="AW3" s="158" t="s">
        <v>291</v>
      </c>
      <c r="AX3" s="158" t="s">
        <v>288</v>
      </c>
      <c r="AY3" s="158" t="s">
        <v>289</v>
      </c>
      <c r="AZ3" s="158" t="s">
        <v>290</v>
      </c>
      <c r="BA3" s="158" t="s">
        <v>291</v>
      </c>
      <c r="BB3" s="156" t="s">
        <v>284</v>
      </c>
      <c r="BC3" s="156" t="s">
        <v>284</v>
      </c>
      <c r="BD3" s="158" t="s">
        <v>288</v>
      </c>
      <c r="BE3" s="158" t="s">
        <v>289</v>
      </c>
      <c r="BF3" s="158" t="s">
        <v>290</v>
      </c>
      <c r="BG3" s="158" t="s">
        <v>291</v>
      </c>
      <c r="BH3" s="158" t="s">
        <v>288</v>
      </c>
      <c r="BI3" s="158" t="s">
        <v>289</v>
      </c>
      <c r="BJ3" s="158" t="s">
        <v>290</v>
      </c>
      <c r="BK3" s="158" t="s">
        <v>291</v>
      </c>
      <c r="BL3" s="157" t="s">
        <v>293</v>
      </c>
      <c r="BM3" s="157" t="s">
        <v>298</v>
      </c>
      <c r="BN3" s="157" t="s">
        <v>299</v>
      </c>
      <c r="BO3" s="157" t="s">
        <v>300</v>
      </c>
      <c r="BP3" s="158" t="s">
        <v>290</v>
      </c>
      <c r="BQ3" s="156" t="s">
        <v>284</v>
      </c>
      <c r="BR3" s="155" t="s">
        <v>301</v>
      </c>
      <c r="BS3" s="156" t="s">
        <v>281</v>
      </c>
      <c r="BT3" s="156" t="s">
        <v>294</v>
      </c>
      <c r="BU3" s="219" t="s">
        <v>302</v>
      </c>
      <c r="BV3" s="158" t="s">
        <v>303</v>
      </c>
      <c r="BW3" s="156" t="s">
        <v>304</v>
      </c>
      <c r="BX3" s="156" t="s">
        <v>304</v>
      </c>
      <c r="BY3" s="156" t="s">
        <v>305</v>
      </c>
      <c r="BZ3" s="156" t="s">
        <v>305</v>
      </c>
      <c r="CA3" s="156" t="s">
        <v>305</v>
      </c>
      <c r="CB3" s="156" t="s">
        <v>305</v>
      </c>
      <c r="CC3" s="156" t="s">
        <v>306</v>
      </c>
      <c r="CD3" s="156" t="s">
        <v>306</v>
      </c>
      <c r="CE3" s="156" t="s">
        <v>306</v>
      </c>
      <c r="CF3" s="156" t="s">
        <v>306</v>
      </c>
      <c r="CG3" s="158" t="s">
        <v>288</v>
      </c>
      <c r="CH3" s="158" t="s">
        <v>289</v>
      </c>
      <c r="CI3" s="158" t="s">
        <v>290</v>
      </c>
      <c r="CJ3" s="158" t="s">
        <v>291</v>
      </c>
      <c r="CK3" s="155" t="s">
        <v>283</v>
      </c>
      <c r="CL3" s="155" t="s">
        <v>283</v>
      </c>
    </row>
    <row r="4" spans="1:90" outlineLevel="3" x14ac:dyDescent="0.3">
      <c r="A4" s="134" t="s">
        <v>307</v>
      </c>
      <c r="B4" s="134" t="s">
        <v>308</v>
      </c>
      <c r="C4" s="134" t="s">
        <v>309</v>
      </c>
      <c r="D4" s="134" t="s">
        <v>310</v>
      </c>
      <c r="E4" s="134" t="s">
        <v>193</v>
      </c>
      <c r="F4" s="134" t="s">
        <v>194</v>
      </c>
      <c r="G4" s="134" t="s">
        <v>311</v>
      </c>
      <c r="H4" s="134" t="s">
        <v>312</v>
      </c>
      <c r="I4" s="160" t="s">
        <v>313</v>
      </c>
      <c r="J4" s="161">
        <v>1</v>
      </c>
      <c r="K4" s="162">
        <v>1</v>
      </c>
      <c r="L4" s="163">
        <v>0</v>
      </c>
      <c r="M4" s="164">
        <v>0</v>
      </c>
      <c r="N4" s="164">
        <v>1</v>
      </c>
      <c r="O4" s="163">
        <v>0</v>
      </c>
      <c r="P4" s="165">
        <v>0</v>
      </c>
      <c r="Q4" s="166">
        <v>0</v>
      </c>
      <c r="R4" s="166">
        <v>0</v>
      </c>
      <c r="S4" s="275">
        <v>1</v>
      </c>
      <c r="T4" s="166">
        <v>0</v>
      </c>
      <c r="U4" s="241">
        <v>0</v>
      </c>
      <c r="V4" s="163" t="s">
        <v>314</v>
      </c>
      <c r="W4" s="163">
        <v>0</v>
      </c>
      <c r="X4" s="163">
        <v>0</v>
      </c>
      <c r="Y4" s="163">
        <v>0</v>
      </c>
      <c r="Z4" s="163">
        <v>0</v>
      </c>
      <c r="AA4" s="163">
        <v>0</v>
      </c>
      <c r="AB4" s="163">
        <v>0</v>
      </c>
      <c r="AC4" s="241">
        <v>0</v>
      </c>
      <c r="AD4" s="163">
        <v>0</v>
      </c>
      <c r="AE4" s="163">
        <v>0</v>
      </c>
      <c r="AF4" s="163">
        <v>0</v>
      </c>
      <c r="AG4" s="163">
        <v>0</v>
      </c>
      <c r="AH4" s="242">
        <v>0</v>
      </c>
      <c r="AI4" s="163">
        <v>0</v>
      </c>
      <c r="AJ4" s="163">
        <v>0</v>
      </c>
      <c r="AK4" s="243">
        <v>0</v>
      </c>
      <c r="AL4" s="167">
        <v>0</v>
      </c>
      <c r="AM4" s="163">
        <v>5407002.8799999999</v>
      </c>
      <c r="AN4" s="164">
        <v>0</v>
      </c>
      <c r="AO4" s="167">
        <v>0</v>
      </c>
      <c r="AP4" s="163">
        <v>0</v>
      </c>
      <c r="AQ4" s="168">
        <v>1</v>
      </c>
      <c r="AR4" s="163">
        <v>0</v>
      </c>
      <c r="AS4" s="163">
        <v>0</v>
      </c>
      <c r="AT4" s="163">
        <v>0</v>
      </c>
      <c r="AU4" s="163">
        <v>0</v>
      </c>
      <c r="AV4" s="163">
        <v>0</v>
      </c>
      <c r="AW4" s="163">
        <v>0</v>
      </c>
      <c r="AX4" s="163">
        <v>0</v>
      </c>
      <c r="AY4" s="163">
        <v>0</v>
      </c>
      <c r="AZ4" s="163">
        <v>0</v>
      </c>
      <c r="BA4" s="163">
        <v>0</v>
      </c>
      <c r="BB4" s="163" t="s">
        <v>194</v>
      </c>
      <c r="BC4" s="163" t="s">
        <v>194</v>
      </c>
      <c r="BD4" s="163">
        <v>0</v>
      </c>
      <c r="BE4" s="163">
        <v>0</v>
      </c>
      <c r="BF4" s="163">
        <v>0</v>
      </c>
      <c r="BG4" s="163">
        <v>0</v>
      </c>
      <c r="BH4" s="163">
        <v>0</v>
      </c>
      <c r="BI4" s="163">
        <v>0</v>
      </c>
      <c r="BJ4" s="163">
        <v>0</v>
      </c>
      <c r="BK4" s="163">
        <v>0</v>
      </c>
      <c r="BL4" s="163">
        <v>0</v>
      </c>
      <c r="BM4" s="163" t="s">
        <v>315</v>
      </c>
      <c r="BN4" s="163">
        <v>0</v>
      </c>
      <c r="BO4" s="163" t="b">
        <v>0</v>
      </c>
      <c r="BP4" s="163">
        <v>0</v>
      </c>
      <c r="BQ4" s="169">
        <v>0</v>
      </c>
      <c r="BR4" s="164">
        <v>0</v>
      </c>
      <c r="BS4" s="170">
        <v>81</v>
      </c>
      <c r="BT4" s="164">
        <v>0</v>
      </c>
      <c r="BU4" s="227">
        <v>0</v>
      </c>
      <c r="BV4" s="164">
        <v>181</v>
      </c>
      <c r="BW4" s="171">
        <v>0</v>
      </c>
      <c r="BX4" s="171">
        <v>0</v>
      </c>
      <c r="BY4" s="163">
        <v>0</v>
      </c>
      <c r="BZ4" s="163">
        <v>0</v>
      </c>
      <c r="CA4" s="163">
        <v>0</v>
      </c>
      <c r="CB4" s="163">
        <v>-5407002.8799999999</v>
      </c>
      <c r="CC4" s="163">
        <v>0</v>
      </c>
      <c r="CD4" s="163">
        <v>0</v>
      </c>
      <c r="CE4" s="163">
        <v>0</v>
      </c>
      <c r="CF4" s="163">
        <v>0</v>
      </c>
      <c r="CG4" s="163">
        <v>0</v>
      </c>
      <c r="CH4" s="163">
        <v>0</v>
      </c>
      <c r="CI4" s="163">
        <v>0</v>
      </c>
      <c r="CJ4" s="163">
        <v>0</v>
      </c>
      <c r="CK4" s="164">
        <v>0</v>
      </c>
      <c r="CL4" s="164">
        <v>0</v>
      </c>
    </row>
    <row r="5" spans="1:90" s="186" customFormat="1" ht="20.100000000000001" customHeight="1" outlineLevel="2" x14ac:dyDescent="0.3">
      <c r="A5" s="172" t="s">
        <v>316</v>
      </c>
      <c r="B5" s="173"/>
      <c r="C5" s="173"/>
      <c r="D5" s="173"/>
      <c r="E5" s="173"/>
      <c r="F5" s="173"/>
      <c r="G5" s="173"/>
      <c r="H5" s="173"/>
      <c r="I5" s="174"/>
      <c r="J5" s="175"/>
      <c r="K5" s="176"/>
      <c r="L5" s="177"/>
      <c r="M5" s="178"/>
      <c r="N5" s="178"/>
      <c r="O5" s="177"/>
      <c r="P5" s="179"/>
      <c r="Q5" s="180"/>
      <c r="R5" s="180">
        <v>0</v>
      </c>
      <c r="S5" s="276">
        <v>1</v>
      </c>
      <c r="T5" s="180">
        <v>0</v>
      </c>
      <c r="U5" s="244">
        <v>0</v>
      </c>
      <c r="V5" s="177"/>
      <c r="W5" s="177">
        <v>0</v>
      </c>
      <c r="X5" s="177">
        <v>0</v>
      </c>
      <c r="Y5" s="177">
        <v>0</v>
      </c>
      <c r="Z5" s="177">
        <v>0</v>
      </c>
      <c r="AA5" s="177">
        <v>0</v>
      </c>
      <c r="AB5" s="177">
        <v>0</v>
      </c>
      <c r="AC5" s="244">
        <v>0</v>
      </c>
      <c r="AD5" s="177">
        <v>0</v>
      </c>
      <c r="AE5" s="177">
        <v>0</v>
      </c>
      <c r="AF5" s="177">
        <v>0</v>
      </c>
      <c r="AG5" s="177">
        <v>0</v>
      </c>
      <c r="AH5" s="245">
        <v>0</v>
      </c>
      <c r="AI5" s="177">
        <v>0</v>
      </c>
      <c r="AJ5" s="177">
        <v>0</v>
      </c>
      <c r="AK5" s="246">
        <v>0</v>
      </c>
      <c r="AL5" s="181"/>
      <c r="AM5" s="177">
        <v>5407002.8799999999</v>
      </c>
      <c r="AN5" s="178"/>
      <c r="AO5" s="181"/>
      <c r="AP5" s="177">
        <v>0</v>
      </c>
      <c r="AQ5" s="182"/>
      <c r="AR5" s="177"/>
      <c r="AS5" s="177"/>
      <c r="AT5" s="177">
        <v>0</v>
      </c>
      <c r="AU5" s="177">
        <v>0</v>
      </c>
      <c r="AV5" s="177">
        <v>0</v>
      </c>
      <c r="AW5" s="177">
        <v>0</v>
      </c>
      <c r="AX5" s="177">
        <v>0</v>
      </c>
      <c r="AY5" s="177">
        <v>0</v>
      </c>
      <c r="AZ5" s="177">
        <v>0</v>
      </c>
      <c r="BA5" s="177">
        <v>0</v>
      </c>
      <c r="BB5" s="177"/>
      <c r="BC5" s="177"/>
      <c r="BD5" s="177"/>
      <c r="BE5" s="177"/>
      <c r="BF5" s="177"/>
      <c r="BG5" s="177"/>
      <c r="BH5" s="177"/>
      <c r="BI5" s="177"/>
      <c r="BJ5" s="177"/>
      <c r="BK5" s="177"/>
      <c r="BL5" s="177"/>
      <c r="BM5" s="177"/>
      <c r="BN5" s="177"/>
      <c r="BO5" s="177"/>
      <c r="BP5" s="177"/>
      <c r="BQ5" s="183"/>
      <c r="BR5" s="178"/>
      <c r="BS5" s="184"/>
      <c r="BT5" s="178"/>
      <c r="BU5" s="220"/>
      <c r="BV5" s="178"/>
      <c r="BW5" s="185"/>
      <c r="BX5" s="185"/>
      <c r="BY5" s="177"/>
      <c r="BZ5" s="177"/>
      <c r="CA5" s="177">
        <v>0</v>
      </c>
      <c r="CB5" s="177"/>
      <c r="CC5" s="177"/>
      <c r="CD5" s="177"/>
      <c r="CE5" s="177"/>
      <c r="CF5" s="177"/>
      <c r="CG5" s="177"/>
      <c r="CH5" s="177"/>
      <c r="CI5" s="177"/>
      <c r="CJ5" s="177"/>
      <c r="CK5" s="178"/>
      <c r="CL5" s="178"/>
    </row>
    <row r="6" spans="1:90" s="197" customFormat="1" ht="30" customHeight="1" outlineLevel="1" x14ac:dyDescent="0.3">
      <c r="A6" s="173"/>
      <c r="B6" s="172" t="s">
        <v>319</v>
      </c>
      <c r="C6" s="173"/>
      <c r="D6" s="173"/>
      <c r="E6" s="173"/>
      <c r="F6" s="173"/>
      <c r="G6" s="173"/>
      <c r="H6" s="173"/>
      <c r="I6" s="174"/>
      <c r="J6" s="187"/>
      <c r="K6" s="187"/>
      <c r="L6" s="188"/>
      <c r="M6" s="189"/>
      <c r="N6" s="189"/>
      <c r="O6" s="188"/>
      <c r="P6" s="190"/>
      <c r="Q6" s="191"/>
      <c r="R6" s="191">
        <v>0</v>
      </c>
      <c r="S6" s="277">
        <v>1</v>
      </c>
      <c r="T6" s="191">
        <v>0</v>
      </c>
      <c r="U6" s="247">
        <v>0</v>
      </c>
      <c r="V6" s="188"/>
      <c r="W6" s="188">
        <v>0</v>
      </c>
      <c r="X6" s="188">
        <v>0</v>
      </c>
      <c r="Y6" s="188">
        <v>0</v>
      </c>
      <c r="Z6" s="188">
        <v>0</v>
      </c>
      <c r="AA6" s="188">
        <v>0</v>
      </c>
      <c r="AB6" s="188">
        <v>0</v>
      </c>
      <c r="AC6" s="247">
        <v>0</v>
      </c>
      <c r="AD6" s="188">
        <v>0</v>
      </c>
      <c r="AE6" s="188">
        <v>0</v>
      </c>
      <c r="AF6" s="188">
        <v>0</v>
      </c>
      <c r="AG6" s="188">
        <v>0</v>
      </c>
      <c r="AH6" s="248">
        <v>0</v>
      </c>
      <c r="AI6" s="188">
        <v>0</v>
      </c>
      <c r="AJ6" s="188">
        <v>0</v>
      </c>
      <c r="AK6" s="249">
        <v>0</v>
      </c>
      <c r="AL6" s="192"/>
      <c r="AM6" s="188">
        <v>5407002.8799999999</v>
      </c>
      <c r="AN6" s="189"/>
      <c r="AO6" s="192"/>
      <c r="AP6" s="188">
        <v>0</v>
      </c>
      <c r="AQ6" s="193"/>
      <c r="AR6" s="188"/>
      <c r="AS6" s="188"/>
      <c r="AT6" s="188">
        <v>0</v>
      </c>
      <c r="AU6" s="188">
        <v>0</v>
      </c>
      <c r="AV6" s="188">
        <v>0</v>
      </c>
      <c r="AW6" s="188">
        <v>0</v>
      </c>
      <c r="AX6" s="188">
        <v>0</v>
      </c>
      <c r="AY6" s="188">
        <v>0</v>
      </c>
      <c r="AZ6" s="188">
        <v>0</v>
      </c>
      <c r="BA6" s="188">
        <v>0</v>
      </c>
      <c r="BB6" s="188"/>
      <c r="BC6" s="188"/>
      <c r="BD6" s="188"/>
      <c r="BE6" s="188"/>
      <c r="BF6" s="188"/>
      <c r="BG6" s="188"/>
      <c r="BH6" s="188"/>
      <c r="BI6" s="188"/>
      <c r="BJ6" s="188"/>
      <c r="BK6" s="188"/>
      <c r="BL6" s="188"/>
      <c r="BM6" s="188"/>
      <c r="BN6" s="188"/>
      <c r="BO6" s="188"/>
      <c r="BP6" s="188"/>
      <c r="BQ6" s="194"/>
      <c r="BR6" s="189"/>
      <c r="BS6" s="195"/>
      <c r="BT6" s="189"/>
      <c r="BU6" s="221"/>
      <c r="BV6" s="189"/>
      <c r="BW6" s="196"/>
      <c r="BX6" s="196"/>
      <c r="BY6" s="188"/>
      <c r="BZ6" s="188"/>
      <c r="CA6" s="188">
        <v>0</v>
      </c>
      <c r="CB6" s="188"/>
      <c r="CC6" s="188"/>
      <c r="CD6" s="188"/>
      <c r="CE6" s="188"/>
      <c r="CF6" s="188"/>
      <c r="CG6" s="188"/>
      <c r="CH6" s="188"/>
      <c r="CI6" s="188"/>
      <c r="CJ6" s="188"/>
      <c r="CK6" s="189"/>
      <c r="CL6" s="189"/>
    </row>
    <row r="7" spans="1:90" outlineLevel="3" x14ac:dyDescent="0.3">
      <c r="A7" s="134" t="s">
        <v>384</v>
      </c>
      <c r="B7" s="134" t="s">
        <v>556</v>
      </c>
      <c r="C7" s="134" t="s">
        <v>566</v>
      </c>
      <c r="D7" s="134" t="s">
        <v>567</v>
      </c>
      <c r="E7" s="134" t="s">
        <v>385</v>
      </c>
      <c r="F7" s="134" t="s">
        <v>386</v>
      </c>
      <c r="G7" s="134" t="s">
        <v>387</v>
      </c>
      <c r="H7" s="134" t="s">
        <v>317</v>
      </c>
      <c r="I7" s="160" t="s">
        <v>313</v>
      </c>
      <c r="J7" s="162">
        <v>1092426</v>
      </c>
      <c r="K7" s="162">
        <v>1092426</v>
      </c>
      <c r="L7" s="164">
        <v>0</v>
      </c>
      <c r="M7" s="164">
        <v>0</v>
      </c>
      <c r="N7" s="164">
        <v>1</v>
      </c>
      <c r="O7" s="163">
        <v>1.17</v>
      </c>
      <c r="P7" s="165">
        <v>1.22</v>
      </c>
      <c r="Q7" s="165">
        <v>-0.05</v>
      </c>
      <c r="R7" s="166">
        <v>0</v>
      </c>
      <c r="S7" s="275">
        <v>1</v>
      </c>
      <c r="T7" s="166" t="s">
        <v>581</v>
      </c>
      <c r="U7" s="241">
        <v>1278138.42</v>
      </c>
      <c r="V7" s="163" t="s">
        <v>314</v>
      </c>
      <c r="W7" s="163">
        <v>0</v>
      </c>
      <c r="X7" s="163">
        <v>0</v>
      </c>
      <c r="Y7" s="163">
        <v>0</v>
      </c>
      <c r="Z7" s="163">
        <v>0</v>
      </c>
      <c r="AA7" s="163">
        <v>0</v>
      </c>
      <c r="AB7" s="163">
        <v>0</v>
      </c>
      <c r="AC7" s="241">
        <v>1332759.72</v>
      </c>
      <c r="AD7" s="163">
        <v>-54621.3</v>
      </c>
      <c r="AE7" s="163">
        <v>0</v>
      </c>
      <c r="AF7" s="163">
        <v>54621.3</v>
      </c>
      <c r="AG7" s="163">
        <v>0</v>
      </c>
      <c r="AH7" s="242">
        <v>-8083952.4000000013</v>
      </c>
      <c r="AI7" s="163">
        <v>0</v>
      </c>
      <c r="AJ7" s="163">
        <v>8083952.4000000013</v>
      </c>
      <c r="AK7" s="243">
        <v>0</v>
      </c>
      <c r="AL7" s="167">
        <v>0</v>
      </c>
      <c r="AM7" s="163">
        <v>26925615.25</v>
      </c>
      <c r="AN7" s="164">
        <v>0</v>
      </c>
      <c r="AO7" s="167">
        <v>0</v>
      </c>
      <c r="AP7" s="163">
        <v>104012148.25</v>
      </c>
      <c r="AQ7" s="168">
        <v>1</v>
      </c>
      <c r="AR7" s="163">
        <v>1278138.42</v>
      </c>
      <c r="AS7" s="163">
        <v>1.17</v>
      </c>
      <c r="AT7" s="163">
        <v>-2326867.38</v>
      </c>
      <c r="AU7" s="163">
        <v>0</v>
      </c>
      <c r="AV7" s="163">
        <v>2326867.38</v>
      </c>
      <c r="AW7" s="163">
        <v>0</v>
      </c>
      <c r="AX7" s="163">
        <v>-25617037.846666668</v>
      </c>
      <c r="AY7" s="163">
        <v>0</v>
      </c>
      <c r="AZ7" s="163">
        <v>25617037.846666668</v>
      </c>
      <c r="BA7" s="163">
        <v>0</v>
      </c>
      <c r="BB7" s="163">
        <v>1.17</v>
      </c>
      <c r="BC7" s="163">
        <v>1.22</v>
      </c>
      <c r="BD7" s="163">
        <v>-2272246.08</v>
      </c>
      <c r="BE7" s="163">
        <v>0</v>
      </c>
      <c r="BF7" s="163">
        <v>2272246.08</v>
      </c>
      <c r="BG7" s="163">
        <v>0</v>
      </c>
      <c r="BH7" s="163">
        <v>-25562416.546666667</v>
      </c>
      <c r="BI7" s="163">
        <v>0</v>
      </c>
      <c r="BJ7" s="163">
        <v>25562416.546666667</v>
      </c>
      <c r="BK7" s="163">
        <v>0</v>
      </c>
      <c r="BL7" s="163">
        <v>104012148.25</v>
      </c>
      <c r="BM7" s="163" t="s">
        <v>318</v>
      </c>
      <c r="BN7" s="163">
        <v>0</v>
      </c>
      <c r="BO7" s="163" t="b">
        <v>0</v>
      </c>
      <c r="BP7" s="163">
        <v>8029331.1000000015</v>
      </c>
      <c r="BQ7" s="165">
        <v>0</v>
      </c>
      <c r="BR7" s="164">
        <v>15000000</v>
      </c>
      <c r="BS7" s="170">
        <v>60</v>
      </c>
      <c r="BT7" s="164">
        <v>-54621.3</v>
      </c>
      <c r="BU7" s="227">
        <v>0</v>
      </c>
      <c r="BV7" s="164">
        <v>76</v>
      </c>
      <c r="BW7" s="171">
        <v>1.17</v>
      </c>
      <c r="BX7" s="171">
        <v>0</v>
      </c>
      <c r="BY7" s="163">
        <v>0</v>
      </c>
      <c r="BZ7" s="163">
        <v>0</v>
      </c>
      <c r="CA7" s="163">
        <v>0</v>
      </c>
      <c r="CB7" s="163">
        <v>-30438.983333333301</v>
      </c>
      <c r="CC7" s="163">
        <v>0</v>
      </c>
      <c r="CD7" s="163">
        <v>0</v>
      </c>
      <c r="CE7" s="163">
        <v>0</v>
      </c>
      <c r="CF7" s="163">
        <v>0</v>
      </c>
      <c r="CG7" s="163">
        <v>-8029331.1000000015</v>
      </c>
      <c r="CH7" s="163">
        <v>0</v>
      </c>
      <c r="CI7" s="163">
        <v>8029331.1000000015</v>
      </c>
      <c r="CJ7" s="163">
        <v>0</v>
      </c>
      <c r="CK7" s="164">
        <v>0</v>
      </c>
      <c r="CL7" s="164">
        <v>0</v>
      </c>
    </row>
    <row r="8" spans="1:90" s="186" customFormat="1" ht="20.100000000000001" customHeight="1" outlineLevel="2" x14ac:dyDescent="0.3">
      <c r="A8" s="173" t="s">
        <v>388</v>
      </c>
      <c r="B8" s="173"/>
      <c r="C8" s="173"/>
      <c r="D8" s="173"/>
      <c r="E8" s="173"/>
      <c r="F8" s="173"/>
      <c r="G8" s="173"/>
      <c r="H8" s="173"/>
      <c r="I8" s="174"/>
      <c r="J8" s="176"/>
      <c r="K8" s="176"/>
      <c r="L8" s="178"/>
      <c r="M8" s="178"/>
      <c r="N8" s="178"/>
      <c r="O8" s="177"/>
      <c r="P8" s="179"/>
      <c r="Q8" s="179"/>
      <c r="R8" s="180">
        <v>0</v>
      </c>
      <c r="S8" s="276">
        <v>1</v>
      </c>
      <c r="T8" s="180">
        <v>0</v>
      </c>
      <c r="U8" s="244">
        <v>1278138.42</v>
      </c>
      <c r="V8" s="177"/>
      <c r="W8" s="177">
        <v>0</v>
      </c>
      <c r="X8" s="177">
        <v>0</v>
      </c>
      <c r="Y8" s="177">
        <v>0</v>
      </c>
      <c r="Z8" s="177">
        <v>0</v>
      </c>
      <c r="AA8" s="177">
        <v>0</v>
      </c>
      <c r="AB8" s="177">
        <v>0</v>
      </c>
      <c r="AC8" s="244">
        <v>1332759.72</v>
      </c>
      <c r="AD8" s="177">
        <v>-54621.3</v>
      </c>
      <c r="AE8" s="177">
        <v>0</v>
      </c>
      <c r="AF8" s="177">
        <v>54621.3</v>
      </c>
      <c r="AG8" s="177">
        <v>0</v>
      </c>
      <c r="AH8" s="245">
        <v>-8083952.4000000013</v>
      </c>
      <c r="AI8" s="177">
        <v>0</v>
      </c>
      <c r="AJ8" s="177">
        <v>8083952.4000000013</v>
      </c>
      <c r="AK8" s="246">
        <v>0</v>
      </c>
      <c r="AL8" s="181"/>
      <c r="AM8" s="177">
        <v>26925615.25</v>
      </c>
      <c r="AN8" s="178"/>
      <c r="AO8" s="181"/>
      <c r="AP8" s="177">
        <v>104012148.25</v>
      </c>
      <c r="AQ8" s="182"/>
      <c r="AR8" s="177"/>
      <c r="AS8" s="177"/>
      <c r="AT8" s="177">
        <v>-2326867.38</v>
      </c>
      <c r="AU8" s="177">
        <v>0</v>
      </c>
      <c r="AV8" s="177">
        <v>2326867.38</v>
      </c>
      <c r="AW8" s="177">
        <v>0</v>
      </c>
      <c r="AX8" s="177">
        <v>-25617037.846666668</v>
      </c>
      <c r="AY8" s="177">
        <v>0</v>
      </c>
      <c r="AZ8" s="177">
        <v>25617037.846666668</v>
      </c>
      <c r="BA8" s="177">
        <v>0</v>
      </c>
      <c r="BB8" s="177"/>
      <c r="BC8" s="177"/>
      <c r="BD8" s="177"/>
      <c r="BE8" s="177"/>
      <c r="BF8" s="177"/>
      <c r="BG8" s="177"/>
      <c r="BH8" s="177"/>
      <c r="BI8" s="177"/>
      <c r="BJ8" s="177"/>
      <c r="BK8" s="177"/>
      <c r="BL8" s="177"/>
      <c r="BM8" s="177"/>
      <c r="BN8" s="177"/>
      <c r="BO8" s="177"/>
      <c r="BP8" s="177"/>
      <c r="BQ8" s="179"/>
      <c r="BR8" s="178"/>
      <c r="BS8" s="184"/>
      <c r="BT8" s="178"/>
      <c r="BU8" s="220"/>
      <c r="BV8" s="178"/>
      <c r="BW8" s="185"/>
      <c r="BX8" s="185"/>
      <c r="BY8" s="177"/>
      <c r="BZ8" s="177"/>
      <c r="CA8" s="177">
        <v>0</v>
      </c>
      <c r="CB8" s="177"/>
      <c r="CC8" s="177"/>
      <c r="CD8" s="177"/>
      <c r="CE8" s="177"/>
      <c r="CF8" s="177"/>
      <c r="CG8" s="177"/>
      <c r="CH8" s="177"/>
      <c r="CI8" s="177"/>
      <c r="CJ8" s="177"/>
      <c r="CK8" s="178"/>
      <c r="CL8" s="178"/>
    </row>
    <row r="9" spans="1:90" s="197" customFormat="1" ht="30" customHeight="1" outlineLevel="1" x14ac:dyDescent="0.3">
      <c r="A9" s="173"/>
      <c r="B9" s="173" t="s">
        <v>557</v>
      </c>
      <c r="C9" s="173"/>
      <c r="D9" s="173"/>
      <c r="E9" s="173"/>
      <c r="F9" s="173"/>
      <c r="G9" s="173"/>
      <c r="H9" s="173"/>
      <c r="I9" s="174"/>
      <c r="J9" s="187"/>
      <c r="K9" s="187"/>
      <c r="L9" s="189"/>
      <c r="M9" s="189"/>
      <c r="N9" s="189"/>
      <c r="O9" s="188"/>
      <c r="P9" s="190"/>
      <c r="Q9" s="190"/>
      <c r="R9" s="191">
        <v>0</v>
      </c>
      <c r="S9" s="277">
        <v>1</v>
      </c>
      <c r="T9" s="191">
        <v>0</v>
      </c>
      <c r="U9" s="247">
        <v>1278138.42</v>
      </c>
      <c r="V9" s="188"/>
      <c r="W9" s="188">
        <v>0</v>
      </c>
      <c r="X9" s="188">
        <v>0</v>
      </c>
      <c r="Y9" s="188">
        <v>0</v>
      </c>
      <c r="Z9" s="188">
        <v>0</v>
      </c>
      <c r="AA9" s="188">
        <v>0</v>
      </c>
      <c r="AB9" s="188">
        <v>0</v>
      </c>
      <c r="AC9" s="247">
        <v>1332759.72</v>
      </c>
      <c r="AD9" s="188">
        <v>-54621.3</v>
      </c>
      <c r="AE9" s="188">
        <v>0</v>
      </c>
      <c r="AF9" s="188">
        <v>54621.3</v>
      </c>
      <c r="AG9" s="188">
        <v>0</v>
      </c>
      <c r="AH9" s="248">
        <v>-8083952.4000000013</v>
      </c>
      <c r="AI9" s="188">
        <v>0</v>
      </c>
      <c r="AJ9" s="188">
        <v>8083952.4000000013</v>
      </c>
      <c r="AK9" s="249">
        <v>0</v>
      </c>
      <c r="AL9" s="192"/>
      <c r="AM9" s="188">
        <v>26925615.25</v>
      </c>
      <c r="AN9" s="189"/>
      <c r="AO9" s="192"/>
      <c r="AP9" s="188">
        <v>104012148.25</v>
      </c>
      <c r="AQ9" s="193"/>
      <c r="AR9" s="188"/>
      <c r="AS9" s="188"/>
      <c r="AT9" s="188">
        <v>-2326867.38</v>
      </c>
      <c r="AU9" s="188">
        <v>0</v>
      </c>
      <c r="AV9" s="188">
        <v>2326867.38</v>
      </c>
      <c r="AW9" s="188">
        <v>0</v>
      </c>
      <c r="AX9" s="188">
        <v>-25617037.846666668</v>
      </c>
      <c r="AY9" s="188">
        <v>0</v>
      </c>
      <c r="AZ9" s="188">
        <v>25617037.846666668</v>
      </c>
      <c r="BA9" s="188">
        <v>0</v>
      </c>
      <c r="BB9" s="188"/>
      <c r="BC9" s="188"/>
      <c r="BD9" s="188"/>
      <c r="BE9" s="188"/>
      <c r="BF9" s="188"/>
      <c r="BG9" s="188"/>
      <c r="BH9" s="188"/>
      <c r="BI9" s="188"/>
      <c r="BJ9" s="188"/>
      <c r="BK9" s="188"/>
      <c r="BL9" s="188"/>
      <c r="BM9" s="188"/>
      <c r="BN9" s="188"/>
      <c r="BO9" s="188"/>
      <c r="BP9" s="188"/>
      <c r="BQ9" s="190"/>
      <c r="BR9" s="189"/>
      <c r="BS9" s="195"/>
      <c r="BT9" s="189"/>
      <c r="BU9" s="221"/>
      <c r="BV9" s="189"/>
      <c r="BW9" s="196"/>
      <c r="BX9" s="196"/>
      <c r="BY9" s="188"/>
      <c r="BZ9" s="188"/>
      <c r="CA9" s="188">
        <v>0</v>
      </c>
      <c r="CB9" s="188"/>
      <c r="CC9" s="188"/>
      <c r="CD9" s="188"/>
      <c r="CE9" s="188"/>
      <c r="CF9" s="188"/>
      <c r="CG9" s="188"/>
      <c r="CH9" s="188"/>
      <c r="CI9" s="188"/>
      <c r="CJ9" s="188"/>
      <c r="CK9" s="189"/>
      <c r="CL9" s="189"/>
    </row>
    <row r="10" spans="1:90" outlineLevel="3" x14ac:dyDescent="0.3">
      <c r="A10" s="134" t="s">
        <v>320</v>
      </c>
      <c r="B10" s="134" t="s">
        <v>321</v>
      </c>
      <c r="C10" s="134" t="s">
        <v>528</v>
      </c>
      <c r="D10" s="134" t="s">
        <v>529</v>
      </c>
      <c r="E10" s="134" t="s">
        <v>195</v>
      </c>
      <c r="F10" s="134" t="s">
        <v>194</v>
      </c>
      <c r="G10" s="134" t="s">
        <v>322</v>
      </c>
      <c r="H10" s="134" t="s">
        <v>312</v>
      </c>
      <c r="I10" s="160" t="s">
        <v>324</v>
      </c>
      <c r="J10" s="162">
        <v>1</v>
      </c>
      <c r="K10" s="162">
        <v>1</v>
      </c>
      <c r="L10" s="164">
        <v>0</v>
      </c>
      <c r="M10" s="164">
        <v>0</v>
      </c>
      <c r="N10" s="164">
        <v>0</v>
      </c>
      <c r="O10" s="163">
        <v>1573175.52</v>
      </c>
      <c r="P10" s="164">
        <v>1381612.61</v>
      </c>
      <c r="Q10" s="164">
        <v>191562.91</v>
      </c>
      <c r="R10" s="166" t="s">
        <v>582</v>
      </c>
      <c r="S10" s="275">
        <v>1</v>
      </c>
      <c r="T10" s="166" t="s">
        <v>581</v>
      </c>
      <c r="U10" s="241">
        <v>1573175.52</v>
      </c>
      <c r="V10" s="163" t="s">
        <v>314</v>
      </c>
      <c r="W10" s="163">
        <v>0</v>
      </c>
      <c r="X10" s="163">
        <v>0</v>
      </c>
      <c r="Y10" s="163">
        <v>0</v>
      </c>
      <c r="Z10" s="163">
        <v>0</v>
      </c>
      <c r="AA10" s="163">
        <v>0</v>
      </c>
      <c r="AB10" s="163">
        <v>0</v>
      </c>
      <c r="AC10" s="241">
        <v>1381612.61</v>
      </c>
      <c r="AD10" s="163">
        <v>0</v>
      </c>
      <c r="AE10" s="163">
        <v>0</v>
      </c>
      <c r="AF10" s="163">
        <v>0</v>
      </c>
      <c r="AG10" s="163">
        <v>0</v>
      </c>
      <c r="AH10" s="242">
        <v>0</v>
      </c>
      <c r="AI10" s="163">
        <v>0</v>
      </c>
      <c r="AJ10" s="163">
        <v>0</v>
      </c>
      <c r="AK10" s="243">
        <v>0</v>
      </c>
      <c r="AL10" s="167">
        <v>0</v>
      </c>
      <c r="AM10" s="163">
        <v>4663184</v>
      </c>
      <c r="AN10" s="164">
        <v>0</v>
      </c>
      <c r="AO10" s="167">
        <v>0</v>
      </c>
      <c r="AP10" s="163">
        <v>1887724.3</v>
      </c>
      <c r="AQ10" s="168">
        <v>1</v>
      </c>
      <c r="AR10" s="163">
        <v>0</v>
      </c>
      <c r="AS10" s="163">
        <v>1573175.52</v>
      </c>
      <c r="AT10" s="163">
        <v>0</v>
      </c>
      <c r="AU10" s="163">
        <v>0</v>
      </c>
      <c r="AV10" s="163">
        <v>0</v>
      </c>
      <c r="AW10" s="163">
        <v>0</v>
      </c>
      <c r="AX10" s="163">
        <v>-3166148.43</v>
      </c>
      <c r="AY10" s="163">
        <v>0</v>
      </c>
      <c r="AZ10" s="163">
        <v>3166148.43</v>
      </c>
      <c r="BA10" s="163">
        <v>0</v>
      </c>
      <c r="BB10" s="163" t="s">
        <v>194</v>
      </c>
      <c r="BC10" s="163" t="s">
        <v>194</v>
      </c>
      <c r="BD10" s="163">
        <v>0</v>
      </c>
      <c r="BE10" s="163">
        <v>0</v>
      </c>
      <c r="BF10" s="163">
        <v>0</v>
      </c>
      <c r="BG10" s="163">
        <v>0</v>
      </c>
      <c r="BH10" s="163">
        <v>-3166148.43</v>
      </c>
      <c r="BI10" s="163">
        <v>0</v>
      </c>
      <c r="BJ10" s="163">
        <v>3166148.43</v>
      </c>
      <c r="BK10" s="163">
        <v>0</v>
      </c>
      <c r="BL10" s="163">
        <v>1887724.3</v>
      </c>
      <c r="BM10" s="163" t="s">
        <v>315</v>
      </c>
      <c r="BN10" s="163">
        <v>0</v>
      </c>
      <c r="BO10" s="163" t="b">
        <v>0</v>
      </c>
      <c r="BP10" s="163">
        <v>0</v>
      </c>
      <c r="BQ10" s="165">
        <v>4443788</v>
      </c>
      <c r="BR10" s="164">
        <v>0</v>
      </c>
      <c r="BS10" s="170">
        <v>83</v>
      </c>
      <c r="BT10" s="164">
        <v>0</v>
      </c>
      <c r="BU10" s="227">
        <v>0</v>
      </c>
      <c r="BV10" s="164">
        <v>207</v>
      </c>
      <c r="BW10" s="171">
        <v>0</v>
      </c>
      <c r="BX10" s="171">
        <v>0</v>
      </c>
      <c r="BY10" s="163">
        <v>191562.91</v>
      </c>
      <c r="BZ10" s="163">
        <v>191562.91</v>
      </c>
      <c r="CA10" s="163">
        <v>-314548.78000000003</v>
      </c>
      <c r="CB10" s="163">
        <v>76139.95</v>
      </c>
      <c r="CC10" s="163">
        <v>0</v>
      </c>
      <c r="CD10" s="163">
        <v>0</v>
      </c>
      <c r="CE10" s="163">
        <v>0</v>
      </c>
      <c r="CF10" s="163">
        <v>0</v>
      </c>
      <c r="CG10" s="163">
        <v>0</v>
      </c>
      <c r="CH10" s="163">
        <v>0</v>
      </c>
      <c r="CI10" s="163">
        <v>0</v>
      </c>
      <c r="CJ10" s="163">
        <v>0</v>
      </c>
      <c r="CK10" s="164">
        <v>0</v>
      </c>
      <c r="CL10" s="164">
        <v>0</v>
      </c>
    </row>
    <row r="11" spans="1:90" outlineLevel="3" x14ac:dyDescent="0.3">
      <c r="A11" s="134" t="s">
        <v>320</v>
      </c>
      <c r="B11" s="134" t="s">
        <v>321</v>
      </c>
      <c r="C11" s="134" t="s">
        <v>530</v>
      </c>
      <c r="D11" s="134" t="s">
        <v>531</v>
      </c>
      <c r="E11" s="134" t="s">
        <v>196</v>
      </c>
      <c r="F11" s="134" t="s">
        <v>194</v>
      </c>
      <c r="G11" s="134" t="s">
        <v>545</v>
      </c>
      <c r="H11" s="134" t="s">
        <v>312</v>
      </c>
      <c r="I11" s="160" t="s">
        <v>324</v>
      </c>
      <c r="J11" s="162">
        <v>1</v>
      </c>
      <c r="K11" s="162">
        <v>1</v>
      </c>
      <c r="L11" s="164">
        <v>0</v>
      </c>
      <c r="M11" s="164">
        <v>0</v>
      </c>
      <c r="N11" s="164">
        <v>0</v>
      </c>
      <c r="O11" s="163">
        <v>28238258.75</v>
      </c>
      <c r="P11" s="164">
        <v>27821406.440000001</v>
      </c>
      <c r="Q11" s="164">
        <v>416852.30999999866</v>
      </c>
      <c r="R11" s="166" t="s">
        <v>583</v>
      </c>
      <c r="S11" s="278">
        <v>0.625</v>
      </c>
      <c r="T11" s="166" t="s">
        <v>581</v>
      </c>
      <c r="U11" s="241">
        <v>28238258.75</v>
      </c>
      <c r="V11" s="163" t="s">
        <v>314</v>
      </c>
      <c r="W11" s="163">
        <v>0</v>
      </c>
      <c r="X11" s="163">
        <v>0</v>
      </c>
      <c r="Y11" s="163">
        <v>0</v>
      </c>
      <c r="Z11" s="163">
        <v>0</v>
      </c>
      <c r="AA11" s="163">
        <v>0</v>
      </c>
      <c r="AB11" s="163">
        <v>0</v>
      </c>
      <c r="AC11" s="241">
        <v>27821406.440000001</v>
      </c>
      <c r="AD11" s="163">
        <v>0</v>
      </c>
      <c r="AE11" s="163">
        <v>0</v>
      </c>
      <c r="AF11" s="163">
        <v>0</v>
      </c>
      <c r="AG11" s="163">
        <v>0</v>
      </c>
      <c r="AH11" s="242">
        <v>0</v>
      </c>
      <c r="AI11" s="163">
        <v>0</v>
      </c>
      <c r="AJ11" s="163">
        <v>0</v>
      </c>
      <c r="AK11" s="243">
        <v>0</v>
      </c>
      <c r="AL11" s="167">
        <v>0</v>
      </c>
      <c r="AM11" s="163">
        <v>21605090</v>
      </c>
      <c r="AN11" s="164">
        <v>0</v>
      </c>
      <c r="AO11" s="167">
        <v>0</v>
      </c>
      <c r="AP11" s="163">
        <v>23523500.010000002</v>
      </c>
      <c r="AQ11" s="168">
        <v>1</v>
      </c>
      <c r="AR11" s="163">
        <v>0</v>
      </c>
      <c r="AS11" s="163">
        <v>28238258.75</v>
      </c>
      <c r="AT11" s="163">
        <v>0</v>
      </c>
      <c r="AU11" s="163">
        <v>0</v>
      </c>
      <c r="AV11" s="163">
        <v>0</v>
      </c>
      <c r="AW11" s="163">
        <v>0</v>
      </c>
      <c r="AX11" s="163">
        <v>-111965</v>
      </c>
      <c r="AY11" s="163">
        <v>0</v>
      </c>
      <c r="AZ11" s="163">
        <v>111965</v>
      </c>
      <c r="BA11" s="163">
        <v>0</v>
      </c>
      <c r="BB11" s="163" t="s">
        <v>194</v>
      </c>
      <c r="BC11" s="163" t="s">
        <v>194</v>
      </c>
      <c r="BD11" s="163">
        <v>0</v>
      </c>
      <c r="BE11" s="163">
        <v>0</v>
      </c>
      <c r="BF11" s="163">
        <v>0</v>
      </c>
      <c r="BG11" s="163">
        <v>0</v>
      </c>
      <c r="BH11" s="163">
        <v>-111965</v>
      </c>
      <c r="BI11" s="163">
        <v>0</v>
      </c>
      <c r="BJ11" s="163">
        <v>111965</v>
      </c>
      <c r="BK11" s="163">
        <v>0</v>
      </c>
      <c r="BL11" s="163">
        <v>23523500.010000002</v>
      </c>
      <c r="BM11" s="163" t="s">
        <v>315</v>
      </c>
      <c r="BN11" s="163">
        <v>0</v>
      </c>
      <c r="BO11" s="163" t="b">
        <v>0</v>
      </c>
      <c r="BP11" s="163">
        <v>0</v>
      </c>
      <c r="BQ11" s="165">
        <v>0</v>
      </c>
      <c r="BR11" s="164">
        <v>0</v>
      </c>
      <c r="BS11" s="170">
        <v>83</v>
      </c>
      <c r="BT11" s="164">
        <v>0</v>
      </c>
      <c r="BU11" s="227">
        <v>0</v>
      </c>
      <c r="BV11" s="164">
        <v>240</v>
      </c>
      <c r="BW11" s="171">
        <v>0</v>
      </c>
      <c r="BX11" s="171">
        <v>0</v>
      </c>
      <c r="BY11" s="163">
        <v>416852.31</v>
      </c>
      <c r="BZ11" s="163">
        <v>2749133.74</v>
      </c>
      <c r="CA11" s="163">
        <v>4714758.74</v>
      </c>
      <c r="CB11" s="163">
        <v>6745133.7499999991</v>
      </c>
      <c r="CC11" s="163">
        <v>0</v>
      </c>
      <c r="CD11" s="163">
        <v>0</v>
      </c>
      <c r="CE11" s="163">
        <v>0</v>
      </c>
      <c r="CF11" s="163">
        <v>0</v>
      </c>
      <c r="CG11" s="163">
        <v>0</v>
      </c>
      <c r="CH11" s="163">
        <v>0</v>
      </c>
      <c r="CI11" s="163">
        <v>0</v>
      </c>
      <c r="CJ11" s="163">
        <v>0</v>
      </c>
      <c r="CK11" s="164">
        <v>0</v>
      </c>
      <c r="CL11" s="164">
        <v>0</v>
      </c>
    </row>
    <row r="12" spans="1:90" outlineLevel="3" x14ac:dyDescent="0.3">
      <c r="A12" s="134" t="s">
        <v>320</v>
      </c>
      <c r="B12" s="134" t="s">
        <v>321</v>
      </c>
      <c r="C12" s="134" t="s">
        <v>530</v>
      </c>
      <c r="D12" s="134" t="s">
        <v>531</v>
      </c>
      <c r="E12" s="134" t="s">
        <v>415</v>
      </c>
      <c r="F12" s="134" t="s">
        <v>194</v>
      </c>
      <c r="G12" s="134" t="s">
        <v>545</v>
      </c>
      <c r="H12" s="134" t="s">
        <v>312</v>
      </c>
      <c r="I12" s="160" t="s">
        <v>324</v>
      </c>
      <c r="J12" s="162">
        <v>1</v>
      </c>
      <c r="K12" s="162">
        <v>1</v>
      </c>
      <c r="L12" s="164">
        <v>0</v>
      </c>
      <c r="M12" s="164">
        <v>0</v>
      </c>
      <c r="N12" s="164">
        <v>0</v>
      </c>
      <c r="O12" s="163">
        <v>0</v>
      </c>
      <c r="P12" s="164">
        <v>0</v>
      </c>
      <c r="Q12" s="164">
        <v>0</v>
      </c>
      <c r="R12" s="166">
        <v>0</v>
      </c>
      <c r="S12" s="278">
        <v>1</v>
      </c>
      <c r="T12" s="166" t="s">
        <v>581</v>
      </c>
      <c r="U12" s="241">
        <v>0</v>
      </c>
      <c r="V12" s="163" t="s">
        <v>314</v>
      </c>
      <c r="W12" s="163">
        <v>0</v>
      </c>
      <c r="X12" s="163">
        <v>0</v>
      </c>
      <c r="Y12" s="163">
        <v>0</v>
      </c>
      <c r="Z12" s="163">
        <v>0</v>
      </c>
      <c r="AA12" s="163">
        <v>0</v>
      </c>
      <c r="AB12" s="163">
        <v>0</v>
      </c>
      <c r="AC12" s="241">
        <v>0</v>
      </c>
      <c r="AD12" s="163">
        <v>0</v>
      </c>
      <c r="AE12" s="163">
        <v>0</v>
      </c>
      <c r="AF12" s="163">
        <v>0</v>
      </c>
      <c r="AG12" s="163">
        <v>0</v>
      </c>
      <c r="AH12" s="242">
        <v>0</v>
      </c>
      <c r="AI12" s="163">
        <v>0</v>
      </c>
      <c r="AJ12" s="163">
        <v>0</v>
      </c>
      <c r="AK12" s="243">
        <v>0</v>
      </c>
      <c r="AL12" s="167">
        <v>0</v>
      </c>
      <c r="AM12" s="163">
        <v>1954995.27</v>
      </c>
      <c r="AN12" s="164">
        <v>0</v>
      </c>
      <c r="AO12" s="167">
        <v>0</v>
      </c>
      <c r="AP12" s="163">
        <v>0</v>
      </c>
      <c r="AQ12" s="168">
        <v>1</v>
      </c>
      <c r="AR12" s="163">
        <v>0</v>
      </c>
      <c r="AS12" s="163">
        <v>0</v>
      </c>
      <c r="AT12" s="163">
        <v>0</v>
      </c>
      <c r="AU12" s="163">
        <v>0</v>
      </c>
      <c r="AV12" s="163">
        <v>0</v>
      </c>
      <c r="AW12" s="163">
        <v>0</v>
      </c>
      <c r="AX12" s="163">
        <v>0</v>
      </c>
      <c r="AY12" s="163">
        <v>0</v>
      </c>
      <c r="AZ12" s="163">
        <v>0</v>
      </c>
      <c r="BA12" s="163">
        <v>0</v>
      </c>
      <c r="BB12" s="163" t="s">
        <v>194</v>
      </c>
      <c r="BC12" s="163" t="s">
        <v>194</v>
      </c>
      <c r="BD12" s="163">
        <v>0</v>
      </c>
      <c r="BE12" s="163">
        <v>0</v>
      </c>
      <c r="BF12" s="163">
        <v>0</v>
      </c>
      <c r="BG12" s="163">
        <v>0</v>
      </c>
      <c r="BH12" s="163">
        <v>0</v>
      </c>
      <c r="BI12" s="163">
        <v>0</v>
      </c>
      <c r="BJ12" s="163">
        <v>0</v>
      </c>
      <c r="BK12" s="163">
        <v>0</v>
      </c>
      <c r="BL12" s="163">
        <v>0</v>
      </c>
      <c r="BM12" s="163" t="s">
        <v>315</v>
      </c>
      <c r="BN12" s="163">
        <v>0</v>
      </c>
      <c r="BO12" s="163" t="b">
        <v>0</v>
      </c>
      <c r="BP12" s="163">
        <v>0</v>
      </c>
      <c r="BQ12" s="165">
        <v>0</v>
      </c>
      <c r="BR12" s="164">
        <v>0</v>
      </c>
      <c r="BS12" s="170">
        <v>83</v>
      </c>
      <c r="BT12" s="164">
        <v>0</v>
      </c>
      <c r="BU12" s="227">
        <v>0</v>
      </c>
      <c r="BV12" s="164">
        <v>241</v>
      </c>
      <c r="BW12" s="171">
        <v>0</v>
      </c>
      <c r="BX12" s="171">
        <v>0</v>
      </c>
      <c r="BY12" s="163">
        <v>0</v>
      </c>
      <c r="BZ12" s="163">
        <v>0</v>
      </c>
      <c r="CA12" s="163">
        <v>0</v>
      </c>
      <c r="CB12" s="163">
        <v>-1954995.27</v>
      </c>
      <c r="CC12" s="163">
        <v>0</v>
      </c>
      <c r="CD12" s="163">
        <v>0</v>
      </c>
      <c r="CE12" s="163">
        <v>0</v>
      </c>
      <c r="CF12" s="163">
        <v>0</v>
      </c>
      <c r="CG12" s="163">
        <v>0</v>
      </c>
      <c r="CH12" s="163">
        <v>0</v>
      </c>
      <c r="CI12" s="163">
        <v>0</v>
      </c>
      <c r="CJ12" s="163">
        <v>0</v>
      </c>
      <c r="CK12" s="164">
        <v>0</v>
      </c>
      <c r="CL12" s="164">
        <v>0</v>
      </c>
    </row>
    <row r="13" spans="1:90" outlineLevel="3" x14ac:dyDescent="0.3">
      <c r="A13" s="134" t="s">
        <v>320</v>
      </c>
      <c r="B13" s="134" t="s">
        <v>321</v>
      </c>
      <c r="C13" s="134" t="s">
        <v>530</v>
      </c>
      <c r="D13" s="134" t="s">
        <v>531</v>
      </c>
      <c r="E13" s="134" t="s">
        <v>197</v>
      </c>
      <c r="F13" s="134" t="s">
        <v>194</v>
      </c>
      <c r="G13" s="134" t="s">
        <v>545</v>
      </c>
      <c r="H13" s="134" t="s">
        <v>312</v>
      </c>
      <c r="I13" s="160" t="s">
        <v>324</v>
      </c>
      <c r="J13" s="162">
        <v>1</v>
      </c>
      <c r="K13" s="162">
        <v>1</v>
      </c>
      <c r="L13" s="164">
        <v>0</v>
      </c>
      <c r="M13" s="164">
        <v>0</v>
      </c>
      <c r="N13" s="164">
        <v>0</v>
      </c>
      <c r="O13" s="163">
        <v>9651875</v>
      </c>
      <c r="P13" s="164">
        <v>9651875</v>
      </c>
      <c r="Q13" s="164">
        <v>0</v>
      </c>
      <c r="R13" s="166">
        <v>0</v>
      </c>
      <c r="S13" s="278">
        <v>0.625</v>
      </c>
      <c r="T13" s="166" t="s">
        <v>581</v>
      </c>
      <c r="U13" s="241">
        <v>9651875</v>
      </c>
      <c r="V13" s="163" t="s">
        <v>314</v>
      </c>
      <c r="W13" s="163">
        <v>0</v>
      </c>
      <c r="X13" s="163">
        <v>0</v>
      </c>
      <c r="Y13" s="163">
        <v>0</v>
      </c>
      <c r="Z13" s="163">
        <v>0</v>
      </c>
      <c r="AA13" s="163">
        <v>0</v>
      </c>
      <c r="AB13" s="163">
        <v>0</v>
      </c>
      <c r="AC13" s="241">
        <v>9651875</v>
      </c>
      <c r="AD13" s="163">
        <v>0</v>
      </c>
      <c r="AE13" s="163">
        <v>0</v>
      </c>
      <c r="AF13" s="163">
        <v>0</v>
      </c>
      <c r="AG13" s="163">
        <v>0</v>
      </c>
      <c r="AH13" s="242">
        <v>0</v>
      </c>
      <c r="AI13" s="163">
        <v>0</v>
      </c>
      <c r="AJ13" s="163">
        <v>0</v>
      </c>
      <c r="AK13" s="243">
        <v>0</v>
      </c>
      <c r="AL13" s="167">
        <v>0</v>
      </c>
      <c r="AM13" s="163">
        <v>9231875</v>
      </c>
      <c r="AN13" s="164">
        <v>0</v>
      </c>
      <c r="AO13" s="167">
        <v>0</v>
      </c>
      <c r="AP13" s="163">
        <v>9651875</v>
      </c>
      <c r="AQ13" s="168">
        <v>1</v>
      </c>
      <c r="AR13" s="163">
        <v>0</v>
      </c>
      <c r="AS13" s="163">
        <v>9651875</v>
      </c>
      <c r="AT13" s="163">
        <v>0</v>
      </c>
      <c r="AU13" s="163">
        <v>0</v>
      </c>
      <c r="AV13" s="163">
        <v>0</v>
      </c>
      <c r="AW13" s="163">
        <v>0</v>
      </c>
      <c r="AX13" s="163">
        <v>420000</v>
      </c>
      <c r="AY13" s="163">
        <v>0</v>
      </c>
      <c r="AZ13" s="163">
        <v>-420000</v>
      </c>
      <c r="BA13" s="163">
        <v>0</v>
      </c>
      <c r="BB13" s="163" t="s">
        <v>194</v>
      </c>
      <c r="BC13" s="163" t="s">
        <v>194</v>
      </c>
      <c r="BD13" s="163">
        <v>0</v>
      </c>
      <c r="BE13" s="163">
        <v>0</v>
      </c>
      <c r="BF13" s="163">
        <v>0</v>
      </c>
      <c r="BG13" s="163">
        <v>0</v>
      </c>
      <c r="BH13" s="163">
        <v>420000</v>
      </c>
      <c r="BI13" s="163">
        <v>0</v>
      </c>
      <c r="BJ13" s="163">
        <v>-420000</v>
      </c>
      <c r="BK13" s="163">
        <v>0</v>
      </c>
      <c r="BL13" s="163">
        <v>9651875</v>
      </c>
      <c r="BM13" s="163" t="s">
        <v>315</v>
      </c>
      <c r="BN13" s="163">
        <v>0</v>
      </c>
      <c r="BO13" s="163" t="b">
        <v>0</v>
      </c>
      <c r="BP13" s="163">
        <v>0</v>
      </c>
      <c r="BQ13" s="165">
        <v>0</v>
      </c>
      <c r="BR13" s="164">
        <v>0</v>
      </c>
      <c r="BS13" s="170">
        <v>83</v>
      </c>
      <c r="BT13" s="164">
        <v>0</v>
      </c>
      <c r="BU13" s="227">
        <v>0</v>
      </c>
      <c r="BV13" s="164">
        <v>260</v>
      </c>
      <c r="BW13" s="171">
        <v>0</v>
      </c>
      <c r="BX13" s="171">
        <v>0</v>
      </c>
      <c r="BY13" s="163">
        <v>0</v>
      </c>
      <c r="BZ13" s="163">
        <v>0</v>
      </c>
      <c r="CA13" s="163">
        <v>0</v>
      </c>
      <c r="CB13" s="163">
        <v>0</v>
      </c>
      <c r="CC13" s="163">
        <v>0</v>
      </c>
      <c r="CD13" s="163">
        <v>0</v>
      </c>
      <c r="CE13" s="163">
        <v>0</v>
      </c>
      <c r="CF13" s="163">
        <v>0</v>
      </c>
      <c r="CG13" s="163">
        <v>0</v>
      </c>
      <c r="CH13" s="163">
        <v>0</v>
      </c>
      <c r="CI13" s="163">
        <v>0</v>
      </c>
      <c r="CJ13" s="163">
        <v>0</v>
      </c>
      <c r="CK13" s="164">
        <v>0</v>
      </c>
      <c r="CL13" s="164">
        <v>0</v>
      </c>
    </row>
    <row r="14" spans="1:90" outlineLevel="3" x14ac:dyDescent="0.3">
      <c r="A14" s="134" t="s">
        <v>320</v>
      </c>
      <c r="B14" s="134" t="s">
        <v>321</v>
      </c>
      <c r="C14" s="134" t="s">
        <v>530</v>
      </c>
      <c r="D14" s="134" t="s">
        <v>531</v>
      </c>
      <c r="E14" s="134" t="s">
        <v>416</v>
      </c>
      <c r="F14" s="134" t="s">
        <v>194</v>
      </c>
      <c r="G14" s="134" t="s">
        <v>545</v>
      </c>
      <c r="H14" s="134" t="s">
        <v>312</v>
      </c>
      <c r="I14" s="160" t="s">
        <v>324</v>
      </c>
      <c r="J14" s="162">
        <v>1</v>
      </c>
      <c r="K14" s="162">
        <v>1</v>
      </c>
      <c r="L14" s="164">
        <v>0</v>
      </c>
      <c r="M14" s="164">
        <v>0</v>
      </c>
      <c r="N14" s="164">
        <v>0</v>
      </c>
      <c r="O14" s="163">
        <v>1663862.85</v>
      </c>
      <c r="P14" s="164">
        <v>1663862.85</v>
      </c>
      <c r="Q14" s="164">
        <v>0</v>
      </c>
      <c r="R14" s="166">
        <v>0</v>
      </c>
      <c r="S14" s="278">
        <v>0.625</v>
      </c>
      <c r="T14" s="166" t="s">
        <v>581</v>
      </c>
      <c r="U14" s="241">
        <v>1663862.85</v>
      </c>
      <c r="V14" s="163" t="s">
        <v>314</v>
      </c>
      <c r="W14" s="163">
        <v>0</v>
      </c>
      <c r="X14" s="163">
        <v>0</v>
      </c>
      <c r="Y14" s="163">
        <v>0</v>
      </c>
      <c r="Z14" s="163">
        <v>0</v>
      </c>
      <c r="AA14" s="163">
        <v>0</v>
      </c>
      <c r="AB14" s="163">
        <v>0</v>
      </c>
      <c r="AC14" s="241">
        <v>1663862.85</v>
      </c>
      <c r="AD14" s="163">
        <v>0</v>
      </c>
      <c r="AE14" s="163">
        <v>0</v>
      </c>
      <c r="AF14" s="163">
        <v>0</v>
      </c>
      <c r="AG14" s="163">
        <v>0</v>
      </c>
      <c r="AH14" s="242">
        <v>0</v>
      </c>
      <c r="AI14" s="163">
        <v>0</v>
      </c>
      <c r="AJ14" s="163">
        <v>0</v>
      </c>
      <c r="AK14" s="243">
        <v>0</v>
      </c>
      <c r="AL14" s="167">
        <v>0</v>
      </c>
      <c r="AM14" s="163">
        <v>1663862.85</v>
      </c>
      <c r="AN14" s="164">
        <v>0</v>
      </c>
      <c r="AO14" s="167">
        <v>0</v>
      </c>
      <c r="AP14" s="163">
        <v>1663862.85</v>
      </c>
      <c r="AQ14" s="168">
        <v>1</v>
      </c>
      <c r="AR14" s="163">
        <v>0</v>
      </c>
      <c r="AS14" s="163">
        <v>1663862.85</v>
      </c>
      <c r="AT14" s="163">
        <v>0</v>
      </c>
      <c r="AU14" s="163">
        <v>0</v>
      </c>
      <c r="AV14" s="163">
        <v>0</v>
      </c>
      <c r="AW14" s="163">
        <v>0</v>
      </c>
      <c r="AX14" s="163">
        <v>0</v>
      </c>
      <c r="AY14" s="163">
        <v>0</v>
      </c>
      <c r="AZ14" s="163">
        <v>0</v>
      </c>
      <c r="BA14" s="163">
        <v>0</v>
      </c>
      <c r="BB14" s="163" t="s">
        <v>194</v>
      </c>
      <c r="BC14" s="163" t="s">
        <v>194</v>
      </c>
      <c r="BD14" s="163">
        <v>0</v>
      </c>
      <c r="BE14" s="163">
        <v>0</v>
      </c>
      <c r="BF14" s="163">
        <v>0</v>
      </c>
      <c r="BG14" s="163">
        <v>0</v>
      </c>
      <c r="BH14" s="163">
        <v>0</v>
      </c>
      <c r="BI14" s="163">
        <v>0</v>
      </c>
      <c r="BJ14" s="163">
        <v>0</v>
      </c>
      <c r="BK14" s="163">
        <v>0</v>
      </c>
      <c r="BL14" s="163">
        <v>1663862.85</v>
      </c>
      <c r="BM14" s="163" t="s">
        <v>315</v>
      </c>
      <c r="BN14" s="163">
        <v>0</v>
      </c>
      <c r="BO14" s="163" t="b">
        <v>0</v>
      </c>
      <c r="BP14" s="163">
        <v>0</v>
      </c>
      <c r="BQ14" s="165">
        <v>0</v>
      </c>
      <c r="BR14" s="164">
        <v>0</v>
      </c>
      <c r="BS14" s="170">
        <v>83</v>
      </c>
      <c r="BT14" s="164">
        <v>0</v>
      </c>
      <c r="BU14" s="227">
        <v>0</v>
      </c>
      <c r="BV14" s="164">
        <v>261</v>
      </c>
      <c r="BW14" s="171">
        <v>0</v>
      </c>
      <c r="BX14" s="171">
        <v>0</v>
      </c>
      <c r="BY14" s="163">
        <v>0</v>
      </c>
      <c r="BZ14" s="163">
        <v>0</v>
      </c>
      <c r="CA14" s="163">
        <v>0</v>
      </c>
      <c r="CB14" s="163">
        <v>0</v>
      </c>
      <c r="CC14" s="163">
        <v>0</v>
      </c>
      <c r="CD14" s="163">
        <v>0</v>
      </c>
      <c r="CE14" s="163">
        <v>0</v>
      </c>
      <c r="CF14" s="163">
        <v>0</v>
      </c>
      <c r="CG14" s="163">
        <v>0</v>
      </c>
      <c r="CH14" s="163">
        <v>0</v>
      </c>
      <c r="CI14" s="163">
        <v>0</v>
      </c>
      <c r="CJ14" s="163">
        <v>0</v>
      </c>
      <c r="CK14" s="164">
        <v>0</v>
      </c>
      <c r="CL14" s="164">
        <v>0</v>
      </c>
    </row>
    <row r="15" spans="1:90" outlineLevel="3" x14ac:dyDescent="0.3">
      <c r="A15" s="134" t="s">
        <v>320</v>
      </c>
      <c r="B15" s="134" t="s">
        <v>321</v>
      </c>
      <c r="C15" s="134" t="s">
        <v>528</v>
      </c>
      <c r="D15" s="134" t="s">
        <v>529</v>
      </c>
      <c r="E15" s="134" t="s">
        <v>198</v>
      </c>
      <c r="F15" s="134" t="s">
        <v>194</v>
      </c>
      <c r="G15" s="134" t="s">
        <v>322</v>
      </c>
      <c r="H15" s="134" t="s">
        <v>312</v>
      </c>
      <c r="I15" s="160" t="s">
        <v>324</v>
      </c>
      <c r="J15" s="162">
        <v>1</v>
      </c>
      <c r="K15" s="162">
        <v>1</v>
      </c>
      <c r="L15" s="164">
        <v>0</v>
      </c>
      <c r="M15" s="164">
        <v>0</v>
      </c>
      <c r="N15" s="164">
        <v>0</v>
      </c>
      <c r="O15" s="163">
        <v>1895268.24</v>
      </c>
      <c r="P15" s="164">
        <v>1895268.24</v>
      </c>
      <c r="Q15" s="164">
        <v>0</v>
      </c>
      <c r="R15" s="166" t="s">
        <v>583</v>
      </c>
      <c r="S15" s="278">
        <v>0.5</v>
      </c>
      <c r="T15" s="166" t="s">
        <v>581</v>
      </c>
      <c r="U15" s="241">
        <v>1895268.24</v>
      </c>
      <c r="V15" s="163" t="s">
        <v>314</v>
      </c>
      <c r="W15" s="163">
        <v>0</v>
      </c>
      <c r="X15" s="163">
        <v>0</v>
      </c>
      <c r="Y15" s="163">
        <v>0</v>
      </c>
      <c r="Z15" s="163">
        <v>0</v>
      </c>
      <c r="AA15" s="163">
        <v>0</v>
      </c>
      <c r="AB15" s="163">
        <v>0</v>
      </c>
      <c r="AC15" s="241">
        <v>1895268.24</v>
      </c>
      <c r="AD15" s="163">
        <v>0</v>
      </c>
      <c r="AE15" s="163">
        <v>0</v>
      </c>
      <c r="AF15" s="163">
        <v>0</v>
      </c>
      <c r="AG15" s="163">
        <v>0</v>
      </c>
      <c r="AH15" s="242">
        <v>0</v>
      </c>
      <c r="AI15" s="163">
        <v>0</v>
      </c>
      <c r="AJ15" s="163">
        <v>0</v>
      </c>
      <c r="AK15" s="243">
        <v>0</v>
      </c>
      <c r="AL15" s="167">
        <v>0</v>
      </c>
      <c r="AM15" s="163">
        <v>230788.38999999873</v>
      </c>
      <c r="AN15" s="164">
        <v>0</v>
      </c>
      <c r="AO15" s="167">
        <v>0</v>
      </c>
      <c r="AP15" s="163">
        <v>1895268.24</v>
      </c>
      <c r="AQ15" s="168">
        <v>1</v>
      </c>
      <c r="AR15" s="163">
        <v>0</v>
      </c>
      <c r="AS15" s="163">
        <v>1895268.24</v>
      </c>
      <c r="AT15" s="163">
        <v>0</v>
      </c>
      <c r="AU15" s="163">
        <v>0</v>
      </c>
      <c r="AV15" s="163">
        <v>0</v>
      </c>
      <c r="AW15" s="163">
        <v>0</v>
      </c>
      <c r="AX15" s="163">
        <v>0</v>
      </c>
      <c r="AY15" s="163">
        <v>0</v>
      </c>
      <c r="AZ15" s="163">
        <v>0</v>
      </c>
      <c r="BA15" s="163">
        <v>0</v>
      </c>
      <c r="BB15" s="163" t="s">
        <v>194</v>
      </c>
      <c r="BC15" s="163" t="s">
        <v>194</v>
      </c>
      <c r="BD15" s="163">
        <v>0</v>
      </c>
      <c r="BE15" s="163">
        <v>0</v>
      </c>
      <c r="BF15" s="163">
        <v>0</v>
      </c>
      <c r="BG15" s="163">
        <v>0</v>
      </c>
      <c r="BH15" s="163">
        <v>0</v>
      </c>
      <c r="BI15" s="163">
        <v>0</v>
      </c>
      <c r="BJ15" s="163">
        <v>0</v>
      </c>
      <c r="BK15" s="163">
        <v>0</v>
      </c>
      <c r="BL15" s="163">
        <v>1895268.24</v>
      </c>
      <c r="BM15" s="163" t="s">
        <v>315</v>
      </c>
      <c r="BN15" s="163">
        <v>0</v>
      </c>
      <c r="BO15" s="163" t="b">
        <v>0</v>
      </c>
      <c r="BP15" s="163">
        <v>0</v>
      </c>
      <c r="BQ15" s="165">
        <v>0</v>
      </c>
      <c r="BR15" s="164">
        <v>0</v>
      </c>
      <c r="BS15" s="170">
        <v>83</v>
      </c>
      <c r="BT15" s="164">
        <v>0</v>
      </c>
      <c r="BU15" s="227">
        <v>0</v>
      </c>
      <c r="BV15" s="164">
        <v>263</v>
      </c>
      <c r="BW15" s="171">
        <v>0</v>
      </c>
      <c r="BX15" s="171">
        <v>0</v>
      </c>
      <c r="BY15" s="163">
        <v>0</v>
      </c>
      <c r="BZ15" s="163">
        <v>0</v>
      </c>
      <c r="CA15" s="163">
        <v>0</v>
      </c>
      <c r="CB15" s="163">
        <v>1664479.85</v>
      </c>
      <c r="CC15" s="163">
        <v>0</v>
      </c>
      <c r="CD15" s="163">
        <v>0</v>
      </c>
      <c r="CE15" s="163">
        <v>0</v>
      </c>
      <c r="CF15" s="163">
        <v>0</v>
      </c>
      <c r="CG15" s="163">
        <v>0</v>
      </c>
      <c r="CH15" s="163">
        <v>0</v>
      </c>
      <c r="CI15" s="163">
        <v>0</v>
      </c>
      <c r="CJ15" s="163">
        <v>0</v>
      </c>
      <c r="CK15" s="164">
        <v>0</v>
      </c>
      <c r="CL15" s="164">
        <v>0</v>
      </c>
    </row>
    <row r="16" spans="1:90" outlineLevel="3" x14ac:dyDescent="0.3">
      <c r="A16" s="134" t="s">
        <v>320</v>
      </c>
      <c r="B16" s="134" t="s">
        <v>321</v>
      </c>
      <c r="C16" s="134" t="s">
        <v>528</v>
      </c>
      <c r="D16" s="134" t="s">
        <v>529</v>
      </c>
      <c r="E16" s="134" t="s">
        <v>417</v>
      </c>
      <c r="F16" s="134" t="s">
        <v>194</v>
      </c>
      <c r="G16" s="134" t="s">
        <v>322</v>
      </c>
      <c r="H16" s="134" t="s">
        <v>312</v>
      </c>
      <c r="I16" s="160" t="s">
        <v>324</v>
      </c>
      <c r="J16" s="162">
        <v>1</v>
      </c>
      <c r="K16" s="162">
        <v>1</v>
      </c>
      <c r="L16" s="164">
        <v>0</v>
      </c>
      <c r="M16" s="164">
        <v>0</v>
      </c>
      <c r="N16" s="164">
        <v>0</v>
      </c>
      <c r="O16" s="163">
        <v>0</v>
      </c>
      <c r="P16" s="164">
        <v>0</v>
      </c>
      <c r="Q16" s="164">
        <v>0</v>
      </c>
      <c r="R16" s="166">
        <v>0</v>
      </c>
      <c r="S16" s="278">
        <v>1</v>
      </c>
      <c r="T16" s="166" t="s">
        <v>581</v>
      </c>
      <c r="U16" s="241">
        <v>0</v>
      </c>
      <c r="V16" s="163" t="s">
        <v>314</v>
      </c>
      <c r="W16" s="163">
        <v>0</v>
      </c>
      <c r="X16" s="163">
        <v>0</v>
      </c>
      <c r="Y16" s="163">
        <v>0</v>
      </c>
      <c r="Z16" s="163">
        <v>0</v>
      </c>
      <c r="AA16" s="163">
        <v>0</v>
      </c>
      <c r="AB16" s="163">
        <v>0</v>
      </c>
      <c r="AC16" s="241">
        <v>0</v>
      </c>
      <c r="AD16" s="163">
        <v>0</v>
      </c>
      <c r="AE16" s="163">
        <v>0</v>
      </c>
      <c r="AF16" s="163">
        <v>0</v>
      </c>
      <c r="AG16" s="163">
        <v>0</v>
      </c>
      <c r="AH16" s="242">
        <v>0</v>
      </c>
      <c r="AI16" s="163">
        <v>0</v>
      </c>
      <c r="AJ16" s="163">
        <v>0</v>
      </c>
      <c r="AK16" s="243">
        <v>0</v>
      </c>
      <c r="AL16" s="167">
        <v>0</v>
      </c>
      <c r="AM16" s="163">
        <v>400561.36</v>
      </c>
      <c r="AN16" s="164">
        <v>0</v>
      </c>
      <c r="AO16" s="167">
        <v>0</v>
      </c>
      <c r="AP16" s="163">
        <v>0</v>
      </c>
      <c r="AQ16" s="168">
        <v>1</v>
      </c>
      <c r="AR16" s="163">
        <v>0</v>
      </c>
      <c r="AS16" s="163">
        <v>0</v>
      </c>
      <c r="AT16" s="163">
        <v>0</v>
      </c>
      <c r="AU16" s="163">
        <v>0</v>
      </c>
      <c r="AV16" s="163">
        <v>0</v>
      </c>
      <c r="AW16" s="163">
        <v>0</v>
      </c>
      <c r="AX16" s="163">
        <v>0</v>
      </c>
      <c r="AY16" s="163">
        <v>0</v>
      </c>
      <c r="AZ16" s="163">
        <v>0</v>
      </c>
      <c r="BA16" s="163">
        <v>0</v>
      </c>
      <c r="BB16" s="163" t="s">
        <v>194</v>
      </c>
      <c r="BC16" s="163" t="s">
        <v>194</v>
      </c>
      <c r="BD16" s="163">
        <v>0</v>
      </c>
      <c r="BE16" s="163">
        <v>0</v>
      </c>
      <c r="BF16" s="163">
        <v>0</v>
      </c>
      <c r="BG16" s="163">
        <v>0</v>
      </c>
      <c r="BH16" s="163">
        <v>0</v>
      </c>
      <c r="BI16" s="163">
        <v>0</v>
      </c>
      <c r="BJ16" s="163">
        <v>0</v>
      </c>
      <c r="BK16" s="163">
        <v>0</v>
      </c>
      <c r="BL16" s="163">
        <v>0</v>
      </c>
      <c r="BM16" s="163" t="s">
        <v>315</v>
      </c>
      <c r="BN16" s="163">
        <v>0</v>
      </c>
      <c r="BO16" s="163" t="b">
        <v>0</v>
      </c>
      <c r="BP16" s="163">
        <v>0</v>
      </c>
      <c r="BQ16" s="165">
        <v>0</v>
      </c>
      <c r="BR16" s="164">
        <v>0</v>
      </c>
      <c r="BS16" s="170">
        <v>83</v>
      </c>
      <c r="BT16" s="164">
        <v>0</v>
      </c>
      <c r="BU16" s="227">
        <v>0</v>
      </c>
      <c r="BV16" s="164">
        <v>264</v>
      </c>
      <c r="BW16" s="171">
        <v>0</v>
      </c>
      <c r="BX16" s="171">
        <v>0</v>
      </c>
      <c r="BY16" s="163">
        <v>0</v>
      </c>
      <c r="BZ16" s="163">
        <v>0</v>
      </c>
      <c r="CA16" s="163">
        <v>0</v>
      </c>
      <c r="CB16" s="163">
        <v>-400561.36</v>
      </c>
      <c r="CC16" s="163">
        <v>0</v>
      </c>
      <c r="CD16" s="163">
        <v>0</v>
      </c>
      <c r="CE16" s="163">
        <v>0</v>
      </c>
      <c r="CF16" s="163">
        <v>0</v>
      </c>
      <c r="CG16" s="163">
        <v>0</v>
      </c>
      <c r="CH16" s="163">
        <v>0</v>
      </c>
      <c r="CI16" s="163">
        <v>0</v>
      </c>
      <c r="CJ16" s="163">
        <v>0</v>
      </c>
      <c r="CK16" s="164">
        <v>0</v>
      </c>
      <c r="CL16" s="164">
        <v>0</v>
      </c>
    </row>
    <row r="17" spans="1:90" s="186" customFormat="1" ht="20.100000000000001" customHeight="1" outlineLevel="2" x14ac:dyDescent="0.3">
      <c r="A17" s="173" t="s">
        <v>325</v>
      </c>
      <c r="B17" s="173"/>
      <c r="C17" s="173"/>
      <c r="D17" s="173"/>
      <c r="E17" s="173"/>
      <c r="F17" s="173"/>
      <c r="G17" s="173"/>
      <c r="H17" s="173"/>
      <c r="I17" s="174"/>
      <c r="J17" s="176"/>
      <c r="K17" s="176"/>
      <c r="L17" s="178"/>
      <c r="M17" s="178"/>
      <c r="N17" s="178"/>
      <c r="O17" s="177"/>
      <c r="P17" s="178"/>
      <c r="Q17" s="178"/>
      <c r="R17" s="180">
        <v>0</v>
      </c>
      <c r="S17" s="279">
        <v>5.375</v>
      </c>
      <c r="T17" s="180">
        <v>0</v>
      </c>
      <c r="U17" s="244">
        <v>43022440.359999999</v>
      </c>
      <c r="V17" s="177"/>
      <c r="W17" s="177">
        <v>0</v>
      </c>
      <c r="X17" s="177">
        <v>0</v>
      </c>
      <c r="Y17" s="177">
        <v>0</v>
      </c>
      <c r="Z17" s="177">
        <v>0</v>
      </c>
      <c r="AA17" s="177">
        <v>0</v>
      </c>
      <c r="AB17" s="177">
        <v>0</v>
      </c>
      <c r="AC17" s="244">
        <v>42414025.140000001</v>
      </c>
      <c r="AD17" s="177">
        <v>0</v>
      </c>
      <c r="AE17" s="177">
        <v>0</v>
      </c>
      <c r="AF17" s="177">
        <v>0</v>
      </c>
      <c r="AG17" s="177">
        <v>0</v>
      </c>
      <c r="AH17" s="245">
        <v>0</v>
      </c>
      <c r="AI17" s="177">
        <v>0</v>
      </c>
      <c r="AJ17" s="177">
        <v>0</v>
      </c>
      <c r="AK17" s="246">
        <v>0</v>
      </c>
      <c r="AL17" s="181"/>
      <c r="AM17" s="177">
        <v>39750356.869999997</v>
      </c>
      <c r="AN17" s="178"/>
      <c r="AO17" s="181"/>
      <c r="AP17" s="177">
        <v>38622230.400000006</v>
      </c>
      <c r="AQ17" s="182"/>
      <c r="AR17" s="177"/>
      <c r="AS17" s="177"/>
      <c r="AT17" s="177">
        <v>0</v>
      </c>
      <c r="AU17" s="177">
        <v>0</v>
      </c>
      <c r="AV17" s="177">
        <v>0</v>
      </c>
      <c r="AW17" s="177">
        <v>0</v>
      </c>
      <c r="AX17" s="177">
        <v>-2858113.43</v>
      </c>
      <c r="AY17" s="177">
        <v>0</v>
      </c>
      <c r="AZ17" s="177">
        <v>2858113.43</v>
      </c>
      <c r="BA17" s="177">
        <v>0</v>
      </c>
      <c r="BB17" s="177"/>
      <c r="BC17" s="177"/>
      <c r="BD17" s="177"/>
      <c r="BE17" s="177"/>
      <c r="BF17" s="177"/>
      <c r="BG17" s="177"/>
      <c r="BH17" s="177"/>
      <c r="BI17" s="177"/>
      <c r="BJ17" s="177"/>
      <c r="BK17" s="177"/>
      <c r="BL17" s="177"/>
      <c r="BM17" s="177"/>
      <c r="BN17" s="177"/>
      <c r="BO17" s="177"/>
      <c r="BP17" s="177"/>
      <c r="BQ17" s="179"/>
      <c r="BR17" s="178"/>
      <c r="BS17" s="184"/>
      <c r="BT17" s="178"/>
      <c r="BU17" s="220"/>
      <c r="BV17" s="178"/>
      <c r="BW17" s="185"/>
      <c r="BX17" s="185"/>
      <c r="BY17" s="177"/>
      <c r="BZ17" s="177"/>
      <c r="CA17" s="177">
        <v>4400209.96</v>
      </c>
      <c r="CB17" s="177"/>
      <c r="CC17" s="177"/>
      <c r="CD17" s="177"/>
      <c r="CE17" s="177"/>
      <c r="CF17" s="177"/>
      <c r="CG17" s="177"/>
      <c r="CH17" s="177"/>
      <c r="CI17" s="177"/>
      <c r="CJ17" s="177"/>
      <c r="CK17" s="178"/>
      <c r="CL17" s="178"/>
    </row>
    <row r="18" spans="1:90" s="197" customFormat="1" ht="30" customHeight="1" outlineLevel="1" x14ac:dyDescent="0.3">
      <c r="A18" s="173"/>
      <c r="B18" s="173" t="s">
        <v>328</v>
      </c>
      <c r="C18" s="173"/>
      <c r="D18" s="173"/>
      <c r="E18" s="173"/>
      <c r="F18" s="173"/>
      <c r="G18" s="173"/>
      <c r="H18" s="173"/>
      <c r="I18" s="174"/>
      <c r="J18" s="187"/>
      <c r="K18" s="187"/>
      <c r="L18" s="189"/>
      <c r="M18" s="189"/>
      <c r="N18" s="189"/>
      <c r="O18" s="188"/>
      <c r="P18" s="189"/>
      <c r="Q18" s="189"/>
      <c r="R18" s="191">
        <v>0</v>
      </c>
      <c r="S18" s="280">
        <v>5.375</v>
      </c>
      <c r="T18" s="191">
        <v>0</v>
      </c>
      <c r="U18" s="247">
        <v>43022440.359999999</v>
      </c>
      <c r="V18" s="188"/>
      <c r="W18" s="188">
        <v>0</v>
      </c>
      <c r="X18" s="188">
        <v>0</v>
      </c>
      <c r="Y18" s="188">
        <v>0</v>
      </c>
      <c r="Z18" s="188">
        <v>0</v>
      </c>
      <c r="AA18" s="188">
        <v>0</v>
      </c>
      <c r="AB18" s="188">
        <v>0</v>
      </c>
      <c r="AC18" s="247">
        <v>42414025.140000001</v>
      </c>
      <c r="AD18" s="188">
        <v>0</v>
      </c>
      <c r="AE18" s="188">
        <v>0</v>
      </c>
      <c r="AF18" s="188">
        <v>0</v>
      </c>
      <c r="AG18" s="188">
        <v>0</v>
      </c>
      <c r="AH18" s="248">
        <v>0</v>
      </c>
      <c r="AI18" s="188">
        <v>0</v>
      </c>
      <c r="AJ18" s="188">
        <v>0</v>
      </c>
      <c r="AK18" s="249">
        <v>0</v>
      </c>
      <c r="AL18" s="192"/>
      <c r="AM18" s="188">
        <v>39750356.869999997</v>
      </c>
      <c r="AN18" s="189"/>
      <c r="AO18" s="192"/>
      <c r="AP18" s="188">
        <v>38622230.400000006</v>
      </c>
      <c r="AQ18" s="193"/>
      <c r="AR18" s="188"/>
      <c r="AS18" s="188"/>
      <c r="AT18" s="188">
        <v>0</v>
      </c>
      <c r="AU18" s="188">
        <v>0</v>
      </c>
      <c r="AV18" s="188">
        <v>0</v>
      </c>
      <c r="AW18" s="188">
        <v>0</v>
      </c>
      <c r="AX18" s="188">
        <v>-2858113.43</v>
      </c>
      <c r="AY18" s="188">
        <v>0</v>
      </c>
      <c r="AZ18" s="188">
        <v>2858113.43</v>
      </c>
      <c r="BA18" s="188">
        <v>0</v>
      </c>
      <c r="BB18" s="188"/>
      <c r="BC18" s="188"/>
      <c r="BD18" s="188"/>
      <c r="BE18" s="188"/>
      <c r="BF18" s="188"/>
      <c r="BG18" s="188"/>
      <c r="BH18" s="188"/>
      <c r="BI18" s="188"/>
      <c r="BJ18" s="188"/>
      <c r="BK18" s="188"/>
      <c r="BL18" s="188"/>
      <c r="BM18" s="188"/>
      <c r="BN18" s="188"/>
      <c r="BO18" s="188"/>
      <c r="BP18" s="188"/>
      <c r="BQ18" s="190"/>
      <c r="BR18" s="189"/>
      <c r="BS18" s="195"/>
      <c r="BT18" s="189"/>
      <c r="BU18" s="221"/>
      <c r="BV18" s="189"/>
      <c r="BW18" s="196"/>
      <c r="BX18" s="196"/>
      <c r="BY18" s="188"/>
      <c r="BZ18" s="188"/>
      <c r="CA18" s="188">
        <v>4400209.96</v>
      </c>
      <c r="CB18" s="188"/>
      <c r="CC18" s="188"/>
      <c r="CD18" s="188"/>
      <c r="CE18" s="188"/>
      <c r="CF18" s="188"/>
      <c r="CG18" s="188"/>
      <c r="CH18" s="188"/>
      <c r="CI18" s="188"/>
      <c r="CJ18" s="188"/>
      <c r="CK18" s="189"/>
      <c r="CL18" s="189"/>
    </row>
    <row r="19" spans="1:90" outlineLevel="3" x14ac:dyDescent="0.3">
      <c r="A19" s="134" t="s">
        <v>329</v>
      </c>
      <c r="B19" s="134" t="s">
        <v>330</v>
      </c>
      <c r="C19" s="134" t="s">
        <v>331</v>
      </c>
      <c r="D19" s="134" t="s">
        <v>332</v>
      </c>
      <c r="E19" s="134" t="s">
        <v>333</v>
      </c>
      <c r="F19" s="134" t="s">
        <v>334</v>
      </c>
      <c r="G19" s="198" t="s">
        <v>335</v>
      </c>
      <c r="H19" s="198" t="s">
        <v>336</v>
      </c>
      <c r="I19" s="160" t="s">
        <v>336</v>
      </c>
      <c r="J19" s="162">
        <v>0</v>
      </c>
      <c r="K19" s="162">
        <v>0</v>
      </c>
      <c r="L19" s="164">
        <v>3.3781327421952452E-2</v>
      </c>
      <c r="M19" s="164">
        <v>0</v>
      </c>
      <c r="N19" s="164">
        <v>0.28045569326120739</v>
      </c>
      <c r="O19" s="163">
        <v>1.303696338968512E-6</v>
      </c>
      <c r="P19" s="164">
        <v>1.3101495982820809E-6</v>
      </c>
      <c r="Q19" s="164">
        <v>-6.4532593135688688E-9</v>
      </c>
      <c r="R19" s="166">
        <v>0</v>
      </c>
      <c r="S19" s="275">
        <v>1</v>
      </c>
      <c r="T19" s="166" t="s">
        <v>581</v>
      </c>
      <c r="U19" s="241">
        <v>0</v>
      </c>
      <c r="V19" s="163" t="s">
        <v>314</v>
      </c>
      <c r="W19" s="163">
        <v>0</v>
      </c>
      <c r="X19" s="163">
        <v>0</v>
      </c>
      <c r="Y19" s="163">
        <v>0</v>
      </c>
      <c r="Z19" s="163">
        <v>0</v>
      </c>
      <c r="AA19" s="163">
        <v>0</v>
      </c>
      <c r="AB19" s="163">
        <v>0</v>
      </c>
      <c r="AC19" s="241">
        <v>0</v>
      </c>
      <c r="AD19" s="163">
        <v>0</v>
      </c>
      <c r="AE19" s="163">
        <v>0</v>
      </c>
      <c r="AF19" s="163">
        <v>0</v>
      </c>
      <c r="AG19" s="163">
        <v>0</v>
      </c>
      <c r="AH19" s="242">
        <v>0</v>
      </c>
      <c r="AI19" s="163">
        <v>0</v>
      </c>
      <c r="AJ19" s="163">
        <v>0</v>
      </c>
      <c r="AK19" s="243">
        <v>0</v>
      </c>
      <c r="AL19" s="167">
        <v>0</v>
      </c>
      <c r="AM19" s="163">
        <v>127482.4475727526</v>
      </c>
      <c r="AN19" s="167">
        <v>0</v>
      </c>
      <c r="AO19" s="167">
        <v>0</v>
      </c>
      <c r="AP19" s="163">
        <v>84870.386027040266</v>
      </c>
      <c r="AQ19" s="168">
        <v>1</v>
      </c>
      <c r="AR19" s="163">
        <v>0</v>
      </c>
      <c r="AS19" s="163">
        <v>16.25</v>
      </c>
      <c r="AT19" s="163">
        <v>0</v>
      </c>
      <c r="AU19" s="163">
        <v>0</v>
      </c>
      <c r="AV19" s="163">
        <v>0</v>
      </c>
      <c r="AW19" s="163">
        <v>0</v>
      </c>
      <c r="AX19" s="163">
        <v>-89917.647572752583</v>
      </c>
      <c r="AY19" s="163">
        <v>0</v>
      </c>
      <c r="AZ19" s="163">
        <v>89917.647572752583</v>
      </c>
      <c r="BA19" s="163">
        <v>0</v>
      </c>
      <c r="BB19" s="163">
        <v>13.45</v>
      </c>
      <c r="BC19" s="163">
        <v>13.4</v>
      </c>
      <c r="BD19" s="163">
        <v>0</v>
      </c>
      <c r="BE19" s="163">
        <v>0</v>
      </c>
      <c r="BF19" s="163">
        <v>0</v>
      </c>
      <c r="BG19" s="163">
        <v>0</v>
      </c>
      <c r="BH19" s="163">
        <v>-89917.647572752583</v>
      </c>
      <c r="BI19" s="163">
        <v>0</v>
      </c>
      <c r="BJ19" s="163">
        <v>89917.647572752583</v>
      </c>
      <c r="BK19" s="163">
        <v>0</v>
      </c>
      <c r="BL19" s="163">
        <v>84870.386027040266</v>
      </c>
      <c r="BM19" s="163" t="s">
        <v>318</v>
      </c>
      <c r="BN19" s="163">
        <v>0</v>
      </c>
      <c r="BO19" s="163" t="b">
        <v>0</v>
      </c>
      <c r="BP19" s="163">
        <v>0</v>
      </c>
      <c r="BQ19" s="164">
        <v>0</v>
      </c>
      <c r="BR19" s="164">
        <v>0</v>
      </c>
      <c r="BS19" s="170">
        <v>42</v>
      </c>
      <c r="BT19" s="164">
        <v>0</v>
      </c>
      <c r="BU19" s="227">
        <v>0</v>
      </c>
      <c r="BV19" s="164">
        <v>319</v>
      </c>
      <c r="BW19" s="171">
        <v>13.45</v>
      </c>
      <c r="BX19" s="171">
        <v>13.45</v>
      </c>
      <c r="BY19" s="163">
        <v>0</v>
      </c>
      <c r="BZ19" s="163">
        <v>0</v>
      </c>
      <c r="CA19" s="163">
        <v>0</v>
      </c>
      <c r="CB19" s="163">
        <v>-37564.800000000003</v>
      </c>
      <c r="CC19" s="163">
        <v>0</v>
      </c>
      <c r="CD19" s="163">
        <v>0</v>
      </c>
      <c r="CE19" s="163">
        <v>0</v>
      </c>
      <c r="CF19" s="163">
        <v>0</v>
      </c>
      <c r="CG19" s="163">
        <v>0</v>
      </c>
      <c r="CH19" s="163">
        <v>0</v>
      </c>
      <c r="CI19" s="163">
        <v>0</v>
      </c>
      <c r="CJ19" s="163">
        <v>0</v>
      </c>
      <c r="CK19" s="164">
        <v>0</v>
      </c>
      <c r="CL19" s="164">
        <v>0</v>
      </c>
    </row>
    <row r="20" spans="1:90" s="186" customFormat="1" ht="20.100000000000001" customHeight="1" outlineLevel="2" x14ac:dyDescent="0.3">
      <c r="A20" s="173" t="s">
        <v>337</v>
      </c>
      <c r="B20" s="173"/>
      <c r="C20" s="173"/>
      <c r="D20" s="173"/>
      <c r="E20" s="173"/>
      <c r="F20" s="173"/>
      <c r="G20" s="199"/>
      <c r="H20" s="199"/>
      <c r="I20" s="174"/>
      <c r="J20" s="176"/>
      <c r="K20" s="176"/>
      <c r="L20" s="178"/>
      <c r="M20" s="178"/>
      <c r="N20" s="178"/>
      <c r="O20" s="177"/>
      <c r="P20" s="178"/>
      <c r="Q20" s="178"/>
      <c r="R20" s="180">
        <v>0</v>
      </c>
      <c r="S20" s="276">
        <v>1</v>
      </c>
      <c r="T20" s="180">
        <v>0</v>
      </c>
      <c r="U20" s="244">
        <v>0</v>
      </c>
      <c r="V20" s="177"/>
      <c r="W20" s="177">
        <v>0</v>
      </c>
      <c r="X20" s="177">
        <v>0</v>
      </c>
      <c r="Y20" s="177">
        <v>0</v>
      </c>
      <c r="Z20" s="177">
        <v>0</v>
      </c>
      <c r="AA20" s="177">
        <v>0</v>
      </c>
      <c r="AB20" s="177">
        <v>0</v>
      </c>
      <c r="AC20" s="244">
        <v>0</v>
      </c>
      <c r="AD20" s="177">
        <v>0</v>
      </c>
      <c r="AE20" s="177">
        <v>0</v>
      </c>
      <c r="AF20" s="177">
        <v>0</v>
      </c>
      <c r="AG20" s="177">
        <v>0</v>
      </c>
      <c r="AH20" s="245">
        <v>0</v>
      </c>
      <c r="AI20" s="177">
        <v>0</v>
      </c>
      <c r="AJ20" s="177">
        <v>0</v>
      </c>
      <c r="AK20" s="246">
        <v>0</v>
      </c>
      <c r="AL20" s="181"/>
      <c r="AM20" s="177">
        <v>127482.4475727526</v>
      </c>
      <c r="AN20" s="181"/>
      <c r="AO20" s="181"/>
      <c r="AP20" s="177">
        <v>84870.386027040266</v>
      </c>
      <c r="AQ20" s="182"/>
      <c r="AR20" s="177"/>
      <c r="AS20" s="177"/>
      <c r="AT20" s="177">
        <v>0</v>
      </c>
      <c r="AU20" s="177">
        <v>0</v>
      </c>
      <c r="AV20" s="177">
        <v>0</v>
      </c>
      <c r="AW20" s="177">
        <v>0</v>
      </c>
      <c r="AX20" s="177">
        <v>-89917.647572752583</v>
      </c>
      <c r="AY20" s="177">
        <v>0</v>
      </c>
      <c r="AZ20" s="177">
        <v>89917.647572752583</v>
      </c>
      <c r="BA20" s="177">
        <v>0</v>
      </c>
      <c r="BB20" s="177"/>
      <c r="BC20" s="177"/>
      <c r="BD20" s="177"/>
      <c r="BE20" s="177"/>
      <c r="BF20" s="177"/>
      <c r="BG20" s="177"/>
      <c r="BH20" s="177"/>
      <c r="BI20" s="177"/>
      <c r="BJ20" s="177"/>
      <c r="BK20" s="177"/>
      <c r="BL20" s="177"/>
      <c r="BM20" s="177"/>
      <c r="BN20" s="177"/>
      <c r="BO20" s="177"/>
      <c r="BP20" s="177"/>
      <c r="BQ20" s="178"/>
      <c r="BR20" s="178"/>
      <c r="BS20" s="184"/>
      <c r="BT20" s="178"/>
      <c r="BU20" s="220"/>
      <c r="BV20" s="178"/>
      <c r="BW20" s="185"/>
      <c r="BX20" s="185"/>
      <c r="BY20" s="177"/>
      <c r="BZ20" s="177"/>
      <c r="CA20" s="177">
        <v>0</v>
      </c>
      <c r="CB20" s="177"/>
      <c r="CC20" s="177"/>
      <c r="CD20" s="177"/>
      <c r="CE20" s="177"/>
      <c r="CF20" s="177"/>
      <c r="CG20" s="177"/>
      <c r="CH20" s="177"/>
      <c r="CI20" s="177"/>
      <c r="CJ20" s="177"/>
      <c r="CK20" s="178"/>
      <c r="CL20" s="178"/>
    </row>
    <row r="21" spans="1:90" s="197" customFormat="1" ht="30" customHeight="1" outlineLevel="1" x14ac:dyDescent="0.3">
      <c r="A21" s="173"/>
      <c r="B21" s="173" t="s">
        <v>338</v>
      </c>
      <c r="C21" s="173"/>
      <c r="D21" s="173"/>
      <c r="E21" s="173"/>
      <c r="F21" s="173"/>
      <c r="G21" s="199"/>
      <c r="H21" s="199"/>
      <c r="I21" s="174"/>
      <c r="J21" s="187"/>
      <c r="K21" s="187"/>
      <c r="L21" s="189"/>
      <c r="M21" s="189"/>
      <c r="N21" s="189"/>
      <c r="O21" s="188"/>
      <c r="P21" s="189"/>
      <c r="Q21" s="189"/>
      <c r="R21" s="191">
        <v>0</v>
      </c>
      <c r="S21" s="277">
        <v>1</v>
      </c>
      <c r="T21" s="191">
        <v>0</v>
      </c>
      <c r="U21" s="247">
        <v>0</v>
      </c>
      <c r="V21" s="188"/>
      <c r="W21" s="188">
        <v>0</v>
      </c>
      <c r="X21" s="188">
        <v>0</v>
      </c>
      <c r="Y21" s="188">
        <v>0</v>
      </c>
      <c r="Z21" s="188">
        <v>0</v>
      </c>
      <c r="AA21" s="188">
        <v>0</v>
      </c>
      <c r="AB21" s="188">
        <v>0</v>
      </c>
      <c r="AC21" s="247">
        <v>0</v>
      </c>
      <c r="AD21" s="188">
        <v>0</v>
      </c>
      <c r="AE21" s="188">
        <v>0</v>
      </c>
      <c r="AF21" s="188">
        <v>0</v>
      </c>
      <c r="AG21" s="188">
        <v>0</v>
      </c>
      <c r="AH21" s="248">
        <v>0</v>
      </c>
      <c r="AI21" s="188">
        <v>0</v>
      </c>
      <c r="AJ21" s="188">
        <v>0</v>
      </c>
      <c r="AK21" s="249">
        <v>0</v>
      </c>
      <c r="AL21" s="192"/>
      <c r="AM21" s="188">
        <v>127482.4475727526</v>
      </c>
      <c r="AN21" s="192"/>
      <c r="AO21" s="192"/>
      <c r="AP21" s="188">
        <v>84870.386027040266</v>
      </c>
      <c r="AQ21" s="193"/>
      <c r="AR21" s="188"/>
      <c r="AS21" s="188"/>
      <c r="AT21" s="188">
        <v>0</v>
      </c>
      <c r="AU21" s="188">
        <v>0</v>
      </c>
      <c r="AV21" s="188">
        <v>0</v>
      </c>
      <c r="AW21" s="188">
        <v>0</v>
      </c>
      <c r="AX21" s="188">
        <v>-89917.647572752583</v>
      </c>
      <c r="AY21" s="188">
        <v>0</v>
      </c>
      <c r="AZ21" s="188">
        <v>89917.647572752583</v>
      </c>
      <c r="BA21" s="188">
        <v>0</v>
      </c>
      <c r="BB21" s="188"/>
      <c r="BC21" s="188"/>
      <c r="BD21" s="188"/>
      <c r="BE21" s="188"/>
      <c r="BF21" s="188"/>
      <c r="BG21" s="188"/>
      <c r="BH21" s="188"/>
      <c r="BI21" s="188"/>
      <c r="BJ21" s="188"/>
      <c r="BK21" s="188"/>
      <c r="BL21" s="188"/>
      <c r="BM21" s="188"/>
      <c r="BN21" s="188"/>
      <c r="BO21" s="188"/>
      <c r="BP21" s="188"/>
      <c r="BQ21" s="189"/>
      <c r="BR21" s="189"/>
      <c r="BS21" s="195"/>
      <c r="BT21" s="189"/>
      <c r="BU21" s="221"/>
      <c r="BV21" s="189"/>
      <c r="BW21" s="196"/>
      <c r="BX21" s="196"/>
      <c r="BY21" s="188"/>
      <c r="BZ21" s="188"/>
      <c r="CA21" s="188">
        <v>0</v>
      </c>
      <c r="CB21" s="188"/>
      <c r="CC21" s="188"/>
      <c r="CD21" s="188"/>
      <c r="CE21" s="188"/>
      <c r="CF21" s="188"/>
      <c r="CG21" s="188"/>
      <c r="CH21" s="188"/>
      <c r="CI21" s="188"/>
      <c r="CJ21" s="188"/>
      <c r="CK21" s="189"/>
      <c r="CL21" s="189"/>
    </row>
    <row r="22" spans="1:90" outlineLevel="3" x14ac:dyDescent="0.3">
      <c r="A22" s="134" t="s">
        <v>320</v>
      </c>
      <c r="B22" s="134" t="s">
        <v>558</v>
      </c>
      <c r="C22" s="134" t="s">
        <v>568</v>
      </c>
      <c r="D22" s="134" t="s">
        <v>569</v>
      </c>
      <c r="E22" s="134" t="s">
        <v>199</v>
      </c>
      <c r="F22" s="134" t="s">
        <v>194</v>
      </c>
      <c r="G22" s="134" t="s">
        <v>523</v>
      </c>
      <c r="H22" s="134" t="s">
        <v>312</v>
      </c>
      <c r="I22" s="160" t="s">
        <v>324</v>
      </c>
      <c r="J22" s="162">
        <v>1</v>
      </c>
      <c r="K22" s="162">
        <v>1</v>
      </c>
      <c r="L22" s="164">
        <v>0</v>
      </c>
      <c r="M22" s="164">
        <v>0</v>
      </c>
      <c r="N22" s="164">
        <v>0</v>
      </c>
      <c r="O22" s="163">
        <v>1803840</v>
      </c>
      <c r="P22" s="164">
        <v>1803840</v>
      </c>
      <c r="Q22" s="164">
        <v>0</v>
      </c>
      <c r="R22" s="166">
        <v>0</v>
      </c>
      <c r="S22" s="278">
        <v>1</v>
      </c>
      <c r="T22" s="166" t="s">
        <v>581</v>
      </c>
      <c r="U22" s="241">
        <v>1803840</v>
      </c>
      <c r="V22" s="163" t="s">
        <v>314</v>
      </c>
      <c r="W22" s="163">
        <v>0</v>
      </c>
      <c r="X22" s="163">
        <v>0</v>
      </c>
      <c r="Y22" s="163">
        <v>0</v>
      </c>
      <c r="Z22" s="163">
        <v>0</v>
      </c>
      <c r="AA22" s="163">
        <v>0</v>
      </c>
      <c r="AB22" s="163">
        <v>0</v>
      </c>
      <c r="AC22" s="241">
        <v>1803840</v>
      </c>
      <c r="AD22" s="163">
        <v>0</v>
      </c>
      <c r="AE22" s="163">
        <v>0</v>
      </c>
      <c r="AF22" s="163">
        <v>0</v>
      </c>
      <c r="AG22" s="163">
        <v>0</v>
      </c>
      <c r="AH22" s="242">
        <v>0</v>
      </c>
      <c r="AI22" s="163">
        <v>0</v>
      </c>
      <c r="AJ22" s="163">
        <v>0</v>
      </c>
      <c r="AK22" s="243">
        <v>0</v>
      </c>
      <c r="AL22" s="167">
        <v>0</v>
      </c>
      <c r="AM22" s="163">
        <v>1803840</v>
      </c>
      <c r="AN22" s="164">
        <v>0</v>
      </c>
      <c r="AO22" s="167">
        <v>0</v>
      </c>
      <c r="AP22" s="163">
        <v>1803840</v>
      </c>
      <c r="AQ22" s="168">
        <v>1</v>
      </c>
      <c r="AR22" s="163">
        <v>0</v>
      </c>
      <c r="AS22" s="163">
        <v>1803840</v>
      </c>
      <c r="AT22" s="163">
        <v>0</v>
      </c>
      <c r="AU22" s="163">
        <v>0</v>
      </c>
      <c r="AV22" s="163">
        <v>0</v>
      </c>
      <c r="AW22" s="163">
        <v>0</v>
      </c>
      <c r="AX22" s="163">
        <v>0</v>
      </c>
      <c r="AY22" s="163">
        <v>0</v>
      </c>
      <c r="AZ22" s="163">
        <v>0</v>
      </c>
      <c r="BA22" s="163">
        <v>0</v>
      </c>
      <c r="BB22" s="163" t="s">
        <v>194</v>
      </c>
      <c r="BC22" s="163" t="s">
        <v>194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1803840</v>
      </c>
      <c r="BM22" s="163" t="s">
        <v>315</v>
      </c>
      <c r="BN22" s="163">
        <v>0</v>
      </c>
      <c r="BO22" s="163" t="b">
        <v>0</v>
      </c>
      <c r="BP22" s="163">
        <v>0</v>
      </c>
      <c r="BQ22" s="165">
        <v>15</v>
      </c>
      <c r="BR22" s="164">
        <v>10000000</v>
      </c>
      <c r="BS22" s="170">
        <v>83</v>
      </c>
      <c r="BT22" s="164">
        <v>0</v>
      </c>
      <c r="BU22" s="227">
        <v>0</v>
      </c>
      <c r="BV22" s="164">
        <v>255</v>
      </c>
      <c r="BW22" s="171">
        <v>0</v>
      </c>
      <c r="BX22" s="171">
        <v>0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F22" s="163">
        <v>0</v>
      </c>
      <c r="CG22" s="163">
        <v>0</v>
      </c>
      <c r="CH22" s="163">
        <v>0</v>
      </c>
      <c r="CI22" s="163">
        <v>0</v>
      </c>
      <c r="CJ22" s="163">
        <v>0</v>
      </c>
      <c r="CK22" s="164">
        <v>0</v>
      </c>
      <c r="CL22" s="164">
        <v>0</v>
      </c>
    </row>
    <row r="23" spans="1:90" outlineLevel="3" x14ac:dyDescent="0.3">
      <c r="A23" s="134" t="s">
        <v>320</v>
      </c>
      <c r="B23" s="134" t="s">
        <v>558</v>
      </c>
      <c r="C23" s="134" t="s">
        <v>568</v>
      </c>
      <c r="D23" s="134" t="s">
        <v>569</v>
      </c>
      <c r="E23" s="134" t="s">
        <v>376</v>
      </c>
      <c r="F23" s="134" t="s">
        <v>194</v>
      </c>
      <c r="G23" s="134" t="s">
        <v>523</v>
      </c>
      <c r="H23" s="134" t="s">
        <v>312</v>
      </c>
      <c r="I23" s="160" t="s">
        <v>324</v>
      </c>
      <c r="J23" s="162">
        <v>1</v>
      </c>
      <c r="K23" s="162">
        <v>1</v>
      </c>
      <c r="L23" s="164">
        <v>0</v>
      </c>
      <c r="M23" s="164">
        <v>0</v>
      </c>
      <c r="N23" s="164">
        <v>0</v>
      </c>
      <c r="O23" s="163">
        <v>2300803</v>
      </c>
      <c r="P23" s="164">
        <v>2300803</v>
      </c>
      <c r="Q23" s="164">
        <v>0</v>
      </c>
      <c r="R23" s="166">
        <v>0</v>
      </c>
      <c r="S23" s="278">
        <v>1</v>
      </c>
      <c r="T23" s="166" t="s">
        <v>581</v>
      </c>
      <c r="U23" s="241">
        <v>2300803</v>
      </c>
      <c r="V23" s="163" t="s">
        <v>314</v>
      </c>
      <c r="W23" s="163">
        <v>0</v>
      </c>
      <c r="X23" s="163">
        <v>0</v>
      </c>
      <c r="Y23" s="163">
        <v>0</v>
      </c>
      <c r="Z23" s="163">
        <v>0</v>
      </c>
      <c r="AA23" s="163">
        <v>0</v>
      </c>
      <c r="AB23" s="163">
        <v>0</v>
      </c>
      <c r="AC23" s="241">
        <v>2300803</v>
      </c>
      <c r="AD23" s="163">
        <v>0</v>
      </c>
      <c r="AE23" s="163">
        <v>0</v>
      </c>
      <c r="AF23" s="163">
        <v>0</v>
      </c>
      <c r="AG23" s="163">
        <v>0</v>
      </c>
      <c r="AH23" s="242">
        <v>0</v>
      </c>
      <c r="AI23" s="163">
        <v>0</v>
      </c>
      <c r="AJ23" s="163">
        <v>0</v>
      </c>
      <c r="AK23" s="243">
        <v>0</v>
      </c>
      <c r="AL23" s="167">
        <v>0</v>
      </c>
      <c r="AM23" s="163">
        <v>2300803</v>
      </c>
      <c r="AN23" s="164">
        <v>0</v>
      </c>
      <c r="AO23" s="167">
        <v>0</v>
      </c>
      <c r="AP23" s="163">
        <v>2300803</v>
      </c>
      <c r="AQ23" s="168">
        <v>1</v>
      </c>
      <c r="AR23" s="163">
        <v>0</v>
      </c>
      <c r="AS23" s="163">
        <v>2300803</v>
      </c>
      <c r="AT23" s="163">
        <v>0</v>
      </c>
      <c r="AU23" s="163">
        <v>0</v>
      </c>
      <c r="AV23" s="163">
        <v>0</v>
      </c>
      <c r="AW23" s="163">
        <v>0</v>
      </c>
      <c r="AX23" s="163">
        <v>0</v>
      </c>
      <c r="AY23" s="163">
        <v>0</v>
      </c>
      <c r="AZ23" s="163">
        <v>0</v>
      </c>
      <c r="BA23" s="163">
        <v>0</v>
      </c>
      <c r="BB23" s="163" t="s">
        <v>194</v>
      </c>
      <c r="BC23" s="163" t="s">
        <v>194</v>
      </c>
      <c r="BD23" s="163">
        <v>0</v>
      </c>
      <c r="BE23" s="163">
        <v>0</v>
      </c>
      <c r="BF23" s="163">
        <v>0</v>
      </c>
      <c r="BG23" s="163">
        <v>0</v>
      </c>
      <c r="BH23" s="163">
        <v>0</v>
      </c>
      <c r="BI23" s="163">
        <v>0</v>
      </c>
      <c r="BJ23" s="163">
        <v>0</v>
      </c>
      <c r="BK23" s="163">
        <v>0</v>
      </c>
      <c r="BL23" s="163">
        <v>2300803</v>
      </c>
      <c r="BM23" s="163" t="s">
        <v>315</v>
      </c>
      <c r="BN23" s="163">
        <v>0</v>
      </c>
      <c r="BO23" s="163" t="b">
        <v>0</v>
      </c>
      <c r="BP23" s="163">
        <v>0</v>
      </c>
      <c r="BQ23" s="165">
        <v>15</v>
      </c>
      <c r="BR23" s="164">
        <v>0</v>
      </c>
      <c r="BS23" s="170">
        <v>83</v>
      </c>
      <c r="BT23" s="164">
        <v>0</v>
      </c>
      <c r="BU23" s="227">
        <v>0</v>
      </c>
      <c r="BV23" s="164">
        <v>256</v>
      </c>
      <c r="BW23" s="171">
        <v>0</v>
      </c>
      <c r="BX23" s="171">
        <v>0</v>
      </c>
      <c r="BY23" s="163">
        <v>0</v>
      </c>
      <c r="BZ23" s="163">
        <v>0</v>
      </c>
      <c r="CA23" s="163">
        <v>0</v>
      </c>
      <c r="CB23" s="163">
        <v>0</v>
      </c>
      <c r="CC23" s="163">
        <v>0</v>
      </c>
      <c r="CD23" s="163">
        <v>0</v>
      </c>
      <c r="CE23" s="163">
        <v>0</v>
      </c>
      <c r="CF23" s="163">
        <v>0</v>
      </c>
      <c r="CG23" s="163">
        <v>0</v>
      </c>
      <c r="CH23" s="163">
        <v>0</v>
      </c>
      <c r="CI23" s="163">
        <v>0</v>
      </c>
      <c r="CJ23" s="163">
        <v>0</v>
      </c>
      <c r="CK23" s="164">
        <v>0</v>
      </c>
      <c r="CL23" s="164">
        <v>0</v>
      </c>
    </row>
    <row r="24" spans="1:90" s="186" customFormat="1" ht="20.100000000000001" customHeight="1" outlineLevel="2" x14ac:dyDescent="0.3">
      <c r="A24" s="173" t="s">
        <v>325</v>
      </c>
      <c r="B24" s="173"/>
      <c r="C24" s="173"/>
      <c r="D24" s="173"/>
      <c r="E24" s="173"/>
      <c r="F24" s="173"/>
      <c r="G24" s="173"/>
      <c r="H24" s="173"/>
      <c r="I24" s="174"/>
      <c r="J24" s="176"/>
      <c r="K24" s="176"/>
      <c r="L24" s="178"/>
      <c r="M24" s="178"/>
      <c r="N24" s="178"/>
      <c r="O24" s="177"/>
      <c r="P24" s="178"/>
      <c r="Q24" s="178"/>
      <c r="R24" s="180">
        <v>0</v>
      </c>
      <c r="S24" s="279">
        <v>2</v>
      </c>
      <c r="T24" s="180">
        <v>0</v>
      </c>
      <c r="U24" s="244">
        <v>4104643</v>
      </c>
      <c r="V24" s="177"/>
      <c r="W24" s="177">
        <v>0</v>
      </c>
      <c r="X24" s="177">
        <v>0</v>
      </c>
      <c r="Y24" s="177">
        <v>0</v>
      </c>
      <c r="Z24" s="177">
        <v>0</v>
      </c>
      <c r="AA24" s="177">
        <v>0</v>
      </c>
      <c r="AB24" s="177">
        <v>0</v>
      </c>
      <c r="AC24" s="244">
        <v>4104643</v>
      </c>
      <c r="AD24" s="177">
        <v>0</v>
      </c>
      <c r="AE24" s="177">
        <v>0</v>
      </c>
      <c r="AF24" s="177">
        <v>0</v>
      </c>
      <c r="AG24" s="177">
        <v>0</v>
      </c>
      <c r="AH24" s="245">
        <v>0</v>
      </c>
      <c r="AI24" s="177">
        <v>0</v>
      </c>
      <c r="AJ24" s="177">
        <v>0</v>
      </c>
      <c r="AK24" s="246">
        <v>0</v>
      </c>
      <c r="AL24" s="181"/>
      <c r="AM24" s="177">
        <v>4104643</v>
      </c>
      <c r="AN24" s="178"/>
      <c r="AO24" s="181"/>
      <c r="AP24" s="177">
        <v>4104643</v>
      </c>
      <c r="AQ24" s="182"/>
      <c r="AR24" s="177"/>
      <c r="AS24" s="177"/>
      <c r="AT24" s="177">
        <v>0</v>
      </c>
      <c r="AU24" s="177">
        <v>0</v>
      </c>
      <c r="AV24" s="177">
        <v>0</v>
      </c>
      <c r="AW24" s="177">
        <v>0</v>
      </c>
      <c r="AX24" s="177">
        <v>0</v>
      </c>
      <c r="AY24" s="177">
        <v>0</v>
      </c>
      <c r="AZ24" s="177">
        <v>0</v>
      </c>
      <c r="BA24" s="177">
        <v>0</v>
      </c>
      <c r="BB24" s="177"/>
      <c r="BC24" s="177"/>
      <c r="BD24" s="177"/>
      <c r="BE24" s="177"/>
      <c r="BF24" s="177"/>
      <c r="BG24" s="177"/>
      <c r="BH24" s="177"/>
      <c r="BI24" s="177"/>
      <c r="BJ24" s="177"/>
      <c r="BK24" s="177"/>
      <c r="BL24" s="177"/>
      <c r="BM24" s="177"/>
      <c r="BN24" s="177"/>
      <c r="BO24" s="177"/>
      <c r="BP24" s="177"/>
      <c r="BQ24" s="179"/>
      <c r="BR24" s="178"/>
      <c r="BS24" s="184"/>
      <c r="BT24" s="178"/>
      <c r="BU24" s="220"/>
      <c r="BV24" s="178"/>
      <c r="BW24" s="185"/>
      <c r="BX24" s="185"/>
      <c r="BY24" s="177"/>
      <c r="BZ24" s="177"/>
      <c r="CA24" s="177">
        <v>0</v>
      </c>
      <c r="CB24" s="177"/>
      <c r="CC24" s="177"/>
      <c r="CD24" s="177"/>
      <c r="CE24" s="177"/>
      <c r="CF24" s="177"/>
      <c r="CG24" s="177"/>
      <c r="CH24" s="177"/>
      <c r="CI24" s="177"/>
      <c r="CJ24" s="177"/>
      <c r="CK24" s="178"/>
      <c r="CL24" s="178"/>
    </row>
    <row r="25" spans="1:90" s="197" customFormat="1" ht="30" customHeight="1" outlineLevel="1" x14ac:dyDescent="0.3">
      <c r="A25" s="173"/>
      <c r="B25" s="173" t="s">
        <v>559</v>
      </c>
      <c r="C25" s="173"/>
      <c r="D25" s="173"/>
      <c r="E25" s="173"/>
      <c r="F25" s="173"/>
      <c r="G25" s="173"/>
      <c r="H25" s="173"/>
      <c r="I25" s="174"/>
      <c r="J25" s="187"/>
      <c r="K25" s="187"/>
      <c r="L25" s="189"/>
      <c r="M25" s="189"/>
      <c r="N25" s="189"/>
      <c r="O25" s="188"/>
      <c r="P25" s="189"/>
      <c r="Q25" s="189"/>
      <c r="R25" s="191">
        <v>0</v>
      </c>
      <c r="S25" s="280">
        <v>2</v>
      </c>
      <c r="T25" s="191">
        <v>0</v>
      </c>
      <c r="U25" s="247">
        <v>4104643</v>
      </c>
      <c r="V25" s="188"/>
      <c r="W25" s="188">
        <v>0</v>
      </c>
      <c r="X25" s="188">
        <v>0</v>
      </c>
      <c r="Y25" s="188">
        <v>0</v>
      </c>
      <c r="Z25" s="188">
        <v>0</v>
      </c>
      <c r="AA25" s="188">
        <v>0</v>
      </c>
      <c r="AB25" s="188">
        <v>0</v>
      </c>
      <c r="AC25" s="247">
        <v>4104643</v>
      </c>
      <c r="AD25" s="188">
        <v>0</v>
      </c>
      <c r="AE25" s="188">
        <v>0</v>
      </c>
      <c r="AF25" s="188">
        <v>0</v>
      </c>
      <c r="AG25" s="188">
        <v>0</v>
      </c>
      <c r="AH25" s="248">
        <v>0</v>
      </c>
      <c r="AI25" s="188">
        <v>0</v>
      </c>
      <c r="AJ25" s="188">
        <v>0</v>
      </c>
      <c r="AK25" s="249">
        <v>0</v>
      </c>
      <c r="AL25" s="192"/>
      <c r="AM25" s="188">
        <v>4104643</v>
      </c>
      <c r="AN25" s="189"/>
      <c r="AO25" s="192"/>
      <c r="AP25" s="188">
        <v>4104643</v>
      </c>
      <c r="AQ25" s="193"/>
      <c r="AR25" s="188"/>
      <c r="AS25" s="188"/>
      <c r="AT25" s="188">
        <v>0</v>
      </c>
      <c r="AU25" s="188">
        <v>0</v>
      </c>
      <c r="AV25" s="188">
        <v>0</v>
      </c>
      <c r="AW25" s="188">
        <v>0</v>
      </c>
      <c r="AX25" s="188">
        <v>0</v>
      </c>
      <c r="AY25" s="188">
        <v>0</v>
      </c>
      <c r="AZ25" s="188">
        <v>0</v>
      </c>
      <c r="BA25" s="188">
        <v>0</v>
      </c>
      <c r="BB25" s="188"/>
      <c r="BC25" s="188"/>
      <c r="BD25" s="188"/>
      <c r="BE25" s="188"/>
      <c r="BF25" s="188"/>
      <c r="BG25" s="188"/>
      <c r="BH25" s="188"/>
      <c r="BI25" s="188"/>
      <c r="BJ25" s="188"/>
      <c r="BK25" s="188"/>
      <c r="BL25" s="188"/>
      <c r="BM25" s="188"/>
      <c r="BN25" s="188"/>
      <c r="BO25" s="188"/>
      <c r="BP25" s="188"/>
      <c r="BQ25" s="190"/>
      <c r="BR25" s="189"/>
      <c r="BS25" s="195"/>
      <c r="BT25" s="189"/>
      <c r="BU25" s="221"/>
      <c r="BV25" s="189"/>
      <c r="BW25" s="196"/>
      <c r="BX25" s="196"/>
      <c r="BY25" s="188"/>
      <c r="BZ25" s="188"/>
      <c r="CA25" s="188">
        <v>0</v>
      </c>
      <c r="CB25" s="188"/>
      <c r="CC25" s="188"/>
      <c r="CD25" s="188"/>
      <c r="CE25" s="188"/>
      <c r="CF25" s="188"/>
      <c r="CG25" s="188"/>
      <c r="CH25" s="188"/>
      <c r="CI25" s="188"/>
      <c r="CJ25" s="188"/>
      <c r="CK25" s="189"/>
      <c r="CL25" s="189"/>
    </row>
    <row r="26" spans="1:90" outlineLevel="3" x14ac:dyDescent="0.3">
      <c r="A26" s="134" t="s">
        <v>326</v>
      </c>
      <c r="B26" s="134" t="s">
        <v>560</v>
      </c>
      <c r="C26" s="134" t="s">
        <v>570</v>
      </c>
      <c r="D26" s="134" t="s">
        <v>571</v>
      </c>
      <c r="E26" s="134" t="s">
        <v>201</v>
      </c>
      <c r="F26" s="134" t="s">
        <v>344</v>
      </c>
      <c r="G26" s="134" t="s">
        <v>546</v>
      </c>
      <c r="H26" s="134" t="s">
        <v>317</v>
      </c>
      <c r="I26" s="160" t="s">
        <v>313</v>
      </c>
      <c r="J26" s="162">
        <v>324000</v>
      </c>
      <c r="K26" s="162">
        <v>324000</v>
      </c>
      <c r="L26" s="164">
        <v>0</v>
      </c>
      <c r="M26" s="164">
        <v>0</v>
      </c>
      <c r="N26" s="164">
        <v>1</v>
      </c>
      <c r="O26" s="163">
        <v>5</v>
      </c>
      <c r="P26" s="165">
        <v>5.29</v>
      </c>
      <c r="Q26" s="165">
        <v>-0.28999999999999998</v>
      </c>
      <c r="R26" s="166">
        <v>0</v>
      </c>
      <c r="S26" s="275">
        <v>1</v>
      </c>
      <c r="T26" s="166" t="s">
        <v>581</v>
      </c>
      <c r="U26" s="241">
        <v>1620000</v>
      </c>
      <c r="V26" s="163" t="s">
        <v>314</v>
      </c>
      <c r="W26" s="163">
        <v>0</v>
      </c>
      <c r="X26" s="163">
        <v>0</v>
      </c>
      <c r="Y26" s="163">
        <v>0</v>
      </c>
      <c r="Z26" s="163">
        <v>0</v>
      </c>
      <c r="AA26" s="163">
        <v>0</v>
      </c>
      <c r="AB26" s="163">
        <v>0</v>
      </c>
      <c r="AC26" s="241">
        <v>1713960</v>
      </c>
      <c r="AD26" s="163">
        <v>-93960</v>
      </c>
      <c r="AE26" s="163">
        <v>0</v>
      </c>
      <c r="AF26" s="163">
        <v>93960</v>
      </c>
      <c r="AG26" s="163">
        <v>0</v>
      </c>
      <c r="AH26" s="242">
        <v>-3784320</v>
      </c>
      <c r="AI26" s="163">
        <v>0</v>
      </c>
      <c r="AJ26" s="163">
        <v>3784320</v>
      </c>
      <c r="AK26" s="243">
        <v>0</v>
      </c>
      <c r="AL26" s="167">
        <v>0</v>
      </c>
      <c r="AM26" s="163">
        <v>28000652.0625</v>
      </c>
      <c r="AN26" s="164">
        <v>0</v>
      </c>
      <c r="AO26" s="167">
        <v>0</v>
      </c>
      <c r="AP26" s="163">
        <v>79135746</v>
      </c>
      <c r="AQ26" s="168">
        <v>1</v>
      </c>
      <c r="AR26" s="163">
        <v>1620000</v>
      </c>
      <c r="AS26" s="163">
        <v>5</v>
      </c>
      <c r="AT26" s="163">
        <v>-181440</v>
      </c>
      <c r="AU26" s="163">
        <v>0</v>
      </c>
      <c r="AV26" s="163">
        <v>181440</v>
      </c>
      <c r="AW26" s="163">
        <v>0</v>
      </c>
      <c r="AX26" s="163">
        <v>-3812986.4224999985</v>
      </c>
      <c r="AY26" s="163">
        <v>0</v>
      </c>
      <c r="AZ26" s="163">
        <v>3812986.4224999985</v>
      </c>
      <c r="BA26" s="163">
        <v>0</v>
      </c>
      <c r="BB26" s="163">
        <v>5</v>
      </c>
      <c r="BC26" s="163">
        <v>5.29</v>
      </c>
      <c r="BD26" s="163">
        <v>-87480</v>
      </c>
      <c r="BE26" s="163">
        <v>0</v>
      </c>
      <c r="BF26" s="163">
        <v>87480</v>
      </c>
      <c r="BG26" s="163">
        <v>0</v>
      </c>
      <c r="BH26" s="163">
        <v>-3719026.4224999985</v>
      </c>
      <c r="BI26" s="163">
        <v>0</v>
      </c>
      <c r="BJ26" s="163">
        <v>3719026.4224999985</v>
      </c>
      <c r="BK26" s="163">
        <v>0</v>
      </c>
      <c r="BL26" s="163">
        <v>79135746</v>
      </c>
      <c r="BM26" s="163" t="s">
        <v>318</v>
      </c>
      <c r="BN26" s="163">
        <v>0</v>
      </c>
      <c r="BO26" s="163" t="b">
        <v>0</v>
      </c>
      <c r="BP26" s="163">
        <v>3690360</v>
      </c>
      <c r="BQ26" s="165">
        <v>324000</v>
      </c>
      <c r="BR26" s="164">
        <v>5000000</v>
      </c>
      <c r="BS26" s="170">
        <v>76</v>
      </c>
      <c r="BT26" s="164">
        <v>-93960</v>
      </c>
      <c r="BU26" s="227">
        <v>0</v>
      </c>
      <c r="BV26" s="164">
        <v>39</v>
      </c>
      <c r="BW26" s="171">
        <v>5</v>
      </c>
      <c r="BX26" s="171">
        <v>0</v>
      </c>
      <c r="BY26" s="163">
        <v>0</v>
      </c>
      <c r="BZ26" s="163">
        <v>0</v>
      </c>
      <c r="CA26" s="163">
        <v>0</v>
      </c>
      <c r="CB26" s="163">
        <v>-22567665.640000001</v>
      </c>
      <c r="CC26" s="163">
        <v>0</v>
      </c>
      <c r="CD26" s="163">
        <v>0</v>
      </c>
      <c r="CE26" s="163">
        <v>0</v>
      </c>
      <c r="CF26" s="163">
        <v>0</v>
      </c>
      <c r="CG26" s="163">
        <v>-3690360</v>
      </c>
      <c r="CH26" s="163">
        <v>0</v>
      </c>
      <c r="CI26" s="163">
        <v>3690360</v>
      </c>
      <c r="CJ26" s="163">
        <v>0</v>
      </c>
      <c r="CK26" s="164">
        <v>0</v>
      </c>
      <c r="CL26" s="164">
        <v>0</v>
      </c>
    </row>
    <row r="27" spans="1:90" s="186" customFormat="1" ht="20.100000000000001" customHeight="1" outlineLevel="2" x14ac:dyDescent="0.3">
      <c r="A27" s="173" t="s">
        <v>327</v>
      </c>
      <c r="B27" s="173"/>
      <c r="C27" s="173"/>
      <c r="D27" s="173"/>
      <c r="E27" s="173"/>
      <c r="F27" s="173"/>
      <c r="G27" s="173"/>
      <c r="H27" s="173"/>
      <c r="I27" s="174"/>
      <c r="J27" s="176"/>
      <c r="K27" s="176"/>
      <c r="L27" s="178"/>
      <c r="M27" s="178"/>
      <c r="N27" s="178"/>
      <c r="O27" s="177"/>
      <c r="P27" s="179"/>
      <c r="Q27" s="179"/>
      <c r="R27" s="180">
        <v>0</v>
      </c>
      <c r="S27" s="276">
        <v>1</v>
      </c>
      <c r="T27" s="180">
        <v>0</v>
      </c>
      <c r="U27" s="244">
        <v>1620000</v>
      </c>
      <c r="V27" s="177"/>
      <c r="W27" s="177">
        <v>0</v>
      </c>
      <c r="X27" s="177">
        <v>0</v>
      </c>
      <c r="Y27" s="177">
        <v>0</v>
      </c>
      <c r="Z27" s="177">
        <v>0</v>
      </c>
      <c r="AA27" s="177">
        <v>0</v>
      </c>
      <c r="AB27" s="177">
        <v>0</v>
      </c>
      <c r="AC27" s="244">
        <v>1713960</v>
      </c>
      <c r="AD27" s="177">
        <v>-93960</v>
      </c>
      <c r="AE27" s="177">
        <v>0</v>
      </c>
      <c r="AF27" s="177">
        <v>93960</v>
      </c>
      <c r="AG27" s="177">
        <v>0</v>
      </c>
      <c r="AH27" s="245">
        <v>-3784320</v>
      </c>
      <c r="AI27" s="177">
        <v>0</v>
      </c>
      <c r="AJ27" s="177">
        <v>3784320</v>
      </c>
      <c r="AK27" s="246">
        <v>0</v>
      </c>
      <c r="AL27" s="181"/>
      <c r="AM27" s="177">
        <v>28000652.0625</v>
      </c>
      <c r="AN27" s="178"/>
      <c r="AO27" s="181"/>
      <c r="AP27" s="177">
        <v>79135746</v>
      </c>
      <c r="AQ27" s="182"/>
      <c r="AR27" s="177"/>
      <c r="AS27" s="177"/>
      <c r="AT27" s="177">
        <v>-181440</v>
      </c>
      <c r="AU27" s="177">
        <v>0</v>
      </c>
      <c r="AV27" s="177">
        <v>181440</v>
      </c>
      <c r="AW27" s="177">
        <v>0</v>
      </c>
      <c r="AX27" s="177">
        <v>-3812986.4224999985</v>
      </c>
      <c r="AY27" s="177">
        <v>0</v>
      </c>
      <c r="AZ27" s="177">
        <v>3812986.4224999985</v>
      </c>
      <c r="BA27" s="177">
        <v>0</v>
      </c>
      <c r="BB27" s="177"/>
      <c r="BC27" s="177"/>
      <c r="BD27" s="177"/>
      <c r="BE27" s="177"/>
      <c r="BF27" s="177"/>
      <c r="BG27" s="177"/>
      <c r="BH27" s="177"/>
      <c r="BI27" s="177"/>
      <c r="BJ27" s="177"/>
      <c r="BK27" s="177"/>
      <c r="BL27" s="177"/>
      <c r="BM27" s="177"/>
      <c r="BN27" s="177"/>
      <c r="BO27" s="177"/>
      <c r="BP27" s="177"/>
      <c r="BQ27" s="179"/>
      <c r="BR27" s="178"/>
      <c r="BS27" s="184"/>
      <c r="BT27" s="178"/>
      <c r="BU27" s="220"/>
      <c r="BV27" s="178"/>
      <c r="BW27" s="185"/>
      <c r="BX27" s="185"/>
      <c r="BY27" s="177"/>
      <c r="BZ27" s="177"/>
      <c r="CA27" s="177">
        <v>0</v>
      </c>
      <c r="CB27" s="177"/>
      <c r="CC27" s="177"/>
      <c r="CD27" s="177"/>
      <c r="CE27" s="177"/>
      <c r="CF27" s="177"/>
      <c r="CG27" s="177"/>
      <c r="CH27" s="177"/>
      <c r="CI27" s="177"/>
      <c r="CJ27" s="177"/>
      <c r="CK27" s="178"/>
      <c r="CL27" s="178"/>
    </row>
    <row r="28" spans="1:90" s="197" customFormat="1" ht="30" customHeight="1" outlineLevel="1" x14ac:dyDescent="0.3">
      <c r="A28" s="173"/>
      <c r="B28" s="173" t="s">
        <v>561</v>
      </c>
      <c r="C28" s="173"/>
      <c r="D28" s="173"/>
      <c r="E28" s="173"/>
      <c r="F28" s="173"/>
      <c r="G28" s="173"/>
      <c r="H28" s="173"/>
      <c r="I28" s="174"/>
      <c r="J28" s="187"/>
      <c r="K28" s="187"/>
      <c r="L28" s="189"/>
      <c r="M28" s="189"/>
      <c r="N28" s="189"/>
      <c r="O28" s="188"/>
      <c r="P28" s="190"/>
      <c r="Q28" s="190"/>
      <c r="R28" s="191">
        <v>0</v>
      </c>
      <c r="S28" s="277">
        <v>1</v>
      </c>
      <c r="T28" s="191">
        <v>0</v>
      </c>
      <c r="U28" s="247">
        <v>1620000</v>
      </c>
      <c r="V28" s="188"/>
      <c r="W28" s="188">
        <v>0</v>
      </c>
      <c r="X28" s="188">
        <v>0</v>
      </c>
      <c r="Y28" s="188">
        <v>0</v>
      </c>
      <c r="Z28" s="188">
        <v>0</v>
      </c>
      <c r="AA28" s="188">
        <v>0</v>
      </c>
      <c r="AB28" s="188">
        <v>0</v>
      </c>
      <c r="AC28" s="247">
        <v>1713960</v>
      </c>
      <c r="AD28" s="188">
        <v>-93960</v>
      </c>
      <c r="AE28" s="188">
        <v>0</v>
      </c>
      <c r="AF28" s="188">
        <v>93960</v>
      </c>
      <c r="AG28" s="188">
        <v>0</v>
      </c>
      <c r="AH28" s="248">
        <v>-3784320</v>
      </c>
      <c r="AI28" s="188">
        <v>0</v>
      </c>
      <c r="AJ28" s="188">
        <v>3784320</v>
      </c>
      <c r="AK28" s="249">
        <v>0</v>
      </c>
      <c r="AL28" s="192"/>
      <c r="AM28" s="188">
        <v>28000652.0625</v>
      </c>
      <c r="AN28" s="189"/>
      <c r="AO28" s="192"/>
      <c r="AP28" s="188">
        <v>79135746</v>
      </c>
      <c r="AQ28" s="193"/>
      <c r="AR28" s="188"/>
      <c r="AS28" s="188"/>
      <c r="AT28" s="188">
        <v>-181440</v>
      </c>
      <c r="AU28" s="188">
        <v>0</v>
      </c>
      <c r="AV28" s="188">
        <v>181440</v>
      </c>
      <c r="AW28" s="188">
        <v>0</v>
      </c>
      <c r="AX28" s="188">
        <v>-3812986.4224999985</v>
      </c>
      <c r="AY28" s="188">
        <v>0</v>
      </c>
      <c r="AZ28" s="188">
        <v>3812986.4224999985</v>
      </c>
      <c r="BA28" s="188">
        <v>0</v>
      </c>
      <c r="BB28" s="188"/>
      <c r="BC28" s="188"/>
      <c r="BD28" s="188"/>
      <c r="BE28" s="188"/>
      <c r="BF28" s="188"/>
      <c r="BG28" s="188"/>
      <c r="BH28" s="188"/>
      <c r="BI28" s="188"/>
      <c r="BJ28" s="188"/>
      <c r="BK28" s="188"/>
      <c r="BL28" s="188"/>
      <c r="BM28" s="188"/>
      <c r="BN28" s="188"/>
      <c r="BO28" s="188"/>
      <c r="BP28" s="188"/>
      <c r="BQ28" s="190"/>
      <c r="BR28" s="189"/>
      <c r="BS28" s="195"/>
      <c r="BT28" s="189"/>
      <c r="BU28" s="221"/>
      <c r="BV28" s="189"/>
      <c r="BW28" s="196"/>
      <c r="BX28" s="196"/>
      <c r="BY28" s="188"/>
      <c r="BZ28" s="188"/>
      <c r="CA28" s="188">
        <v>0</v>
      </c>
      <c r="CB28" s="188"/>
      <c r="CC28" s="188"/>
      <c r="CD28" s="188"/>
      <c r="CE28" s="188"/>
      <c r="CF28" s="188"/>
      <c r="CG28" s="188"/>
      <c r="CH28" s="188"/>
      <c r="CI28" s="188"/>
      <c r="CJ28" s="188"/>
      <c r="CK28" s="189"/>
      <c r="CL28" s="189"/>
    </row>
    <row r="29" spans="1:90" outlineLevel="3" x14ac:dyDescent="0.3">
      <c r="A29" s="134" t="s">
        <v>346</v>
      </c>
      <c r="B29" s="134" t="s">
        <v>345</v>
      </c>
      <c r="C29" s="134" t="s">
        <v>347</v>
      </c>
      <c r="D29" s="134" t="s">
        <v>348</v>
      </c>
      <c r="E29" s="134" t="s">
        <v>349</v>
      </c>
      <c r="F29" s="134" t="s">
        <v>194</v>
      </c>
      <c r="G29" s="134" t="s">
        <v>335</v>
      </c>
      <c r="H29" s="134" t="s">
        <v>312</v>
      </c>
      <c r="I29" s="160" t="s">
        <v>324</v>
      </c>
      <c r="J29" s="162">
        <v>1</v>
      </c>
      <c r="K29" s="162">
        <v>1</v>
      </c>
      <c r="L29" s="164">
        <v>0</v>
      </c>
      <c r="M29" s="164">
        <v>0</v>
      </c>
      <c r="N29" s="164">
        <v>0</v>
      </c>
      <c r="O29" s="163">
        <v>831730.78860000009</v>
      </c>
      <c r="P29" s="164">
        <v>831730.78860000009</v>
      </c>
      <c r="Q29" s="164">
        <v>0</v>
      </c>
      <c r="R29" s="166">
        <v>0</v>
      </c>
      <c r="S29" s="275">
        <v>1</v>
      </c>
      <c r="T29" s="166" t="s">
        <v>581</v>
      </c>
      <c r="U29" s="241">
        <v>831730.78860000009</v>
      </c>
      <c r="V29" s="163" t="s">
        <v>314</v>
      </c>
      <c r="W29" s="163">
        <v>0</v>
      </c>
      <c r="X29" s="163">
        <v>0</v>
      </c>
      <c r="Y29" s="163">
        <v>0</v>
      </c>
      <c r="Z29" s="163">
        <v>0</v>
      </c>
      <c r="AA29" s="163">
        <v>0</v>
      </c>
      <c r="AB29" s="163">
        <v>0</v>
      </c>
      <c r="AC29" s="241">
        <v>831730.78860000009</v>
      </c>
      <c r="AD29" s="163">
        <v>0</v>
      </c>
      <c r="AE29" s="163">
        <v>0</v>
      </c>
      <c r="AF29" s="163">
        <v>0</v>
      </c>
      <c r="AG29" s="163">
        <v>0</v>
      </c>
      <c r="AH29" s="242">
        <v>0</v>
      </c>
      <c r="AI29" s="163">
        <v>0</v>
      </c>
      <c r="AJ29" s="163">
        <v>0</v>
      </c>
      <c r="AK29" s="243">
        <v>0</v>
      </c>
      <c r="AL29" s="167">
        <v>0</v>
      </c>
      <c r="AM29" s="163">
        <v>2807236.89</v>
      </c>
      <c r="AN29" s="164">
        <v>0</v>
      </c>
      <c r="AO29" s="167">
        <v>0</v>
      </c>
      <c r="AP29" s="163">
        <v>1136410.0286000001</v>
      </c>
      <c r="AQ29" s="168">
        <v>1</v>
      </c>
      <c r="AR29" s="163">
        <v>0</v>
      </c>
      <c r="AS29" s="163">
        <v>831730.78860000009</v>
      </c>
      <c r="AT29" s="163">
        <v>0</v>
      </c>
      <c r="AU29" s="163">
        <v>0</v>
      </c>
      <c r="AV29" s="163">
        <v>0</v>
      </c>
      <c r="AW29" s="163">
        <v>0</v>
      </c>
      <c r="AX29" s="163">
        <v>-1906021.4796</v>
      </c>
      <c r="AY29" s="163">
        <v>0</v>
      </c>
      <c r="AZ29" s="163">
        <v>1906021.4796</v>
      </c>
      <c r="BA29" s="163">
        <v>0</v>
      </c>
      <c r="BB29" s="163" t="s">
        <v>194</v>
      </c>
      <c r="BC29" s="163" t="s">
        <v>194</v>
      </c>
      <c r="BD29" s="163">
        <v>0</v>
      </c>
      <c r="BE29" s="163">
        <v>0</v>
      </c>
      <c r="BF29" s="163">
        <v>0</v>
      </c>
      <c r="BG29" s="163">
        <v>0</v>
      </c>
      <c r="BH29" s="163">
        <v>-1906021.4796</v>
      </c>
      <c r="BI29" s="163">
        <v>0</v>
      </c>
      <c r="BJ29" s="163">
        <v>1906021.4796</v>
      </c>
      <c r="BK29" s="163">
        <v>0</v>
      </c>
      <c r="BL29" s="163">
        <v>1136410.0286000001</v>
      </c>
      <c r="BM29" s="163" t="s">
        <v>315</v>
      </c>
      <c r="BN29" s="163">
        <v>0</v>
      </c>
      <c r="BO29" s="163" t="b">
        <v>0</v>
      </c>
      <c r="BP29" s="163">
        <v>0</v>
      </c>
      <c r="BQ29" s="165">
        <v>0</v>
      </c>
      <c r="BR29" s="164">
        <v>0</v>
      </c>
      <c r="BS29" s="170">
        <v>39</v>
      </c>
      <c r="BT29" s="164">
        <v>0</v>
      </c>
      <c r="BU29" s="227">
        <v>0</v>
      </c>
      <c r="BV29" s="164">
        <v>302</v>
      </c>
      <c r="BW29" s="171">
        <v>0</v>
      </c>
      <c r="BX29" s="171">
        <v>0</v>
      </c>
      <c r="BY29" s="163">
        <v>0</v>
      </c>
      <c r="BZ29" s="163">
        <v>-304679.24</v>
      </c>
      <c r="CA29" s="163">
        <v>-304679.24</v>
      </c>
      <c r="CB29" s="163">
        <v>-69484.621799999964</v>
      </c>
      <c r="CC29" s="163">
        <v>0</v>
      </c>
      <c r="CD29" s="163">
        <v>0</v>
      </c>
      <c r="CE29" s="163">
        <v>0</v>
      </c>
      <c r="CF29" s="163">
        <v>0</v>
      </c>
      <c r="CG29" s="163">
        <v>0</v>
      </c>
      <c r="CH29" s="163">
        <v>0</v>
      </c>
      <c r="CI29" s="163">
        <v>0</v>
      </c>
      <c r="CJ29" s="163">
        <v>0</v>
      </c>
      <c r="CK29" s="164">
        <v>0</v>
      </c>
      <c r="CL29" s="164">
        <v>0</v>
      </c>
    </row>
    <row r="30" spans="1:90" s="186" customFormat="1" ht="20.100000000000001" customHeight="1" outlineLevel="2" x14ac:dyDescent="0.3">
      <c r="A30" s="173" t="s">
        <v>350</v>
      </c>
      <c r="B30" s="173"/>
      <c r="C30" s="173"/>
      <c r="D30" s="173"/>
      <c r="E30" s="173"/>
      <c r="F30" s="173"/>
      <c r="G30" s="173"/>
      <c r="H30" s="173"/>
      <c r="I30" s="174"/>
      <c r="J30" s="176"/>
      <c r="K30" s="176"/>
      <c r="L30" s="178"/>
      <c r="M30" s="178"/>
      <c r="N30" s="178"/>
      <c r="O30" s="177"/>
      <c r="P30" s="178"/>
      <c r="Q30" s="178"/>
      <c r="R30" s="180">
        <v>0</v>
      </c>
      <c r="S30" s="276">
        <v>1</v>
      </c>
      <c r="T30" s="180">
        <v>0</v>
      </c>
      <c r="U30" s="244">
        <v>831730.78860000009</v>
      </c>
      <c r="V30" s="177"/>
      <c r="W30" s="177">
        <v>0</v>
      </c>
      <c r="X30" s="177">
        <v>0</v>
      </c>
      <c r="Y30" s="177">
        <v>0</v>
      </c>
      <c r="Z30" s="177">
        <v>0</v>
      </c>
      <c r="AA30" s="177">
        <v>0</v>
      </c>
      <c r="AB30" s="177">
        <v>0</v>
      </c>
      <c r="AC30" s="244">
        <v>831730.78860000009</v>
      </c>
      <c r="AD30" s="177">
        <v>0</v>
      </c>
      <c r="AE30" s="177">
        <v>0</v>
      </c>
      <c r="AF30" s="177">
        <v>0</v>
      </c>
      <c r="AG30" s="177">
        <v>0</v>
      </c>
      <c r="AH30" s="245">
        <v>0</v>
      </c>
      <c r="AI30" s="177">
        <v>0</v>
      </c>
      <c r="AJ30" s="177">
        <v>0</v>
      </c>
      <c r="AK30" s="246">
        <v>0</v>
      </c>
      <c r="AL30" s="181"/>
      <c r="AM30" s="177">
        <v>2807236.89</v>
      </c>
      <c r="AN30" s="178"/>
      <c r="AO30" s="181"/>
      <c r="AP30" s="177">
        <v>1136410.0286000001</v>
      </c>
      <c r="AQ30" s="182"/>
      <c r="AR30" s="177"/>
      <c r="AS30" s="177"/>
      <c r="AT30" s="177">
        <v>0</v>
      </c>
      <c r="AU30" s="177">
        <v>0</v>
      </c>
      <c r="AV30" s="177">
        <v>0</v>
      </c>
      <c r="AW30" s="177">
        <v>0</v>
      </c>
      <c r="AX30" s="177">
        <v>-1906021.4796</v>
      </c>
      <c r="AY30" s="177">
        <v>0</v>
      </c>
      <c r="AZ30" s="177">
        <v>1906021.4796</v>
      </c>
      <c r="BA30" s="177">
        <v>0</v>
      </c>
      <c r="BB30" s="177"/>
      <c r="BC30" s="177"/>
      <c r="BD30" s="177"/>
      <c r="BE30" s="177"/>
      <c r="BF30" s="177"/>
      <c r="BG30" s="177"/>
      <c r="BH30" s="177"/>
      <c r="BI30" s="177"/>
      <c r="BJ30" s="177"/>
      <c r="BK30" s="177"/>
      <c r="BL30" s="177"/>
      <c r="BM30" s="177"/>
      <c r="BN30" s="177"/>
      <c r="BO30" s="177"/>
      <c r="BP30" s="177"/>
      <c r="BQ30" s="179"/>
      <c r="BR30" s="178"/>
      <c r="BS30" s="184"/>
      <c r="BT30" s="178"/>
      <c r="BU30" s="220"/>
      <c r="BV30" s="178"/>
      <c r="BW30" s="185"/>
      <c r="BX30" s="185"/>
      <c r="BY30" s="177"/>
      <c r="BZ30" s="177"/>
      <c r="CA30" s="177">
        <v>-304679.24</v>
      </c>
      <c r="CB30" s="177"/>
      <c r="CC30" s="177"/>
      <c r="CD30" s="177"/>
      <c r="CE30" s="177"/>
      <c r="CF30" s="177"/>
      <c r="CG30" s="177"/>
      <c r="CH30" s="177"/>
      <c r="CI30" s="177"/>
      <c r="CJ30" s="177"/>
      <c r="CK30" s="178"/>
      <c r="CL30" s="178"/>
    </row>
    <row r="31" spans="1:90" outlineLevel="3" x14ac:dyDescent="0.3">
      <c r="A31" s="134" t="s">
        <v>351</v>
      </c>
      <c r="B31" s="134" t="s">
        <v>345</v>
      </c>
      <c r="C31" s="134" t="s">
        <v>352</v>
      </c>
      <c r="D31" s="134" t="s">
        <v>353</v>
      </c>
      <c r="E31" s="134" t="s">
        <v>432</v>
      </c>
      <c r="F31" s="134" t="s">
        <v>433</v>
      </c>
      <c r="G31" s="198" t="s">
        <v>335</v>
      </c>
      <c r="H31" s="198" t="s">
        <v>317</v>
      </c>
      <c r="I31" s="160" t="s">
        <v>313</v>
      </c>
      <c r="J31" s="162">
        <v>0</v>
      </c>
      <c r="K31" s="162">
        <v>0</v>
      </c>
      <c r="L31" s="164">
        <v>0</v>
      </c>
      <c r="M31" s="164">
        <v>0</v>
      </c>
      <c r="N31" s="164">
        <v>1</v>
      </c>
      <c r="O31" s="163">
        <v>5.4</v>
      </c>
      <c r="P31" s="165">
        <v>5.25</v>
      </c>
      <c r="Q31" s="165">
        <v>0.15</v>
      </c>
      <c r="R31" s="166">
        <v>0</v>
      </c>
      <c r="S31" s="275">
        <v>1</v>
      </c>
      <c r="T31" s="166" t="s">
        <v>581</v>
      </c>
      <c r="U31" s="241">
        <v>0</v>
      </c>
      <c r="V31" s="163" t="s">
        <v>314</v>
      </c>
      <c r="W31" s="163">
        <v>0</v>
      </c>
      <c r="X31" s="163">
        <v>0</v>
      </c>
      <c r="Y31" s="163">
        <v>0</v>
      </c>
      <c r="Z31" s="163">
        <v>0</v>
      </c>
      <c r="AA31" s="163">
        <v>0</v>
      </c>
      <c r="AB31" s="163">
        <v>0</v>
      </c>
      <c r="AC31" s="241">
        <v>0</v>
      </c>
      <c r="AD31" s="163">
        <v>0</v>
      </c>
      <c r="AE31" s="163">
        <v>0</v>
      </c>
      <c r="AF31" s="163">
        <v>0</v>
      </c>
      <c r="AG31" s="163">
        <v>0</v>
      </c>
      <c r="AH31" s="242">
        <v>0</v>
      </c>
      <c r="AI31" s="163">
        <v>0</v>
      </c>
      <c r="AJ31" s="163">
        <v>0</v>
      </c>
      <c r="AK31" s="243">
        <v>0</v>
      </c>
      <c r="AL31" s="167">
        <v>0</v>
      </c>
      <c r="AM31" s="163">
        <v>48045.604950000037</v>
      </c>
      <c r="AN31" s="167">
        <v>0</v>
      </c>
      <c r="AO31" s="167">
        <v>0</v>
      </c>
      <c r="AP31" s="163">
        <v>243059.55643199998</v>
      </c>
      <c r="AQ31" s="168">
        <v>1</v>
      </c>
      <c r="AR31" s="163">
        <v>0</v>
      </c>
      <c r="AS31" s="163">
        <v>5.4</v>
      </c>
      <c r="AT31" s="163">
        <v>0</v>
      </c>
      <c r="AU31" s="163">
        <v>0</v>
      </c>
      <c r="AV31" s="163">
        <v>0</v>
      </c>
      <c r="AW31" s="163">
        <v>0</v>
      </c>
      <c r="AX31" s="163">
        <v>758.11364999996295</v>
      </c>
      <c r="AY31" s="163">
        <v>0</v>
      </c>
      <c r="AZ31" s="163">
        <v>-758.11364999996295</v>
      </c>
      <c r="BA31" s="163">
        <v>0</v>
      </c>
      <c r="BB31" s="163">
        <v>5.4</v>
      </c>
      <c r="BC31" s="163">
        <v>5.25</v>
      </c>
      <c r="BD31" s="163">
        <v>0</v>
      </c>
      <c r="BE31" s="163">
        <v>0</v>
      </c>
      <c r="BF31" s="163">
        <v>0</v>
      </c>
      <c r="BG31" s="163">
        <v>0</v>
      </c>
      <c r="BH31" s="163">
        <v>758.11364999996295</v>
      </c>
      <c r="BI31" s="163">
        <v>0</v>
      </c>
      <c r="BJ31" s="163">
        <v>-758.11364999996295</v>
      </c>
      <c r="BK31" s="163">
        <v>0</v>
      </c>
      <c r="BL31" s="163">
        <v>243059.55643199998</v>
      </c>
      <c r="BM31" s="163" t="s">
        <v>318</v>
      </c>
      <c r="BN31" s="163">
        <v>0</v>
      </c>
      <c r="BO31" s="163" t="b">
        <v>0</v>
      </c>
      <c r="BP31" s="163">
        <v>0</v>
      </c>
      <c r="BQ31" s="164">
        <v>0</v>
      </c>
      <c r="BR31" s="164">
        <v>0</v>
      </c>
      <c r="BS31" s="170">
        <v>41</v>
      </c>
      <c r="BT31" s="164">
        <v>0</v>
      </c>
      <c r="BU31" s="227">
        <v>0</v>
      </c>
      <c r="BV31" s="164">
        <v>315</v>
      </c>
      <c r="BW31" s="171">
        <v>5.4</v>
      </c>
      <c r="BX31" s="171">
        <v>0</v>
      </c>
      <c r="BY31" s="163">
        <v>0</v>
      </c>
      <c r="BZ31" s="163">
        <v>0</v>
      </c>
      <c r="CA31" s="163">
        <v>0</v>
      </c>
      <c r="CB31" s="163">
        <v>-48803.7186</v>
      </c>
      <c r="CC31" s="163">
        <v>0</v>
      </c>
      <c r="CD31" s="163">
        <v>0</v>
      </c>
      <c r="CE31" s="163">
        <v>0</v>
      </c>
      <c r="CF31" s="163">
        <v>0</v>
      </c>
      <c r="CG31" s="163">
        <v>0</v>
      </c>
      <c r="CH31" s="163">
        <v>0</v>
      </c>
      <c r="CI31" s="163">
        <v>0</v>
      </c>
      <c r="CJ31" s="163">
        <v>0</v>
      </c>
      <c r="CK31" s="164">
        <v>0</v>
      </c>
      <c r="CL31" s="164">
        <v>0</v>
      </c>
    </row>
    <row r="32" spans="1:90" s="186" customFormat="1" ht="20.100000000000001" customHeight="1" outlineLevel="2" x14ac:dyDescent="0.3">
      <c r="A32" s="173" t="s">
        <v>354</v>
      </c>
      <c r="B32" s="173"/>
      <c r="C32" s="173"/>
      <c r="D32" s="173"/>
      <c r="E32" s="173"/>
      <c r="F32" s="173"/>
      <c r="G32" s="199"/>
      <c r="H32" s="199"/>
      <c r="I32" s="174"/>
      <c r="J32" s="176"/>
      <c r="K32" s="176"/>
      <c r="L32" s="178"/>
      <c r="M32" s="178"/>
      <c r="N32" s="178"/>
      <c r="O32" s="177"/>
      <c r="P32" s="179"/>
      <c r="Q32" s="179"/>
      <c r="R32" s="180">
        <v>0</v>
      </c>
      <c r="S32" s="276">
        <v>1</v>
      </c>
      <c r="T32" s="180">
        <v>0</v>
      </c>
      <c r="U32" s="244">
        <v>0</v>
      </c>
      <c r="V32" s="177"/>
      <c r="W32" s="177">
        <v>0</v>
      </c>
      <c r="X32" s="177">
        <v>0</v>
      </c>
      <c r="Y32" s="177">
        <v>0</v>
      </c>
      <c r="Z32" s="177">
        <v>0</v>
      </c>
      <c r="AA32" s="177">
        <v>0</v>
      </c>
      <c r="AB32" s="177">
        <v>0</v>
      </c>
      <c r="AC32" s="244">
        <v>0</v>
      </c>
      <c r="AD32" s="177">
        <v>0</v>
      </c>
      <c r="AE32" s="177">
        <v>0</v>
      </c>
      <c r="AF32" s="177">
        <v>0</v>
      </c>
      <c r="AG32" s="177">
        <v>0</v>
      </c>
      <c r="AH32" s="245">
        <v>0</v>
      </c>
      <c r="AI32" s="177">
        <v>0</v>
      </c>
      <c r="AJ32" s="177">
        <v>0</v>
      </c>
      <c r="AK32" s="246">
        <v>0</v>
      </c>
      <c r="AL32" s="181"/>
      <c r="AM32" s="177">
        <v>48045.604950000037</v>
      </c>
      <c r="AN32" s="181"/>
      <c r="AO32" s="181"/>
      <c r="AP32" s="177">
        <v>243059.55643199998</v>
      </c>
      <c r="AQ32" s="182"/>
      <c r="AR32" s="177"/>
      <c r="AS32" s="177"/>
      <c r="AT32" s="177">
        <v>0</v>
      </c>
      <c r="AU32" s="177">
        <v>0</v>
      </c>
      <c r="AV32" s="177">
        <v>0</v>
      </c>
      <c r="AW32" s="177">
        <v>0</v>
      </c>
      <c r="AX32" s="177">
        <v>758.11364999996295</v>
      </c>
      <c r="AY32" s="177">
        <v>0</v>
      </c>
      <c r="AZ32" s="177">
        <v>-758.11364999996295</v>
      </c>
      <c r="BA32" s="177">
        <v>0</v>
      </c>
      <c r="BB32" s="177"/>
      <c r="BC32" s="177"/>
      <c r="BD32" s="177"/>
      <c r="BE32" s="177"/>
      <c r="BF32" s="177"/>
      <c r="BG32" s="177"/>
      <c r="BH32" s="177"/>
      <c r="BI32" s="177"/>
      <c r="BJ32" s="177"/>
      <c r="BK32" s="177"/>
      <c r="BL32" s="177"/>
      <c r="BM32" s="177"/>
      <c r="BN32" s="177"/>
      <c r="BO32" s="177"/>
      <c r="BP32" s="177"/>
      <c r="BQ32" s="178"/>
      <c r="BR32" s="178"/>
      <c r="BS32" s="184"/>
      <c r="BT32" s="178"/>
      <c r="BU32" s="220"/>
      <c r="BV32" s="178"/>
      <c r="BW32" s="185"/>
      <c r="BX32" s="185"/>
      <c r="BY32" s="177"/>
      <c r="BZ32" s="177"/>
      <c r="CA32" s="177">
        <v>0</v>
      </c>
      <c r="CB32" s="177"/>
      <c r="CC32" s="177"/>
      <c r="CD32" s="177"/>
      <c r="CE32" s="177"/>
      <c r="CF32" s="177"/>
      <c r="CG32" s="177"/>
      <c r="CH32" s="177"/>
      <c r="CI32" s="177"/>
      <c r="CJ32" s="177"/>
      <c r="CK32" s="178"/>
      <c r="CL32" s="178"/>
    </row>
    <row r="33" spans="1:90" outlineLevel="3" x14ac:dyDescent="0.3">
      <c r="A33" s="134" t="s">
        <v>355</v>
      </c>
      <c r="B33" s="134" t="s">
        <v>345</v>
      </c>
      <c r="C33" s="134" t="s">
        <v>356</v>
      </c>
      <c r="D33" s="134" t="s">
        <v>357</v>
      </c>
      <c r="E33" s="134" t="s">
        <v>358</v>
      </c>
      <c r="F33" s="134" t="s">
        <v>194</v>
      </c>
      <c r="G33" s="134" t="s">
        <v>335</v>
      </c>
      <c r="H33" s="134" t="s">
        <v>312</v>
      </c>
      <c r="I33" s="160" t="s">
        <v>340</v>
      </c>
      <c r="J33" s="162">
        <v>1</v>
      </c>
      <c r="K33" s="162">
        <v>1</v>
      </c>
      <c r="L33" s="164">
        <v>0</v>
      </c>
      <c r="M33" s="164">
        <v>0</v>
      </c>
      <c r="N33" s="164">
        <v>0</v>
      </c>
      <c r="O33" s="163">
        <v>0</v>
      </c>
      <c r="P33" s="164">
        <v>0</v>
      </c>
      <c r="Q33" s="164">
        <v>0</v>
      </c>
      <c r="R33" s="166">
        <v>0</v>
      </c>
      <c r="S33" s="275">
        <v>1</v>
      </c>
      <c r="T33" s="166" t="s">
        <v>581</v>
      </c>
      <c r="U33" s="241">
        <v>0</v>
      </c>
      <c r="V33" s="163" t="s">
        <v>314</v>
      </c>
      <c r="W33" s="163">
        <v>0</v>
      </c>
      <c r="X33" s="163">
        <v>0</v>
      </c>
      <c r="Y33" s="163">
        <v>0</v>
      </c>
      <c r="Z33" s="163">
        <v>0</v>
      </c>
      <c r="AA33" s="163">
        <v>0</v>
      </c>
      <c r="AB33" s="163">
        <v>0</v>
      </c>
      <c r="AC33" s="241">
        <v>0</v>
      </c>
      <c r="AD33" s="163">
        <v>0</v>
      </c>
      <c r="AE33" s="163">
        <v>0</v>
      </c>
      <c r="AF33" s="163">
        <v>0</v>
      </c>
      <c r="AG33" s="163">
        <v>0</v>
      </c>
      <c r="AH33" s="242">
        <v>0</v>
      </c>
      <c r="AI33" s="163">
        <v>0</v>
      </c>
      <c r="AJ33" s="163">
        <v>0</v>
      </c>
      <c r="AK33" s="243">
        <v>0</v>
      </c>
      <c r="AL33" s="167">
        <v>0</v>
      </c>
      <c r="AM33" s="163">
        <v>283416</v>
      </c>
      <c r="AN33" s="164">
        <v>0</v>
      </c>
      <c r="AO33" s="167">
        <v>0</v>
      </c>
      <c r="AP33" s="163">
        <v>0</v>
      </c>
      <c r="AQ33" s="168">
        <v>1</v>
      </c>
      <c r="AR33" s="163">
        <v>0</v>
      </c>
      <c r="AS33" s="163">
        <v>0</v>
      </c>
      <c r="AT33" s="163">
        <v>0</v>
      </c>
      <c r="AU33" s="163">
        <v>0</v>
      </c>
      <c r="AV33" s="163">
        <v>0</v>
      </c>
      <c r="AW33" s="163">
        <v>0</v>
      </c>
      <c r="AX33" s="163">
        <v>-283416</v>
      </c>
      <c r="AY33" s="163">
        <v>0</v>
      </c>
      <c r="AZ33" s="163">
        <v>283416</v>
      </c>
      <c r="BA33" s="163">
        <v>0</v>
      </c>
      <c r="BB33" s="163" t="s">
        <v>194</v>
      </c>
      <c r="BC33" s="163" t="s">
        <v>194</v>
      </c>
      <c r="BD33" s="163">
        <v>0</v>
      </c>
      <c r="BE33" s="163">
        <v>0</v>
      </c>
      <c r="BF33" s="163">
        <v>0</v>
      </c>
      <c r="BG33" s="163">
        <v>0</v>
      </c>
      <c r="BH33" s="163">
        <v>-283416</v>
      </c>
      <c r="BI33" s="163">
        <v>0</v>
      </c>
      <c r="BJ33" s="163">
        <v>283416</v>
      </c>
      <c r="BK33" s="163">
        <v>0</v>
      </c>
      <c r="BL33" s="163">
        <v>0</v>
      </c>
      <c r="BM33" s="163" t="s">
        <v>315</v>
      </c>
      <c r="BN33" s="163">
        <v>0</v>
      </c>
      <c r="BO33" s="163" t="b">
        <v>0</v>
      </c>
      <c r="BP33" s="163">
        <v>0</v>
      </c>
      <c r="BQ33" s="165">
        <v>0</v>
      </c>
      <c r="BR33" s="164">
        <v>0</v>
      </c>
      <c r="BS33" s="170">
        <v>38</v>
      </c>
      <c r="BT33" s="164">
        <v>0</v>
      </c>
      <c r="BU33" s="227">
        <v>0</v>
      </c>
      <c r="BV33" s="164">
        <v>305</v>
      </c>
      <c r="BW33" s="171">
        <v>0</v>
      </c>
      <c r="BX33" s="171">
        <v>0</v>
      </c>
      <c r="BY33" s="163">
        <v>0</v>
      </c>
      <c r="BZ33" s="163">
        <v>0</v>
      </c>
      <c r="CA33" s="163">
        <v>0</v>
      </c>
      <c r="CB33" s="163">
        <v>0</v>
      </c>
      <c r="CC33" s="163">
        <v>0</v>
      </c>
      <c r="CD33" s="163">
        <v>0</v>
      </c>
      <c r="CE33" s="163">
        <v>0</v>
      </c>
      <c r="CF33" s="163">
        <v>0</v>
      </c>
      <c r="CG33" s="163">
        <v>0</v>
      </c>
      <c r="CH33" s="163">
        <v>0</v>
      </c>
      <c r="CI33" s="163">
        <v>0</v>
      </c>
      <c r="CJ33" s="163">
        <v>0</v>
      </c>
      <c r="CK33" s="164">
        <v>0</v>
      </c>
      <c r="CL33" s="164">
        <v>0</v>
      </c>
    </row>
    <row r="34" spans="1:90" s="186" customFormat="1" ht="20.100000000000001" customHeight="1" outlineLevel="2" x14ac:dyDescent="0.3">
      <c r="A34" s="173" t="s">
        <v>359</v>
      </c>
      <c r="B34" s="173"/>
      <c r="C34" s="173"/>
      <c r="D34" s="173"/>
      <c r="E34" s="173"/>
      <c r="F34" s="173"/>
      <c r="G34" s="173"/>
      <c r="H34" s="173"/>
      <c r="I34" s="174"/>
      <c r="J34" s="176"/>
      <c r="K34" s="176"/>
      <c r="L34" s="178"/>
      <c r="M34" s="178"/>
      <c r="N34" s="178"/>
      <c r="O34" s="177"/>
      <c r="P34" s="178"/>
      <c r="Q34" s="178"/>
      <c r="R34" s="180">
        <v>0</v>
      </c>
      <c r="S34" s="276">
        <v>1</v>
      </c>
      <c r="T34" s="180">
        <v>0</v>
      </c>
      <c r="U34" s="244">
        <v>0</v>
      </c>
      <c r="V34" s="177"/>
      <c r="W34" s="177">
        <v>0</v>
      </c>
      <c r="X34" s="177">
        <v>0</v>
      </c>
      <c r="Y34" s="177">
        <v>0</v>
      </c>
      <c r="Z34" s="177">
        <v>0</v>
      </c>
      <c r="AA34" s="177">
        <v>0</v>
      </c>
      <c r="AB34" s="177">
        <v>0</v>
      </c>
      <c r="AC34" s="244">
        <v>0</v>
      </c>
      <c r="AD34" s="177">
        <v>0</v>
      </c>
      <c r="AE34" s="177">
        <v>0</v>
      </c>
      <c r="AF34" s="177">
        <v>0</v>
      </c>
      <c r="AG34" s="177">
        <v>0</v>
      </c>
      <c r="AH34" s="245">
        <v>0</v>
      </c>
      <c r="AI34" s="177">
        <v>0</v>
      </c>
      <c r="AJ34" s="177">
        <v>0</v>
      </c>
      <c r="AK34" s="246">
        <v>0</v>
      </c>
      <c r="AL34" s="181"/>
      <c r="AM34" s="177">
        <v>283416</v>
      </c>
      <c r="AN34" s="178"/>
      <c r="AO34" s="181"/>
      <c r="AP34" s="177">
        <v>0</v>
      </c>
      <c r="AQ34" s="182"/>
      <c r="AR34" s="177"/>
      <c r="AS34" s="177"/>
      <c r="AT34" s="177">
        <v>0</v>
      </c>
      <c r="AU34" s="177">
        <v>0</v>
      </c>
      <c r="AV34" s="177">
        <v>0</v>
      </c>
      <c r="AW34" s="177">
        <v>0</v>
      </c>
      <c r="AX34" s="177">
        <v>-283416</v>
      </c>
      <c r="AY34" s="177">
        <v>0</v>
      </c>
      <c r="AZ34" s="177">
        <v>283416</v>
      </c>
      <c r="BA34" s="177">
        <v>0</v>
      </c>
      <c r="BB34" s="177"/>
      <c r="BC34" s="177"/>
      <c r="BD34" s="177"/>
      <c r="BE34" s="177"/>
      <c r="BF34" s="177"/>
      <c r="BG34" s="177"/>
      <c r="BH34" s="177"/>
      <c r="BI34" s="177"/>
      <c r="BJ34" s="177"/>
      <c r="BK34" s="177"/>
      <c r="BL34" s="177"/>
      <c r="BM34" s="177"/>
      <c r="BN34" s="177"/>
      <c r="BO34" s="177"/>
      <c r="BP34" s="177"/>
      <c r="BQ34" s="179"/>
      <c r="BR34" s="178"/>
      <c r="BS34" s="184"/>
      <c r="BT34" s="178"/>
      <c r="BU34" s="220"/>
      <c r="BV34" s="178"/>
      <c r="BW34" s="185"/>
      <c r="BX34" s="185"/>
      <c r="BY34" s="177"/>
      <c r="BZ34" s="177"/>
      <c r="CA34" s="177">
        <v>0</v>
      </c>
      <c r="CB34" s="177"/>
      <c r="CC34" s="177"/>
      <c r="CD34" s="177"/>
      <c r="CE34" s="177"/>
      <c r="CF34" s="177"/>
      <c r="CG34" s="177"/>
      <c r="CH34" s="177"/>
      <c r="CI34" s="177"/>
      <c r="CJ34" s="177"/>
      <c r="CK34" s="178"/>
      <c r="CL34" s="178"/>
    </row>
    <row r="35" spans="1:90" outlineLevel="3" x14ac:dyDescent="0.3">
      <c r="A35" s="134" t="s">
        <v>476</v>
      </c>
      <c r="B35" s="134" t="s">
        <v>345</v>
      </c>
      <c r="C35" s="134" t="s">
        <v>454</v>
      </c>
      <c r="D35" s="134" t="s">
        <v>455</v>
      </c>
      <c r="E35" s="134" t="s">
        <v>477</v>
      </c>
      <c r="F35" s="134" t="s">
        <v>456</v>
      </c>
      <c r="G35" s="198" t="s">
        <v>551</v>
      </c>
      <c r="H35" s="198" t="s">
        <v>317</v>
      </c>
      <c r="I35" s="160" t="s">
        <v>313</v>
      </c>
      <c r="J35" s="162">
        <v>0</v>
      </c>
      <c r="K35" s="162">
        <v>0</v>
      </c>
      <c r="L35" s="164">
        <v>0</v>
      </c>
      <c r="M35" s="164">
        <v>0</v>
      </c>
      <c r="N35" s="164">
        <v>1</v>
      </c>
      <c r="O35" s="163">
        <v>20.28</v>
      </c>
      <c r="P35" s="165">
        <v>19.45</v>
      </c>
      <c r="Q35" s="165">
        <v>0.83000000000000185</v>
      </c>
      <c r="R35" s="166">
        <v>0</v>
      </c>
      <c r="S35" s="275">
        <v>1</v>
      </c>
      <c r="T35" s="166" t="s">
        <v>581</v>
      </c>
      <c r="U35" s="241">
        <v>0</v>
      </c>
      <c r="V35" s="163" t="s">
        <v>478</v>
      </c>
      <c r="W35" s="163">
        <v>0</v>
      </c>
      <c r="X35" s="163">
        <v>0</v>
      </c>
      <c r="Y35" s="163">
        <v>0</v>
      </c>
      <c r="Z35" s="163">
        <v>0</v>
      </c>
      <c r="AA35" s="163">
        <v>0</v>
      </c>
      <c r="AB35" s="163">
        <v>0</v>
      </c>
      <c r="AC35" s="241">
        <v>0</v>
      </c>
      <c r="AD35" s="163">
        <v>0</v>
      </c>
      <c r="AE35" s="163">
        <v>0</v>
      </c>
      <c r="AF35" s="163">
        <v>0</v>
      </c>
      <c r="AG35" s="163">
        <v>0</v>
      </c>
      <c r="AH35" s="242">
        <v>-0.10475999489426613</v>
      </c>
      <c r="AI35" s="163">
        <v>0</v>
      </c>
      <c r="AJ35" s="163">
        <v>0.10475999489426613</v>
      </c>
      <c r="AK35" s="243">
        <v>0</v>
      </c>
      <c r="AL35" s="167">
        <v>0</v>
      </c>
      <c r="AM35" s="163">
        <v>0</v>
      </c>
      <c r="AN35" s="167">
        <v>0</v>
      </c>
      <c r="AO35" s="167">
        <v>0</v>
      </c>
      <c r="AP35" s="163">
        <v>0</v>
      </c>
      <c r="AQ35" s="168">
        <v>1</v>
      </c>
      <c r="AR35" s="163">
        <v>0</v>
      </c>
      <c r="AS35" s="163">
        <v>20.28</v>
      </c>
      <c r="AT35" s="163">
        <v>0</v>
      </c>
      <c r="AU35" s="163">
        <v>0</v>
      </c>
      <c r="AV35" s="163">
        <v>0</v>
      </c>
      <c r="AW35" s="163">
        <v>0</v>
      </c>
      <c r="AX35" s="163">
        <v>-16696287.136852004</v>
      </c>
      <c r="AY35" s="163">
        <v>0</v>
      </c>
      <c r="AZ35" s="163">
        <v>16696287.136852004</v>
      </c>
      <c r="BA35" s="163">
        <v>0</v>
      </c>
      <c r="BB35" s="163">
        <v>20.28</v>
      </c>
      <c r="BC35" s="163">
        <v>19.45</v>
      </c>
      <c r="BD35" s="163">
        <v>0</v>
      </c>
      <c r="BE35" s="163">
        <v>0</v>
      </c>
      <c r="BF35" s="163">
        <v>0</v>
      </c>
      <c r="BG35" s="163">
        <v>0</v>
      </c>
      <c r="BH35" s="163">
        <v>-16696287.136852004</v>
      </c>
      <c r="BI35" s="163">
        <v>0</v>
      </c>
      <c r="BJ35" s="163">
        <v>16696287.136852004</v>
      </c>
      <c r="BK35" s="163">
        <v>0</v>
      </c>
      <c r="BL35" s="163">
        <v>0</v>
      </c>
      <c r="BM35" s="163" t="s">
        <v>318</v>
      </c>
      <c r="BN35" s="163">
        <v>0</v>
      </c>
      <c r="BO35" s="163" t="b">
        <v>0</v>
      </c>
      <c r="BP35" s="163">
        <v>0.10475999489426613</v>
      </c>
      <c r="BQ35" s="164">
        <v>0</v>
      </c>
      <c r="BR35" s="164">
        <v>0</v>
      </c>
      <c r="BS35" s="170">
        <v>88</v>
      </c>
      <c r="BT35" s="164">
        <v>0</v>
      </c>
      <c r="BU35" s="227">
        <v>0</v>
      </c>
      <c r="BV35" s="164">
        <v>312</v>
      </c>
      <c r="BW35" s="171">
        <v>20.28</v>
      </c>
      <c r="BX35" s="171">
        <v>0</v>
      </c>
      <c r="BY35" s="163">
        <v>0</v>
      </c>
      <c r="BZ35" s="163">
        <v>0</v>
      </c>
      <c r="CA35" s="163">
        <v>19030529.916004006</v>
      </c>
      <c r="CB35" s="163">
        <v>66824589.832532026</v>
      </c>
      <c r="CC35" s="163">
        <v>0</v>
      </c>
      <c r="CD35" s="163">
        <v>0</v>
      </c>
      <c r="CE35" s="163">
        <v>0</v>
      </c>
      <c r="CF35" s="163">
        <v>0</v>
      </c>
      <c r="CG35" s="163">
        <v>-0.10475999489426613</v>
      </c>
      <c r="CH35" s="163">
        <v>0</v>
      </c>
      <c r="CI35" s="163">
        <v>0.10475999489426613</v>
      </c>
      <c r="CJ35" s="163">
        <v>0</v>
      </c>
      <c r="CK35" s="164">
        <v>0</v>
      </c>
      <c r="CL35" s="164">
        <v>0</v>
      </c>
    </row>
    <row r="36" spans="1:90" s="186" customFormat="1" ht="20.100000000000001" customHeight="1" outlineLevel="2" x14ac:dyDescent="0.3">
      <c r="A36" s="173" t="s">
        <v>479</v>
      </c>
      <c r="B36" s="173"/>
      <c r="C36" s="173"/>
      <c r="D36" s="173"/>
      <c r="E36" s="173"/>
      <c r="F36" s="173"/>
      <c r="G36" s="199"/>
      <c r="H36" s="199"/>
      <c r="I36" s="174"/>
      <c r="J36" s="176"/>
      <c r="K36" s="176"/>
      <c r="L36" s="178"/>
      <c r="M36" s="178"/>
      <c r="N36" s="178"/>
      <c r="O36" s="177"/>
      <c r="P36" s="179"/>
      <c r="Q36" s="179"/>
      <c r="R36" s="180">
        <v>0</v>
      </c>
      <c r="S36" s="276">
        <v>1</v>
      </c>
      <c r="T36" s="180">
        <v>0</v>
      </c>
      <c r="U36" s="244">
        <v>0</v>
      </c>
      <c r="V36" s="177"/>
      <c r="W36" s="177">
        <v>0</v>
      </c>
      <c r="X36" s="177">
        <v>0</v>
      </c>
      <c r="Y36" s="177">
        <v>0</v>
      </c>
      <c r="Z36" s="177">
        <v>0</v>
      </c>
      <c r="AA36" s="177">
        <v>0</v>
      </c>
      <c r="AB36" s="177">
        <v>0</v>
      </c>
      <c r="AC36" s="244">
        <v>0</v>
      </c>
      <c r="AD36" s="177">
        <v>0</v>
      </c>
      <c r="AE36" s="177">
        <v>0</v>
      </c>
      <c r="AF36" s="177">
        <v>0</v>
      </c>
      <c r="AG36" s="177">
        <v>0</v>
      </c>
      <c r="AH36" s="245">
        <v>-0.10475999489426613</v>
      </c>
      <c r="AI36" s="177">
        <v>0</v>
      </c>
      <c r="AJ36" s="177">
        <v>0.10475999489426613</v>
      </c>
      <c r="AK36" s="246">
        <v>0</v>
      </c>
      <c r="AL36" s="181"/>
      <c r="AM36" s="177">
        <v>0</v>
      </c>
      <c r="AN36" s="181"/>
      <c r="AO36" s="181"/>
      <c r="AP36" s="177">
        <v>0</v>
      </c>
      <c r="AQ36" s="182"/>
      <c r="AR36" s="177"/>
      <c r="AS36" s="177"/>
      <c r="AT36" s="177">
        <v>0</v>
      </c>
      <c r="AU36" s="177">
        <v>0</v>
      </c>
      <c r="AV36" s="177">
        <v>0</v>
      </c>
      <c r="AW36" s="177">
        <v>0</v>
      </c>
      <c r="AX36" s="177">
        <v>-16696287.136852004</v>
      </c>
      <c r="AY36" s="177">
        <v>0</v>
      </c>
      <c r="AZ36" s="177">
        <v>16696287.136852004</v>
      </c>
      <c r="BA36" s="177">
        <v>0</v>
      </c>
      <c r="BB36" s="177"/>
      <c r="BC36" s="177"/>
      <c r="BD36" s="177"/>
      <c r="BE36" s="177"/>
      <c r="BF36" s="177"/>
      <c r="BG36" s="177"/>
      <c r="BH36" s="177"/>
      <c r="BI36" s="177"/>
      <c r="BJ36" s="177"/>
      <c r="BK36" s="177"/>
      <c r="BL36" s="177"/>
      <c r="BM36" s="177"/>
      <c r="BN36" s="177"/>
      <c r="BO36" s="177"/>
      <c r="BP36" s="177"/>
      <c r="BQ36" s="178"/>
      <c r="BR36" s="178"/>
      <c r="BS36" s="184"/>
      <c r="BT36" s="178"/>
      <c r="BU36" s="220"/>
      <c r="BV36" s="178"/>
      <c r="BW36" s="185"/>
      <c r="BX36" s="185"/>
      <c r="BY36" s="177"/>
      <c r="BZ36" s="177"/>
      <c r="CA36" s="177">
        <v>19030529.916004006</v>
      </c>
      <c r="CB36" s="177"/>
      <c r="CC36" s="177"/>
      <c r="CD36" s="177"/>
      <c r="CE36" s="177"/>
      <c r="CF36" s="177"/>
      <c r="CG36" s="177"/>
      <c r="CH36" s="177"/>
      <c r="CI36" s="177"/>
      <c r="CJ36" s="177"/>
      <c r="CK36" s="178"/>
      <c r="CL36" s="178"/>
    </row>
    <row r="37" spans="1:90" s="197" customFormat="1" ht="30" customHeight="1" outlineLevel="1" x14ac:dyDescent="0.3">
      <c r="A37" s="173"/>
      <c r="B37" s="173" t="s">
        <v>360</v>
      </c>
      <c r="C37" s="173"/>
      <c r="D37" s="173"/>
      <c r="E37" s="173"/>
      <c r="F37" s="173"/>
      <c r="G37" s="199"/>
      <c r="H37" s="199"/>
      <c r="I37" s="174"/>
      <c r="J37" s="187"/>
      <c r="K37" s="187"/>
      <c r="L37" s="189"/>
      <c r="M37" s="189"/>
      <c r="N37" s="189"/>
      <c r="O37" s="188"/>
      <c r="P37" s="190"/>
      <c r="Q37" s="190"/>
      <c r="R37" s="191">
        <v>0</v>
      </c>
      <c r="S37" s="277">
        <v>4</v>
      </c>
      <c r="T37" s="191">
        <v>0</v>
      </c>
      <c r="U37" s="247">
        <v>831730.78860000009</v>
      </c>
      <c r="V37" s="188"/>
      <c r="W37" s="188">
        <v>0</v>
      </c>
      <c r="X37" s="188">
        <v>0</v>
      </c>
      <c r="Y37" s="188">
        <v>0</v>
      </c>
      <c r="Z37" s="188">
        <v>0</v>
      </c>
      <c r="AA37" s="188">
        <v>0</v>
      </c>
      <c r="AB37" s="188">
        <v>0</v>
      </c>
      <c r="AC37" s="247">
        <v>831730.78860000009</v>
      </c>
      <c r="AD37" s="188">
        <v>0</v>
      </c>
      <c r="AE37" s="188">
        <v>0</v>
      </c>
      <c r="AF37" s="188">
        <v>0</v>
      </c>
      <c r="AG37" s="188">
        <v>0</v>
      </c>
      <c r="AH37" s="248">
        <v>-0.10475999489426613</v>
      </c>
      <c r="AI37" s="188">
        <v>0</v>
      </c>
      <c r="AJ37" s="188">
        <v>0.10475999489426613</v>
      </c>
      <c r="AK37" s="249">
        <v>0</v>
      </c>
      <c r="AL37" s="192"/>
      <c r="AM37" s="188">
        <v>3138698.4949500002</v>
      </c>
      <c r="AN37" s="192"/>
      <c r="AO37" s="192"/>
      <c r="AP37" s="188">
        <v>1379469.585032</v>
      </c>
      <c r="AQ37" s="193"/>
      <c r="AR37" s="188"/>
      <c r="AS37" s="188"/>
      <c r="AT37" s="188">
        <v>0</v>
      </c>
      <c r="AU37" s="188">
        <v>0</v>
      </c>
      <c r="AV37" s="188">
        <v>0</v>
      </c>
      <c r="AW37" s="188">
        <v>0</v>
      </c>
      <c r="AX37" s="188">
        <v>-18884966.502802003</v>
      </c>
      <c r="AY37" s="188">
        <v>0</v>
      </c>
      <c r="AZ37" s="188">
        <v>18884966.502802003</v>
      </c>
      <c r="BA37" s="188">
        <v>0</v>
      </c>
      <c r="BB37" s="188"/>
      <c r="BC37" s="188"/>
      <c r="BD37" s="188"/>
      <c r="BE37" s="188"/>
      <c r="BF37" s="188"/>
      <c r="BG37" s="188"/>
      <c r="BH37" s="188"/>
      <c r="BI37" s="188"/>
      <c r="BJ37" s="188"/>
      <c r="BK37" s="188"/>
      <c r="BL37" s="188"/>
      <c r="BM37" s="188"/>
      <c r="BN37" s="188"/>
      <c r="BO37" s="188"/>
      <c r="BP37" s="188"/>
      <c r="BQ37" s="189"/>
      <c r="BR37" s="189"/>
      <c r="BS37" s="195"/>
      <c r="BT37" s="189"/>
      <c r="BU37" s="221"/>
      <c r="BV37" s="189"/>
      <c r="BW37" s="196"/>
      <c r="BX37" s="196"/>
      <c r="BY37" s="188"/>
      <c r="BZ37" s="188"/>
      <c r="CA37" s="188">
        <v>18725850.676004007</v>
      </c>
      <c r="CB37" s="188"/>
      <c r="CC37" s="188"/>
      <c r="CD37" s="188"/>
      <c r="CE37" s="188"/>
      <c r="CF37" s="188"/>
      <c r="CG37" s="188"/>
      <c r="CH37" s="188"/>
      <c r="CI37" s="188"/>
      <c r="CJ37" s="188"/>
      <c r="CK37" s="189"/>
      <c r="CL37" s="189"/>
    </row>
    <row r="38" spans="1:90" outlineLevel="3" x14ac:dyDescent="0.3">
      <c r="A38" s="134" t="s">
        <v>361</v>
      </c>
      <c r="B38" s="134" t="s">
        <v>562</v>
      </c>
      <c r="C38" s="134" t="s">
        <v>352</v>
      </c>
      <c r="D38" s="134" t="s">
        <v>353</v>
      </c>
      <c r="E38" s="134" t="s">
        <v>210</v>
      </c>
      <c r="F38" s="134" t="s">
        <v>366</v>
      </c>
      <c r="G38" s="134" t="s">
        <v>547</v>
      </c>
      <c r="H38" s="134" t="s">
        <v>371</v>
      </c>
      <c r="I38" s="160" t="s">
        <v>372</v>
      </c>
      <c r="J38" s="161">
        <v>7663</v>
      </c>
      <c r="K38" s="162">
        <v>7663</v>
      </c>
      <c r="L38" s="164">
        <v>0</v>
      </c>
      <c r="M38" s="164">
        <v>0</v>
      </c>
      <c r="N38" s="164">
        <v>0</v>
      </c>
      <c r="O38" s="163">
        <v>6395.2427861150982</v>
      </c>
      <c r="P38" s="165">
        <v>6395.2427861150982</v>
      </c>
      <c r="Q38" s="165">
        <v>0</v>
      </c>
      <c r="R38" s="166" t="s">
        <v>583</v>
      </c>
      <c r="S38" s="275">
        <v>0.625</v>
      </c>
      <c r="T38" s="166" t="s">
        <v>584</v>
      </c>
      <c r="U38" s="241">
        <v>49006745.469999999</v>
      </c>
      <c r="V38" s="163" t="s">
        <v>314</v>
      </c>
      <c r="W38" s="163">
        <v>0</v>
      </c>
      <c r="X38" s="163">
        <v>0</v>
      </c>
      <c r="Y38" s="163">
        <v>0</v>
      </c>
      <c r="Z38" s="163">
        <v>0</v>
      </c>
      <c r="AA38" s="163">
        <v>0</v>
      </c>
      <c r="AB38" s="163">
        <v>0</v>
      </c>
      <c r="AC38" s="241">
        <v>49006745.469999999</v>
      </c>
      <c r="AD38" s="163">
        <v>0</v>
      </c>
      <c r="AE38" s="163">
        <v>0</v>
      </c>
      <c r="AF38" s="163">
        <v>0</v>
      </c>
      <c r="AG38" s="163">
        <v>0</v>
      </c>
      <c r="AH38" s="242">
        <v>0</v>
      </c>
      <c r="AI38" s="163">
        <v>0</v>
      </c>
      <c r="AJ38" s="163">
        <v>0</v>
      </c>
      <c r="AK38" s="243">
        <v>0</v>
      </c>
      <c r="AL38" s="167">
        <v>0</v>
      </c>
      <c r="AM38" s="163">
        <v>81210625</v>
      </c>
      <c r="AN38" s="167">
        <v>0</v>
      </c>
      <c r="AO38" s="164">
        <v>0</v>
      </c>
      <c r="AP38" s="163">
        <v>47929015.109999999</v>
      </c>
      <c r="AQ38" s="168">
        <v>1</v>
      </c>
      <c r="AR38" s="163">
        <v>0</v>
      </c>
      <c r="AS38" s="163">
        <v>6395.2427861150982</v>
      </c>
      <c r="AT38" s="163">
        <v>0</v>
      </c>
      <c r="AU38" s="163">
        <v>0</v>
      </c>
      <c r="AV38" s="163">
        <v>0</v>
      </c>
      <c r="AW38" s="163">
        <v>0</v>
      </c>
      <c r="AX38" s="163">
        <v>-35366446.379999995</v>
      </c>
      <c r="AY38" s="163">
        <v>0</v>
      </c>
      <c r="AZ38" s="163">
        <v>35366446.379999995</v>
      </c>
      <c r="BA38" s="163">
        <v>0</v>
      </c>
      <c r="BB38" s="163" t="s">
        <v>194</v>
      </c>
      <c r="BC38" s="163" t="s">
        <v>194</v>
      </c>
      <c r="BD38" s="163">
        <v>0</v>
      </c>
      <c r="BE38" s="163">
        <v>0</v>
      </c>
      <c r="BF38" s="163">
        <v>0</v>
      </c>
      <c r="BG38" s="163">
        <v>0</v>
      </c>
      <c r="BH38" s="163">
        <v>-35366446.379999995</v>
      </c>
      <c r="BI38" s="163">
        <v>0</v>
      </c>
      <c r="BJ38" s="163">
        <v>35366446.379999995</v>
      </c>
      <c r="BK38" s="163">
        <v>0</v>
      </c>
      <c r="BL38" s="163">
        <v>47929015.109999999</v>
      </c>
      <c r="BM38" s="163" t="s">
        <v>315</v>
      </c>
      <c r="BN38" s="163">
        <v>0</v>
      </c>
      <c r="BO38" s="163" t="b">
        <v>0</v>
      </c>
      <c r="BP38" s="163">
        <v>0</v>
      </c>
      <c r="BQ38" s="164" t="s">
        <v>589</v>
      </c>
      <c r="BR38" s="164">
        <v>45046166</v>
      </c>
      <c r="BS38" s="170">
        <v>78</v>
      </c>
      <c r="BT38" s="164">
        <v>0</v>
      </c>
      <c r="BU38" s="227">
        <v>0</v>
      </c>
      <c r="BV38" s="164">
        <v>165</v>
      </c>
      <c r="BW38" s="171">
        <v>0</v>
      </c>
      <c r="BX38" s="171">
        <v>0</v>
      </c>
      <c r="BY38" s="163">
        <v>0</v>
      </c>
      <c r="BZ38" s="163">
        <v>0</v>
      </c>
      <c r="CA38" s="163">
        <v>1077730.3600000001</v>
      </c>
      <c r="CB38" s="163">
        <v>3162566.85</v>
      </c>
      <c r="CC38" s="163">
        <v>0</v>
      </c>
      <c r="CD38" s="163">
        <v>0</v>
      </c>
      <c r="CE38" s="163">
        <v>0</v>
      </c>
      <c r="CF38" s="163">
        <v>0</v>
      </c>
      <c r="CG38" s="163">
        <v>0</v>
      </c>
      <c r="CH38" s="163">
        <v>0</v>
      </c>
      <c r="CI38" s="163">
        <v>0</v>
      </c>
      <c r="CJ38" s="163">
        <v>0</v>
      </c>
      <c r="CK38" s="164">
        <v>0</v>
      </c>
      <c r="CL38" s="164">
        <v>0</v>
      </c>
    </row>
    <row r="39" spans="1:90" s="186" customFormat="1" ht="20.100000000000001" customHeight="1" outlineLevel="2" x14ac:dyDescent="0.3">
      <c r="A39" s="173" t="s">
        <v>362</v>
      </c>
      <c r="B39" s="173"/>
      <c r="C39" s="173"/>
      <c r="D39" s="173"/>
      <c r="E39" s="173"/>
      <c r="F39" s="173"/>
      <c r="G39" s="173"/>
      <c r="H39" s="173"/>
      <c r="I39" s="174"/>
      <c r="J39" s="175"/>
      <c r="K39" s="176"/>
      <c r="L39" s="178"/>
      <c r="M39" s="178"/>
      <c r="N39" s="178"/>
      <c r="O39" s="177"/>
      <c r="P39" s="179"/>
      <c r="Q39" s="179"/>
      <c r="R39" s="180">
        <v>0</v>
      </c>
      <c r="S39" s="276">
        <v>0.625</v>
      </c>
      <c r="T39" s="180">
        <v>0</v>
      </c>
      <c r="U39" s="244">
        <v>49006745.469999999</v>
      </c>
      <c r="V39" s="177"/>
      <c r="W39" s="177">
        <v>0</v>
      </c>
      <c r="X39" s="177">
        <v>0</v>
      </c>
      <c r="Y39" s="177">
        <v>0</v>
      </c>
      <c r="Z39" s="177">
        <v>0</v>
      </c>
      <c r="AA39" s="177">
        <v>0</v>
      </c>
      <c r="AB39" s="177">
        <v>0</v>
      </c>
      <c r="AC39" s="244">
        <v>49006745.469999999</v>
      </c>
      <c r="AD39" s="177">
        <v>0</v>
      </c>
      <c r="AE39" s="177">
        <v>0</v>
      </c>
      <c r="AF39" s="177">
        <v>0</v>
      </c>
      <c r="AG39" s="177">
        <v>0</v>
      </c>
      <c r="AH39" s="245">
        <v>0</v>
      </c>
      <c r="AI39" s="177">
        <v>0</v>
      </c>
      <c r="AJ39" s="177">
        <v>0</v>
      </c>
      <c r="AK39" s="246">
        <v>0</v>
      </c>
      <c r="AL39" s="181"/>
      <c r="AM39" s="177">
        <v>81210625</v>
      </c>
      <c r="AN39" s="181"/>
      <c r="AO39" s="178"/>
      <c r="AP39" s="177">
        <v>47929015.109999999</v>
      </c>
      <c r="AQ39" s="182"/>
      <c r="AR39" s="177"/>
      <c r="AS39" s="177"/>
      <c r="AT39" s="177">
        <v>0</v>
      </c>
      <c r="AU39" s="177">
        <v>0</v>
      </c>
      <c r="AV39" s="177">
        <v>0</v>
      </c>
      <c r="AW39" s="177">
        <v>0</v>
      </c>
      <c r="AX39" s="177">
        <v>-35366446.379999995</v>
      </c>
      <c r="AY39" s="177">
        <v>0</v>
      </c>
      <c r="AZ39" s="177">
        <v>35366446.379999995</v>
      </c>
      <c r="BA39" s="177">
        <v>0</v>
      </c>
      <c r="BB39" s="177"/>
      <c r="BC39" s="177"/>
      <c r="BD39" s="177"/>
      <c r="BE39" s="177"/>
      <c r="BF39" s="177"/>
      <c r="BG39" s="177"/>
      <c r="BH39" s="177"/>
      <c r="BI39" s="177"/>
      <c r="BJ39" s="177"/>
      <c r="BK39" s="177"/>
      <c r="BL39" s="177"/>
      <c r="BM39" s="177"/>
      <c r="BN39" s="177"/>
      <c r="BO39" s="177"/>
      <c r="BP39" s="177"/>
      <c r="BQ39" s="178"/>
      <c r="BR39" s="178"/>
      <c r="BS39" s="184"/>
      <c r="BT39" s="178"/>
      <c r="BU39" s="220"/>
      <c r="BV39" s="178"/>
      <c r="BW39" s="185"/>
      <c r="BX39" s="185"/>
      <c r="BY39" s="177"/>
      <c r="BZ39" s="177"/>
      <c r="CA39" s="177">
        <v>1077730.3600000001</v>
      </c>
      <c r="CB39" s="177"/>
      <c r="CC39" s="177"/>
      <c r="CD39" s="177"/>
      <c r="CE39" s="177"/>
      <c r="CF39" s="177"/>
      <c r="CG39" s="177"/>
      <c r="CH39" s="177"/>
      <c r="CI39" s="177"/>
      <c r="CJ39" s="177"/>
      <c r="CK39" s="178"/>
      <c r="CL39" s="178"/>
    </row>
    <row r="40" spans="1:90" outlineLevel="3" x14ac:dyDescent="0.3">
      <c r="A40" s="134" t="s">
        <v>320</v>
      </c>
      <c r="B40" s="134" t="s">
        <v>562</v>
      </c>
      <c r="C40" s="134" t="s">
        <v>352</v>
      </c>
      <c r="D40" s="134" t="s">
        <v>353</v>
      </c>
      <c r="E40" s="134" t="s">
        <v>435</v>
      </c>
      <c r="F40" s="134" t="s">
        <v>194</v>
      </c>
      <c r="G40" s="134" t="s">
        <v>527</v>
      </c>
      <c r="H40" s="134" t="s">
        <v>312</v>
      </c>
      <c r="I40" s="160" t="s">
        <v>324</v>
      </c>
      <c r="J40" s="162">
        <v>1</v>
      </c>
      <c r="K40" s="162">
        <v>1</v>
      </c>
      <c r="L40" s="164">
        <v>0</v>
      </c>
      <c r="M40" s="164">
        <v>0</v>
      </c>
      <c r="N40" s="164">
        <v>0</v>
      </c>
      <c r="O40" s="163">
        <v>1250000</v>
      </c>
      <c r="P40" s="164">
        <v>1250000</v>
      </c>
      <c r="Q40" s="164">
        <v>0</v>
      </c>
      <c r="R40" s="166" t="s">
        <v>582</v>
      </c>
      <c r="S40" s="275">
        <v>1</v>
      </c>
      <c r="T40" s="166" t="s">
        <v>581</v>
      </c>
      <c r="U40" s="241">
        <v>1250000</v>
      </c>
      <c r="V40" s="163" t="s">
        <v>314</v>
      </c>
      <c r="W40" s="163">
        <v>0</v>
      </c>
      <c r="X40" s="163">
        <v>0</v>
      </c>
      <c r="Y40" s="163">
        <v>0</v>
      </c>
      <c r="Z40" s="163">
        <v>0</v>
      </c>
      <c r="AA40" s="163">
        <v>0</v>
      </c>
      <c r="AB40" s="163">
        <v>0</v>
      </c>
      <c r="AC40" s="241">
        <v>1250000</v>
      </c>
      <c r="AD40" s="163">
        <v>0</v>
      </c>
      <c r="AE40" s="163">
        <v>0</v>
      </c>
      <c r="AF40" s="163">
        <v>0</v>
      </c>
      <c r="AG40" s="163">
        <v>0</v>
      </c>
      <c r="AH40" s="242">
        <v>0</v>
      </c>
      <c r="AI40" s="163">
        <v>0</v>
      </c>
      <c r="AJ40" s="163">
        <v>0</v>
      </c>
      <c r="AK40" s="243">
        <v>0</v>
      </c>
      <c r="AL40" s="167">
        <v>0</v>
      </c>
      <c r="AM40" s="163">
        <v>1250000</v>
      </c>
      <c r="AN40" s="164">
        <v>0</v>
      </c>
      <c r="AO40" s="167">
        <v>0</v>
      </c>
      <c r="AP40" s="163">
        <v>1250000</v>
      </c>
      <c r="AQ40" s="168">
        <v>1</v>
      </c>
      <c r="AR40" s="163">
        <v>0</v>
      </c>
      <c r="AS40" s="163">
        <v>1250000</v>
      </c>
      <c r="AT40" s="163">
        <v>0</v>
      </c>
      <c r="AU40" s="163">
        <v>0</v>
      </c>
      <c r="AV40" s="163">
        <v>0</v>
      </c>
      <c r="AW40" s="163">
        <v>0</v>
      </c>
      <c r="AX40" s="163">
        <v>0</v>
      </c>
      <c r="AY40" s="163">
        <v>0</v>
      </c>
      <c r="AZ40" s="163">
        <v>0</v>
      </c>
      <c r="BA40" s="163">
        <v>0</v>
      </c>
      <c r="BB40" s="163" t="s">
        <v>194</v>
      </c>
      <c r="BC40" s="163" t="s">
        <v>194</v>
      </c>
      <c r="BD40" s="163">
        <v>0</v>
      </c>
      <c r="BE40" s="163">
        <v>0</v>
      </c>
      <c r="BF40" s="163">
        <v>0</v>
      </c>
      <c r="BG40" s="163">
        <v>0</v>
      </c>
      <c r="BH40" s="163">
        <v>0</v>
      </c>
      <c r="BI40" s="163">
        <v>0</v>
      </c>
      <c r="BJ40" s="163">
        <v>0</v>
      </c>
      <c r="BK40" s="163">
        <v>0</v>
      </c>
      <c r="BL40" s="163">
        <v>1250000</v>
      </c>
      <c r="BM40" s="163" t="s">
        <v>315</v>
      </c>
      <c r="BN40" s="163">
        <v>0</v>
      </c>
      <c r="BO40" s="163" t="b">
        <v>0</v>
      </c>
      <c r="BP40" s="163">
        <v>0</v>
      </c>
      <c r="BQ40" s="165">
        <v>0</v>
      </c>
      <c r="BR40" s="164">
        <v>0</v>
      </c>
      <c r="BS40" s="170">
        <v>83</v>
      </c>
      <c r="BT40" s="164">
        <v>0</v>
      </c>
      <c r="BU40" s="227">
        <v>0</v>
      </c>
      <c r="BV40" s="164">
        <v>206</v>
      </c>
      <c r="BW40" s="171">
        <v>0</v>
      </c>
      <c r="BX40" s="171">
        <v>0</v>
      </c>
      <c r="BY40" s="163">
        <v>0</v>
      </c>
      <c r="BZ40" s="163">
        <v>0</v>
      </c>
      <c r="CA40" s="163">
        <v>0</v>
      </c>
      <c r="CB40" s="163">
        <v>0</v>
      </c>
      <c r="CC40" s="163">
        <v>0</v>
      </c>
      <c r="CD40" s="163">
        <v>0</v>
      </c>
      <c r="CE40" s="163">
        <v>0</v>
      </c>
      <c r="CF40" s="163">
        <v>0</v>
      </c>
      <c r="CG40" s="163">
        <v>0</v>
      </c>
      <c r="CH40" s="163">
        <v>0</v>
      </c>
      <c r="CI40" s="163">
        <v>0</v>
      </c>
      <c r="CJ40" s="163">
        <v>0</v>
      </c>
      <c r="CK40" s="164">
        <v>0</v>
      </c>
      <c r="CL40" s="164">
        <v>0</v>
      </c>
    </row>
    <row r="41" spans="1:90" outlineLevel="3" x14ac:dyDescent="0.3">
      <c r="A41" s="134" t="s">
        <v>320</v>
      </c>
      <c r="B41" s="134" t="s">
        <v>562</v>
      </c>
      <c r="C41" s="134" t="s">
        <v>568</v>
      </c>
      <c r="D41" s="134" t="s">
        <v>569</v>
      </c>
      <c r="E41" s="134" t="s">
        <v>211</v>
      </c>
      <c r="F41" s="134" t="s">
        <v>194</v>
      </c>
      <c r="G41" s="134" t="s">
        <v>547</v>
      </c>
      <c r="H41" s="198" t="s">
        <v>323</v>
      </c>
      <c r="I41" s="160" t="s">
        <v>373</v>
      </c>
      <c r="J41" s="162">
        <v>1</v>
      </c>
      <c r="K41" s="162">
        <v>1</v>
      </c>
      <c r="L41" s="164">
        <v>0</v>
      </c>
      <c r="M41" s="164">
        <v>0</v>
      </c>
      <c r="N41" s="164">
        <v>0</v>
      </c>
      <c r="O41" s="163">
        <v>0</v>
      </c>
      <c r="P41" s="164">
        <v>0</v>
      </c>
      <c r="Q41" s="164">
        <v>0</v>
      </c>
      <c r="R41" s="166">
        <v>0</v>
      </c>
      <c r="S41" s="275">
        <v>1</v>
      </c>
      <c r="T41" s="166" t="s">
        <v>581</v>
      </c>
      <c r="U41" s="241">
        <v>0</v>
      </c>
      <c r="V41" s="163" t="s">
        <v>314</v>
      </c>
      <c r="W41" s="163">
        <v>0</v>
      </c>
      <c r="X41" s="163">
        <v>0</v>
      </c>
      <c r="Y41" s="163">
        <v>0</v>
      </c>
      <c r="Z41" s="163">
        <v>0</v>
      </c>
      <c r="AA41" s="163">
        <v>0</v>
      </c>
      <c r="AB41" s="163">
        <v>0</v>
      </c>
      <c r="AC41" s="241">
        <v>0</v>
      </c>
      <c r="AD41" s="163">
        <v>0</v>
      </c>
      <c r="AE41" s="163">
        <v>0</v>
      </c>
      <c r="AF41" s="163">
        <v>0</v>
      </c>
      <c r="AG41" s="163">
        <v>0</v>
      </c>
      <c r="AH41" s="242">
        <v>0</v>
      </c>
      <c r="AI41" s="163">
        <v>0</v>
      </c>
      <c r="AJ41" s="163">
        <v>0</v>
      </c>
      <c r="AK41" s="243">
        <v>0</v>
      </c>
      <c r="AL41" s="167">
        <v>0</v>
      </c>
      <c r="AM41" s="163">
        <v>1663000</v>
      </c>
      <c r="AN41" s="164">
        <v>0</v>
      </c>
      <c r="AO41" s="167">
        <v>0</v>
      </c>
      <c r="AP41" s="163">
        <v>0</v>
      </c>
      <c r="AQ41" s="168">
        <v>1</v>
      </c>
      <c r="AR41" s="163">
        <v>0</v>
      </c>
      <c r="AS41" s="163">
        <v>0</v>
      </c>
      <c r="AT41" s="163">
        <v>0</v>
      </c>
      <c r="AU41" s="163">
        <v>0</v>
      </c>
      <c r="AV41" s="163">
        <v>0</v>
      </c>
      <c r="AW41" s="163">
        <v>0</v>
      </c>
      <c r="AX41" s="163">
        <v>-1663000</v>
      </c>
      <c r="AY41" s="163">
        <v>0</v>
      </c>
      <c r="AZ41" s="163">
        <v>1663000</v>
      </c>
      <c r="BA41" s="163">
        <v>0</v>
      </c>
      <c r="BB41" s="163" t="s">
        <v>194</v>
      </c>
      <c r="BC41" s="163" t="s">
        <v>194</v>
      </c>
      <c r="BD41" s="163">
        <v>0</v>
      </c>
      <c r="BE41" s="163">
        <v>0</v>
      </c>
      <c r="BF41" s="163">
        <v>0</v>
      </c>
      <c r="BG41" s="163">
        <v>0</v>
      </c>
      <c r="BH41" s="163">
        <v>-1663000</v>
      </c>
      <c r="BI41" s="163">
        <v>0</v>
      </c>
      <c r="BJ41" s="163">
        <v>1663000</v>
      </c>
      <c r="BK41" s="163">
        <v>0</v>
      </c>
      <c r="BL41" s="163">
        <v>0</v>
      </c>
      <c r="BM41" s="163" t="s">
        <v>315</v>
      </c>
      <c r="BN41" s="163">
        <v>0</v>
      </c>
      <c r="BO41" s="163" t="b">
        <v>0</v>
      </c>
      <c r="BP41" s="163">
        <v>0</v>
      </c>
      <c r="BQ41" s="164">
        <v>25</v>
      </c>
      <c r="BR41" s="164">
        <v>5183167</v>
      </c>
      <c r="BS41" s="170">
        <v>83</v>
      </c>
      <c r="BT41" s="164">
        <v>0</v>
      </c>
      <c r="BU41" s="227">
        <v>0</v>
      </c>
      <c r="BV41" s="164">
        <v>212</v>
      </c>
      <c r="BW41" s="171">
        <v>0</v>
      </c>
      <c r="BX41" s="171">
        <v>0</v>
      </c>
      <c r="BY41" s="163">
        <v>0</v>
      </c>
      <c r="BZ41" s="163">
        <v>0</v>
      </c>
      <c r="CA41" s="163">
        <v>0</v>
      </c>
      <c r="CB41" s="163">
        <v>0</v>
      </c>
      <c r="CC41" s="163">
        <v>0</v>
      </c>
      <c r="CD41" s="163">
        <v>0</v>
      </c>
      <c r="CE41" s="163">
        <v>0</v>
      </c>
      <c r="CF41" s="163">
        <v>0</v>
      </c>
      <c r="CG41" s="163">
        <v>0</v>
      </c>
      <c r="CH41" s="163">
        <v>0</v>
      </c>
      <c r="CI41" s="163">
        <v>0</v>
      </c>
      <c r="CJ41" s="163">
        <v>0</v>
      </c>
      <c r="CK41" s="164">
        <v>0</v>
      </c>
      <c r="CL41" s="164">
        <v>0</v>
      </c>
    </row>
    <row r="42" spans="1:90" s="186" customFormat="1" ht="20.100000000000001" customHeight="1" outlineLevel="2" x14ac:dyDescent="0.3">
      <c r="A42" s="173" t="s">
        <v>325</v>
      </c>
      <c r="B42" s="173"/>
      <c r="C42" s="173"/>
      <c r="D42" s="173"/>
      <c r="E42" s="173"/>
      <c r="F42" s="173"/>
      <c r="G42" s="173"/>
      <c r="H42" s="199"/>
      <c r="I42" s="174"/>
      <c r="J42" s="176"/>
      <c r="K42" s="176"/>
      <c r="L42" s="178"/>
      <c r="M42" s="178"/>
      <c r="N42" s="178"/>
      <c r="O42" s="177"/>
      <c r="P42" s="178"/>
      <c r="Q42" s="178"/>
      <c r="R42" s="180">
        <v>0</v>
      </c>
      <c r="S42" s="276">
        <v>2</v>
      </c>
      <c r="T42" s="180">
        <v>0</v>
      </c>
      <c r="U42" s="244">
        <v>1250000</v>
      </c>
      <c r="V42" s="177"/>
      <c r="W42" s="177">
        <v>0</v>
      </c>
      <c r="X42" s="177">
        <v>0</v>
      </c>
      <c r="Y42" s="177">
        <v>0</v>
      </c>
      <c r="Z42" s="177">
        <v>0</v>
      </c>
      <c r="AA42" s="177">
        <v>0</v>
      </c>
      <c r="AB42" s="177">
        <v>0</v>
      </c>
      <c r="AC42" s="244">
        <v>1250000</v>
      </c>
      <c r="AD42" s="177">
        <v>0</v>
      </c>
      <c r="AE42" s="177">
        <v>0</v>
      </c>
      <c r="AF42" s="177">
        <v>0</v>
      </c>
      <c r="AG42" s="177">
        <v>0</v>
      </c>
      <c r="AH42" s="245">
        <v>0</v>
      </c>
      <c r="AI42" s="177">
        <v>0</v>
      </c>
      <c r="AJ42" s="177">
        <v>0</v>
      </c>
      <c r="AK42" s="246">
        <v>0</v>
      </c>
      <c r="AL42" s="181"/>
      <c r="AM42" s="177">
        <v>2913000</v>
      </c>
      <c r="AN42" s="178"/>
      <c r="AO42" s="181"/>
      <c r="AP42" s="177">
        <v>1250000</v>
      </c>
      <c r="AQ42" s="182"/>
      <c r="AR42" s="177"/>
      <c r="AS42" s="177"/>
      <c r="AT42" s="177">
        <v>0</v>
      </c>
      <c r="AU42" s="177">
        <v>0</v>
      </c>
      <c r="AV42" s="177">
        <v>0</v>
      </c>
      <c r="AW42" s="177">
        <v>0</v>
      </c>
      <c r="AX42" s="177">
        <v>-1663000</v>
      </c>
      <c r="AY42" s="177">
        <v>0</v>
      </c>
      <c r="AZ42" s="177">
        <v>1663000</v>
      </c>
      <c r="BA42" s="177">
        <v>0</v>
      </c>
      <c r="BB42" s="177"/>
      <c r="BC42" s="177"/>
      <c r="BD42" s="177"/>
      <c r="BE42" s="177"/>
      <c r="BF42" s="177"/>
      <c r="BG42" s="177"/>
      <c r="BH42" s="177"/>
      <c r="BI42" s="177"/>
      <c r="BJ42" s="177"/>
      <c r="BK42" s="177"/>
      <c r="BL42" s="177"/>
      <c r="BM42" s="177"/>
      <c r="BN42" s="177"/>
      <c r="BO42" s="177"/>
      <c r="BP42" s="177"/>
      <c r="BQ42" s="178"/>
      <c r="BR42" s="178"/>
      <c r="BS42" s="184"/>
      <c r="BT42" s="178"/>
      <c r="BU42" s="220"/>
      <c r="BV42" s="178"/>
      <c r="BW42" s="185"/>
      <c r="BX42" s="185"/>
      <c r="BY42" s="177"/>
      <c r="BZ42" s="177"/>
      <c r="CA42" s="177">
        <v>0</v>
      </c>
      <c r="CB42" s="177"/>
      <c r="CC42" s="177"/>
      <c r="CD42" s="177"/>
      <c r="CE42" s="177"/>
      <c r="CF42" s="177"/>
      <c r="CG42" s="177"/>
      <c r="CH42" s="177"/>
      <c r="CI42" s="177"/>
      <c r="CJ42" s="177"/>
      <c r="CK42" s="178"/>
      <c r="CL42" s="178"/>
    </row>
    <row r="43" spans="1:90" outlineLevel="3" x14ac:dyDescent="0.3">
      <c r="A43" s="134" t="s">
        <v>342</v>
      </c>
      <c r="B43" s="134" t="s">
        <v>562</v>
      </c>
      <c r="C43" s="134" t="s">
        <v>572</v>
      </c>
      <c r="D43" s="134" t="s">
        <v>573</v>
      </c>
      <c r="E43" s="134" t="s">
        <v>480</v>
      </c>
      <c r="F43" s="134" t="s">
        <v>194</v>
      </c>
      <c r="G43" s="134" t="s">
        <v>527</v>
      </c>
      <c r="H43" s="198" t="s">
        <v>323</v>
      </c>
      <c r="I43" s="160" t="s">
        <v>313</v>
      </c>
      <c r="J43" s="161">
        <v>1</v>
      </c>
      <c r="K43" s="162">
        <v>1</v>
      </c>
      <c r="L43" s="164">
        <v>0</v>
      </c>
      <c r="M43" s="164">
        <v>0</v>
      </c>
      <c r="N43" s="164">
        <v>1</v>
      </c>
      <c r="O43" s="163">
        <v>0</v>
      </c>
      <c r="P43" s="165">
        <v>0</v>
      </c>
      <c r="Q43" s="165">
        <v>0</v>
      </c>
      <c r="R43" s="166" t="s">
        <v>583</v>
      </c>
      <c r="S43" s="275">
        <v>0.5</v>
      </c>
      <c r="T43" s="166">
        <v>0</v>
      </c>
      <c r="U43" s="241">
        <v>0</v>
      </c>
      <c r="V43" s="163" t="s">
        <v>314</v>
      </c>
      <c r="W43" s="163">
        <v>0</v>
      </c>
      <c r="X43" s="163">
        <v>0</v>
      </c>
      <c r="Y43" s="163">
        <v>0</v>
      </c>
      <c r="Z43" s="163">
        <v>0</v>
      </c>
      <c r="AA43" s="163">
        <v>0</v>
      </c>
      <c r="AB43" s="163">
        <v>0</v>
      </c>
      <c r="AC43" s="241">
        <v>0</v>
      </c>
      <c r="AD43" s="163">
        <v>0</v>
      </c>
      <c r="AE43" s="163">
        <v>0</v>
      </c>
      <c r="AF43" s="163">
        <v>0</v>
      </c>
      <c r="AG43" s="163">
        <v>0</v>
      </c>
      <c r="AH43" s="242">
        <v>179755.5</v>
      </c>
      <c r="AI43" s="163">
        <v>0</v>
      </c>
      <c r="AJ43" s="163">
        <v>-179755.5</v>
      </c>
      <c r="AK43" s="243">
        <v>0</v>
      </c>
      <c r="AL43" s="167">
        <v>0</v>
      </c>
      <c r="AM43" s="163">
        <v>1247943.5</v>
      </c>
      <c r="AN43" s="167">
        <v>0</v>
      </c>
      <c r="AO43" s="164">
        <v>0</v>
      </c>
      <c r="AP43" s="163">
        <v>0</v>
      </c>
      <c r="AQ43" s="168">
        <v>1</v>
      </c>
      <c r="AR43" s="163">
        <v>0</v>
      </c>
      <c r="AS43" s="163">
        <v>0</v>
      </c>
      <c r="AT43" s="163">
        <v>179755.5</v>
      </c>
      <c r="AU43" s="163">
        <v>0</v>
      </c>
      <c r="AV43" s="163">
        <v>-179755.5</v>
      </c>
      <c r="AW43" s="163">
        <v>0</v>
      </c>
      <c r="AX43" s="163">
        <v>-297943.5</v>
      </c>
      <c r="AY43" s="163">
        <v>0</v>
      </c>
      <c r="AZ43" s="163">
        <v>297943.5</v>
      </c>
      <c r="BA43" s="163">
        <v>0</v>
      </c>
      <c r="BB43" s="163" t="s">
        <v>194</v>
      </c>
      <c r="BC43" s="163" t="s">
        <v>194</v>
      </c>
      <c r="BD43" s="163">
        <v>179755.5</v>
      </c>
      <c r="BE43" s="163">
        <v>0</v>
      </c>
      <c r="BF43" s="163">
        <v>-179755.5</v>
      </c>
      <c r="BG43" s="163">
        <v>0</v>
      </c>
      <c r="BH43" s="163">
        <v>-297943.5</v>
      </c>
      <c r="BI43" s="163">
        <v>0</v>
      </c>
      <c r="BJ43" s="163">
        <v>297943.5</v>
      </c>
      <c r="BK43" s="163">
        <v>0</v>
      </c>
      <c r="BL43" s="171">
        <v>0</v>
      </c>
      <c r="BM43" s="163" t="s">
        <v>318</v>
      </c>
      <c r="BN43" s="163">
        <v>0</v>
      </c>
      <c r="BO43" s="163" t="b">
        <v>0</v>
      </c>
      <c r="BP43" s="163">
        <v>-179755.5</v>
      </c>
      <c r="BQ43" s="164" t="s">
        <v>589</v>
      </c>
      <c r="BR43" s="164">
        <v>0</v>
      </c>
      <c r="BS43" s="170">
        <v>77</v>
      </c>
      <c r="BT43" s="164">
        <v>0</v>
      </c>
      <c r="BU43" s="227">
        <v>0</v>
      </c>
      <c r="BV43" s="164">
        <v>59</v>
      </c>
      <c r="BW43" s="171">
        <v>0</v>
      </c>
      <c r="BX43" s="171">
        <v>0</v>
      </c>
      <c r="BY43" s="163">
        <v>0</v>
      </c>
      <c r="BZ43" s="163">
        <v>-950000</v>
      </c>
      <c r="CA43" s="163">
        <v>-950000</v>
      </c>
      <c r="CB43" s="163">
        <v>-950000</v>
      </c>
      <c r="CC43" s="163">
        <v>0</v>
      </c>
      <c r="CD43" s="163">
        <v>0</v>
      </c>
      <c r="CE43" s="163">
        <v>0</v>
      </c>
      <c r="CF43" s="163">
        <v>0</v>
      </c>
      <c r="CG43" s="163">
        <v>179755.5</v>
      </c>
      <c r="CH43" s="163">
        <v>0</v>
      </c>
      <c r="CI43" s="163">
        <v>-179755.5</v>
      </c>
      <c r="CJ43" s="163">
        <v>0</v>
      </c>
      <c r="CK43" s="164">
        <v>0</v>
      </c>
      <c r="CL43" s="164">
        <v>0</v>
      </c>
    </row>
    <row r="44" spans="1:90" outlineLevel="3" x14ac:dyDescent="0.3">
      <c r="A44" s="134" t="s">
        <v>342</v>
      </c>
      <c r="B44" s="134" t="s">
        <v>562</v>
      </c>
      <c r="C44" s="134" t="s">
        <v>572</v>
      </c>
      <c r="D44" s="134" t="s">
        <v>573</v>
      </c>
      <c r="E44" s="134" t="s">
        <v>486</v>
      </c>
      <c r="F44" s="134" t="s">
        <v>194</v>
      </c>
      <c r="G44" s="134" t="s">
        <v>527</v>
      </c>
      <c r="H44" s="198" t="s">
        <v>323</v>
      </c>
      <c r="I44" s="160" t="s">
        <v>313</v>
      </c>
      <c r="J44" s="161">
        <v>1</v>
      </c>
      <c r="K44" s="162">
        <v>1</v>
      </c>
      <c r="L44" s="164">
        <v>0</v>
      </c>
      <c r="M44" s="164">
        <v>0</v>
      </c>
      <c r="N44" s="164">
        <v>1</v>
      </c>
      <c r="O44" s="163">
        <v>0</v>
      </c>
      <c r="P44" s="165">
        <v>0</v>
      </c>
      <c r="Q44" s="165">
        <v>0</v>
      </c>
      <c r="R44" s="166" t="s">
        <v>583</v>
      </c>
      <c r="S44" s="275">
        <v>0.5</v>
      </c>
      <c r="T44" s="166">
        <v>0</v>
      </c>
      <c r="U44" s="241">
        <v>0</v>
      </c>
      <c r="V44" s="163" t="s">
        <v>314</v>
      </c>
      <c r="W44" s="163">
        <v>0</v>
      </c>
      <c r="X44" s="163">
        <v>0</v>
      </c>
      <c r="Y44" s="163">
        <v>0</v>
      </c>
      <c r="Z44" s="163">
        <v>0</v>
      </c>
      <c r="AA44" s="163">
        <v>0</v>
      </c>
      <c r="AB44" s="163">
        <v>0</v>
      </c>
      <c r="AC44" s="241">
        <v>0</v>
      </c>
      <c r="AD44" s="163">
        <v>0</v>
      </c>
      <c r="AE44" s="163">
        <v>0</v>
      </c>
      <c r="AF44" s="163">
        <v>0</v>
      </c>
      <c r="AG44" s="163">
        <v>0</v>
      </c>
      <c r="AH44" s="242">
        <v>0</v>
      </c>
      <c r="AI44" s="163">
        <v>0</v>
      </c>
      <c r="AJ44" s="163">
        <v>0</v>
      </c>
      <c r="AK44" s="243">
        <v>0</v>
      </c>
      <c r="AL44" s="167">
        <v>0</v>
      </c>
      <c r="AM44" s="163">
        <v>0</v>
      </c>
      <c r="AN44" s="167">
        <v>0</v>
      </c>
      <c r="AO44" s="164">
        <v>0</v>
      </c>
      <c r="AP44" s="163">
        <v>0</v>
      </c>
      <c r="AQ44" s="168">
        <v>1</v>
      </c>
      <c r="AR44" s="163">
        <v>0</v>
      </c>
      <c r="AS44" s="163">
        <v>0</v>
      </c>
      <c r="AT44" s="163">
        <v>0</v>
      </c>
      <c r="AU44" s="163">
        <v>0</v>
      </c>
      <c r="AV44" s="163">
        <v>0</v>
      </c>
      <c r="AW44" s="163">
        <v>0</v>
      </c>
      <c r="AX44" s="163">
        <v>-175230.57</v>
      </c>
      <c r="AY44" s="163">
        <v>0</v>
      </c>
      <c r="AZ44" s="163">
        <v>175230.57</v>
      </c>
      <c r="BA44" s="163">
        <v>0</v>
      </c>
      <c r="BB44" s="163" t="s">
        <v>194</v>
      </c>
      <c r="BC44" s="163" t="s">
        <v>194</v>
      </c>
      <c r="BD44" s="163">
        <v>0</v>
      </c>
      <c r="BE44" s="163">
        <v>0</v>
      </c>
      <c r="BF44" s="163">
        <v>0</v>
      </c>
      <c r="BG44" s="163">
        <v>0</v>
      </c>
      <c r="BH44" s="163">
        <v>-175230.57</v>
      </c>
      <c r="BI44" s="163">
        <v>0</v>
      </c>
      <c r="BJ44" s="163">
        <v>175230.57</v>
      </c>
      <c r="BK44" s="163">
        <v>0</v>
      </c>
      <c r="BL44" s="171">
        <v>0</v>
      </c>
      <c r="BM44" s="163" t="s">
        <v>315</v>
      </c>
      <c r="BN44" s="163">
        <v>0</v>
      </c>
      <c r="BO44" s="163" t="b">
        <v>0</v>
      </c>
      <c r="BP44" s="163">
        <v>0</v>
      </c>
      <c r="BQ44" s="164" t="s">
        <v>589</v>
      </c>
      <c r="BR44" s="164">
        <v>1247944</v>
      </c>
      <c r="BS44" s="170">
        <v>77</v>
      </c>
      <c r="BT44" s="164">
        <v>0</v>
      </c>
      <c r="BU44" s="227">
        <v>0</v>
      </c>
      <c r="BV44" s="164">
        <v>60</v>
      </c>
      <c r="BW44" s="171">
        <v>0</v>
      </c>
      <c r="BX44" s="171">
        <v>0</v>
      </c>
      <c r="BY44" s="163">
        <v>0</v>
      </c>
      <c r="BZ44" s="163">
        <v>0</v>
      </c>
      <c r="CA44" s="163">
        <v>0</v>
      </c>
      <c r="CB44" s="163">
        <v>175230.57</v>
      </c>
      <c r="CC44" s="163">
        <v>0</v>
      </c>
      <c r="CD44" s="163">
        <v>0</v>
      </c>
      <c r="CE44" s="163">
        <v>0</v>
      </c>
      <c r="CF44" s="163">
        <v>0</v>
      </c>
      <c r="CG44" s="163">
        <v>0</v>
      </c>
      <c r="CH44" s="163">
        <v>0</v>
      </c>
      <c r="CI44" s="163">
        <v>0</v>
      </c>
      <c r="CJ44" s="163">
        <v>0</v>
      </c>
      <c r="CK44" s="164">
        <v>0</v>
      </c>
      <c r="CL44" s="164">
        <v>0</v>
      </c>
    </row>
    <row r="45" spans="1:90" outlineLevel="3" x14ac:dyDescent="0.3">
      <c r="A45" s="134" t="s">
        <v>342</v>
      </c>
      <c r="B45" s="134" t="s">
        <v>562</v>
      </c>
      <c r="C45" s="134" t="s">
        <v>356</v>
      </c>
      <c r="D45" s="134" t="s">
        <v>357</v>
      </c>
      <c r="E45" s="134" t="s">
        <v>212</v>
      </c>
      <c r="F45" s="134" t="s">
        <v>194</v>
      </c>
      <c r="G45" s="134" t="s">
        <v>547</v>
      </c>
      <c r="H45" s="198" t="s">
        <v>323</v>
      </c>
      <c r="I45" s="160" t="s">
        <v>313</v>
      </c>
      <c r="J45" s="161">
        <v>1000</v>
      </c>
      <c r="K45" s="162">
        <v>1000</v>
      </c>
      <c r="L45" s="164">
        <v>0</v>
      </c>
      <c r="M45" s="164">
        <v>0</v>
      </c>
      <c r="N45" s="164">
        <v>1</v>
      </c>
      <c r="O45" s="163">
        <v>0</v>
      </c>
      <c r="P45" s="165">
        <v>0</v>
      </c>
      <c r="Q45" s="165">
        <v>0</v>
      </c>
      <c r="R45" s="166">
        <v>0</v>
      </c>
      <c r="S45" s="275">
        <v>1</v>
      </c>
      <c r="T45" s="166" t="s">
        <v>581</v>
      </c>
      <c r="U45" s="241">
        <v>0</v>
      </c>
      <c r="V45" s="163" t="s">
        <v>314</v>
      </c>
      <c r="W45" s="163">
        <v>0</v>
      </c>
      <c r="X45" s="163">
        <v>0</v>
      </c>
      <c r="Y45" s="163">
        <v>0</v>
      </c>
      <c r="Z45" s="163">
        <v>0</v>
      </c>
      <c r="AA45" s="163">
        <v>0</v>
      </c>
      <c r="AB45" s="163">
        <v>0</v>
      </c>
      <c r="AC45" s="241">
        <v>0</v>
      </c>
      <c r="AD45" s="163">
        <v>0</v>
      </c>
      <c r="AE45" s="163">
        <v>0</v>
      </c>
      <c r="AF45" s="163">
        <v>0</v>
      </c>
      <c r="AG45" s="163">
        <v>0</v>
      </c>
      <c r="AH45" s="242">
        <v>0</v>
      </c>
      <c r="AI45" s="163">
        <v>0</v>
      </c>
      <c r="AJ45" s="163">
        <v>0</v>
      </c>
      <c r="AK45" s="243">
        <v>0</v>
      </c>
      <c r="AL45" s="167">
        <v>0</v>
      </c>
      <c r="AM45" s="163">
        <v>1360000</v>
      </c>
      <c r="AN45" s="167">
        <v>0</v>
      </c>
      <c r="AO45" s="164">
        <v>0</v>
      </c>
      <c r="AP45" s="163">
        <v>0</v>
      </c>
      <c r="AQ45" s="168">
        <v>1</v>
      </c>
      <c r="AR45" s="163">
        <v>0</v>
      </c>
      <c r="AS45" s="163">
        <v>0</v>
      </c>
      <c r="AT45" s="163">
        <v>0</v>
      </c>
      <c r="AU45" s="163">
        <v>0</v>
      </c>
      <c r="AV45" s="163">
        <v>0</v>
      </c>
      <c r="AW45" s="163">
        <v>0</v>
      </c>
      <c r="AX45" s="163">
        <v>-1360000</v>
      </c>
      <c r="AY45" s="163">
        <v>0</v>
      </c>
      <c r="AZ45" s="163">
        <v>1360000</v>
      </c>
      <c r="BA45" s="163">
        <v>0</v>
      </c>
      <c r="BB45" s="163" t="s">
        <v>194</v>
      </c>
      <c r="BC45" s="163" t="s">
        <v>194</v>
      </c>
      <c r="BD45" s="163">
        <v>0</v>
      </c>
      <c r="BE45" s="163">
        <v>0</v>
      </c>
      <c r="BF45" s="163">
        <v>0</v>
      </c>
      <c r="BG45" s="163">
        <v>0</v>
      </c>
      <c r="BH45" s="163">
        <v>-1360000</v>
      </c>
      <c r="BI45" s="163">
        <v>0</v>
      </c>
      <c r="BJ45" s="163">
        <v>1360000</v>
      </c>
      <c r="BK45" s="163">
        <v>0</v>
      </c>
      <c r="BL45" s="171">
        <v>0</v>
      </c>
      <c r="BM45" s="163" t="s">
        <v>315</v>
      </c>
      <c r="BN45" s="163">
        <v>0</v>
      </c>
      <c r="BO45" s="163" t="b">
        <v>0</v>
      </c>
      <c r="BP45" s="163">
        <v>0</v>
      </c>
      <c r="BQ45" s="164">
        <v>1000</v>
      </c>
      <c r="BR45" s="164">
        <v>2360000</v>
      </c>
      <c r="BS45" s="170">
        <v>77</v>
      </c>
      <c r="BT45" s="164">
        <v>0</v>
      </c>
      <c r="BU45" s="227">
        <v>0</v>
      </c>
      <c r="BV45" s="164">
        <v>61</v>
      </c>
      <c r="BW45" s="171">
        <v>0</v>
      </c>
      <c r="BX45" s="171">
        <v>0</v>
      </c>
      <c r="BY45" s="163">
        <v>0</v>
      </c>
      <c r="BZ45" s="163">
        <v>0</v>
      </c>
      <c r="CA45" s="163">
        <v>0</v>
      </c>
      <c r="CB45" s="163">
        <v>0</v>
      </c>
      <c r="CC45" s="163">
        <v>0</v>
      </c>
      <c r="CD45" s="163">
        <v>0</v>
      </c>
      <c r="CE45" s="163">
        <v>0</v>
      </c>
      <c r="CF45" s="163">
        <v>0</v>
      </c>
      <c r="CG45" s="163">
        <v>0</v>
      </c>
      <c r="CH45" s="163">
        <v>0</v>
      </c>
      <c r="CI45" s="163">
        <v>0</v>
      </c>
      <c r="CJ45" s="163">
        <v>0</v>
      </c>
      <c r="CK45" s="164">
        <v>0</v>
      </c>
      <c r="CL45" s="164">
        <v>0</v>
      </c>
    </row>
    <row r="46" spans="1:90" outlineLevel="3" x14ac:dyDescent="0.3">
      <c r="A46" s="134" t="s">
        <v>342</v>
      </c>
      <c r="B46" s="134" t="s">
        <v>562</v>
      </c>
      <c r="C46" s="134" t="s">
        <v>356</v>
      </c>
      <c r="D46" s="134" t="s">
        <v>357</v>
      </c>
      <c r="E46" s="134" t="s">
        <v>202</v>
      </c>
      <c r="F46" s="134" t="s">
        <v>194</v>
      </c>
      <c r="G46" s="134" t="s">
        <v>527</v>
      </c>
      <c r="H46" s="198" t="s">
        <v>323</v>
      </c>
      <c r="I46" s="160" t="s">
        <v>313</v>
      </c>
      <c r="J46" s="161">
        <v>172031</v>
      </c>
      <c r="K46" s="162">
        <v>172031</v>
      </c>
      <c r="L46" s="164">
        <v>0</v>
      </c>
      <c r="M46" s="164">
        <v>0.5</v>
      </c>
      <c r="N46" s="164">
        <v>1</v>
      </c>
      <c r="O46" s="163">
        <v>0</v>
      </c>
      <c r="P46" s="165">
        <v>0</v>
      </c>
      <c r="Q46" s="165">
        <v>0</v>
      </c>
      <c r="R46" s="166">
        <v>0</v>
      </c>
      <c r="S46" s="275">
        <v>1</v>
      </c>
      <c r="T46" s="166" t="s">
        <v>581</v>
      </c>
      <c r="U46" s="241">
        <v>0</v>
      </c>
      <c r="V46" s="163" t="s">
        <v>314</v>
      </c>
      <c r="W46" s="163">
        <v>0</v>
      </c>
      <c r="X46" s="163">
        <v>0</v>
      </c>
      <c r="Y46" s="163">
        <v>0</v>
      </c>
      <c r="Z46" s="163">
        <v>0</v>
      </c>
      <c r="AA46" s="163">
        <v>0</v>
      </c>
      <c r="AB46" s="163">
        <v>0</v>
      </c>
      <c r="AC46" s="241">
        <v>0</v>
      </c>
      <c r="AD46" s="163">
        <v>0</v>
      </c>
      <c r="AE46" s="163">
        <v>0</v>
      </c>
      <c r="AF46" s="163">
        <v>0</v>
      </c>
      <c r="AG46" s="163">
        <v>0</v>
      </c>
      <c r="AH46" s="242">
        <v>0</v>
      </c>
      <c r="AI46" s="163">
        <v>0</v>
      </c>
      <c r="AJ46" s="163">
        <v>0</v>
      </c>
      <c r="AK46" s="243">
        <v>0</v>
      </c>
      <c r="AL46" s="167">
        <v>0</v>
      </c>
      <c r="AM46" s="163">
        <v>23507915</v>
      </c>
      <c r="AN46" s="167">
        <v>0</v>
      </c>
      <c r="AO46" s="164">
        <v>0</v>
      </c>
      <c r="AP46" s="163">
        <v>0</v>
      </c>
      <c r="AQ46" s="168">
        <v>1</v>
      </c>
      <c r="AR46" s="163">
        <v>0</v>
      </c>
      <c r="AS46" s="163">
        <v>0</v>
      </c>
      <c r="AT46" s="163">
        <v>0</v>
      </c>
      <c r="AU46" s="163">
        <v>0</v>
      </c>
      <c r="AV46" s="163">
        <v>0</v>
      </c>
      <c r="AW46" s="163">
        <v>0</v>
      </c>
      <c r="AX46" s="163">
        <v>-23507915</v>
      </c>
      <c r="AY46" s="163">
        <v>0</v>
      </c>
      <c r="AZ46" s="163">
        <v>23507915</v>
      </c>
      <c r="BA46" s="163">
        <v>0</v>
      </c>
      <c r="BB46" s="163" t="s">
        <v>194</v>
      </c>
      <c r="BC46" s="163" t="s">
        <v>194</v>
      </c>
      <c r="BD46" s="163">
        <v>0</v>
      </c>
      <c r="BE46" s="163">
        <v>0</v>
      </c>
      <c r="BF46" s="163">
        <v>0</v>
      </c>
      <c r="BG46" s="163">
        <v>0</v>
      </c>
      <c r="BH46" s="163">
        <v>-23507915</v>
      </c>
      <c r="BI46" s="163">
        <v>0</v>
      </c>
      <c r="BJ46" s="163">
        <v>23507915</v>
      </c>
      <c r="BK46" s="163">
        <v>0</v>
      </c>
      <c r="BL46" s="171">
        <v>0</v>
      </c>
      <c r="BM46" s="163" t="s">
        <v>315</v>
      </c>
      <c r="BN46" s="163">
        <v>0</v>
      </c>
      <c r="BO46" s="163" t="b">
        <v>0</v>
      </c>
      <c r="BP46" s="163">
        <v>0</v>
      </c>
      <c r="BQ46" s="165">
        <v>0</v>
      </c>
      <c r="BR46" s="164">
        <v>10687838</v>
      </c>
      <c r="BS46" s="170">
        <v>77</v>
      </c>
      <c r="BT46" s="164">
        <v>0</v>
      </c>
      <c r="BU46" s="227">
        <v>0</v>
      </c>
      <c r="BV46" s="164">
        <v>64</v>
      </c>
      <c r="BW46" s="171">
        <v>0</v>
      </c>
      <c r="BX46" s="171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F46" s="163">
        <v>0</v>
      </c>
      <c r="CG46" s="163">
        <v>0</v>
      </c>
      <c r="CH46" s="163">
        <v>0</v>
      </c>
      <c r="CI46" s="163">
        <v>0</v>
      </c>
      <c r="CJ46" s="163">
        <v>0</v>
      </c>
      <c r="CK46" s="164">
        <v>0.5</v>
      </c>
      <c r="CL46" s="164">
        <v>0</v>
      </c>
    </row>
    <row r="47" spans="1:90" outlineLevel="3" x14ac:dyDescent="0.3">
      <c r="A47" s="134" t="s">
        <v>342</v>
      </c>
      <c r="B47" s="134" t="s">
        <v>562</v>
      </c>
      <c r="C47" s="134" t="s">
        <v>356</v>
      </c>
      <c r="D47" s="134" t="s">
        <v>357</v>
      </c>
      <c r="E47" s="134" t="s">
        <v>377</v>
      </c>
      <c r="F47" s="134" t="s">
        <v>194</v>
      </c>
      <c r="G47" s="198" t="s">
        <v>378</v>
      </c>
      <c r="H47" s="198" t="s">
        <v>323</v>
      </c>
      <c r="I47" s="160" t="s">
        <v>313</v>
      </c>
      <c r="J47" s="161">
        <v>1</v>
      </c>
      <c r="K47" s="162">
        <v>1</v>
      </c>
      <c r="L47" s="164">
        <v>0</v>
      </c>
      <c r="M47" s="164">
        <v>0</v>
      </c>
      <c r="N47" s="164">
        <v>1</v>
      </c>
      <c r="O47" s="163">
        <v>0</v>
      </c>
      <c r="P47" s="165">
        <v>0</v>
      </c>
      <c r="Q47" s="165">
        <v>0</v>
      </c>
      <c r="R47" s="166">
        <v>0</v>
      </c>
      <c r="S47" s="275">
        <v>1</v>
      </c>
      <c r="T47" s="166" t="s">
        <v>585</v>
      </c>
      <c r="U47" s="241">
        <v>0</v>
      </c>
      <c r="V47" s="163" t="s">
        <v>314</v>
      </c>
      <c r="W47" s="163">
        <v>0</v>
      </c>
      <c r="X47" s="163">
        <v>0</v>
      </c>
      <c r="Y47" s="163">
        <v>0</v>
      </c>
      <c r="Z47" s="163">
        <v>0</v>
      </c>
      <c r="AA47" s="163">
        <v>0</v>
      </c>
      <c r="AB47" s="163">
        <v>0</v>
      </c>
      <c r="AC47" s="241">
        <v>0</v>
      </c>
      <c r="AD47" s="163">
        <v>0</v>
      </c>
      <c r="AE47" s="163">
        <v>0</v>
      </c>
      <c r="AF47" s="163">
        <v>0</v>
      </c>
      <c r="AG47" s="163">
        <v>0</v>
      </c>
      <c r="AH47" s="242">
        <v>0</v>
      </c>
      <c r="AI47" s="163">
        <v>0</v>
      </c>
      <c r="AJ47" s="163">
        <v>0</v>
      </c>
      <c r="AK47" s="243">
        <v>0</v>
      </c>
      <c r="AL47" s="167">
        <v>0</v>
      </c>
      <c r="AM47" s="163">
        <v>10372212</v>
      </c>
      <c r="AN47" s="167">
        <v>0</v>
      </c>
      <c r="AO47" s="164">
        <v>0</v>
      </c>
      <c r="AP47" s="163">
        <v>0</v>
      </c>
      <c r="AQ47" s="168">
        <v>1</v>
      </c>
      <c r="AR47" s="163">
        <v>0</v>
      </c>
      <c r="AS47" s="163">
        <v>0</v>
      </c>
      <c r="AT47" s="163">
        <v>0</v>
      </c>
      <c r="AU47" s="163">
        <v>0</v>
      </c>
      <c r="AV47" s="163">
        <v>0</v>
      </c>
      <c r="AW47" s="163">
        <v>0</v>
      </c>
      <c r="AX47" s="163">
        <v>-10372212</v>
      </c>
      <c r="AY47" s="163">
        <v>0</v>
      </c>
      <c r="AZ47" s="163">
        <v>10372212</v>
      </c>
      <c r="BA47" s="163">
        <v>0</v>
      </c>
      <c r="BB47" s="163" t="s">
        <v>194</v>
      </c>
      <c r="BC47" s="163" t="s">
        <v>194</v>
      </c>
      <c r="BD47" s="163">
        <v>0</v>
      </c>
      <c r="BE47" s="163">
        <v>0</v>
      </c>
      <c r="BF47" s="163">
        <v>0</v>
      </c>
      <c r="BG47" s="163">
        <v>0</v>
      </c>
      <c r="BH47" s="163">
        <v>-10372212</v>
      </c>
      <c r="BI47" s="163">
        <v>0</v>
      </c>
      <c r="BJ47" s="163">
        <v>10372212</v>
      </c>
      <c r="BK47" s="163">
        <v>0</v>
      </c>
      <c r="BL47" s="163">
        <v>0</v>
      </c>
      <c r="BM47" s="163" t="s">
        <v>315</v>
      </c>
      <c r="BN47" s="163">
        <v>0</v>
      </c>
      <c r="BO47" s="163" t="b">
        <v>0</v>
      </c>
      <c r="BP47" s="163">
        <v>0</v>
      </c>
      <c r="BQ47" s="165">
        <v>159431</v>
      </c>
      <c r="BR47" s="164">
        <v>10372212</v>
      </c>
      <c r="BS47" s="170">
        <v>77</v>
      </c>
      <c r="BT47" s="164">
        <v>0</v>
      </c>
      <c r="BU47" s="227">
        <v>0</v>
      </c>
      <c r="BV47" s="164">
        <v>66</v>
      </c>
      <c r="BW47" s="171">
        <v>0</v>
      </c>
      <c r="BX47" s="171">
        <v>0</v>
      </c>
      <c r="BY47" s="163">
        <v>0</v>
      </c>
      <c r="BZ47" s="163">
        <v>0</v>
      </c>
      <c r="CA47" s="163">
        <v>0</v>
      </c>
      <c r="CB47" s="163">
        <v>0</v>
      </c>
      <c r="CC47" s="163">
        <v>0</v>
      </c>
      <c r="CD47" s="163">
        <v>0</v>
      </c>
      <c r="CE47" s="163">
        <v>0</v>
      </c>
      <c r="CF47" s="163">
        <v>0</v>
      </c>
      <c r="CG47" s="163">
        <v>0</v>
      </c>
      <c r="CH47" s="163">
        <v>0</v>
      </c>
      <c r="CI47" s="163">
        <v>0</v>
      </c>
      <c r="CJ47" s="163">
        <v>0</v>
      </c>
      <c r="CK47" s="164">
        <v>0</v>
      </c>
      <c r="CL47" s="164">
        <v>0</v>
      </c>
    </row>
    <row r="48" spans="1:90" s="186" customFormat="1" ht="20.100000000000001" customHeight="1" outlineLevel="2" x14ac:dyDescent="0.3">
      <c r="A48" s="173" t="s">
        <v>343</v>
      </c>
      <c r="B48" s="173"/>
      <c r="C48" s="173"/>
      <c r="D48" s="173"/>
      <c r="E48" s="173"/>
      <c r="F48" s="173"/>
      <c r="G48" s="199"/>
      <c r="H48" s="199"/>
      <c r="I48" s="174"/>
      <c r="J48" s="175"/>
      <c r="K48" s="176"/>
      <c r="L48" s="178"/>
      <c r="M48" s="178"/>
      <c r="N48" s="178"/>
      <c r="O48" s="177"/>
      <c r="P48" s="179"/>
      <c r="Q48" s="179"/>
      <c r="R48" s="180">
        <v>0</v>
      </c>
      <c r="S48" s="276">
        <v>4</v>
      </c>
      <c r="T48" s="180">
        <v>0</v>
      </c>
      <c r="U48" s="244">
        <v>0</v>
      </c>
      <c r="V48" s="177"/>
      <c r="W48" s="177">
        <v>0</v>
      </c>
      <c r="X48" s="177">
        <v>0</v>
      </c>
      <c r="Y48" s="177">
        <v>0</v>
      </c>
      <c r="Z48" s="177">
        <v>0</v>
      </c>
      <c r="AA48" s="177">
        <v>0</v>
      </c>
      <c r="AB48" s="177">
        <v>0</v>
      </c>
      <c r="AC48" s="244">
        <v>0</v>
      </c>
      <c r="AD48" s="177">
        <v>0</v>
      </c>
      <c r="AE48" s="177">
        <v>0</v>
      </c>
      <c r="AF48" s="177">
        <v>0</v>
      </c>
      <c r="AG48" s="177">
        <v>0</v>
      </c>
      <c r="AH48" s="245">
        <v>179755.5</v>
      </c>
      <c r="AI48" s="177">
        <v>0</v>
      </c>
      <c r="AJ48" s="177">
        <v>-179755.5</v>
      </c>
      <c r="AK48" s="246">
        <v>0</v>
      </c>
      <c r="AL48" s="181"/>
      <c r="AM48" s="177">
        <v>36488070.5</v>
      </c>
      <c r="AN48" s="181"/>
      <c r="AO48" s="178"/>
      <c r="AP48" s="177">
        <v>0</v>
      </c>
      <c r="AQ48" s="182"/>
      <c r="AR48" s="177"/>
      <c r="AS48" s="177"/>
      <c r="AT48" s="177">
        <v>179755.5</v>
      </c>
      <c r="AU48" s="177">
        <v>0</v>
      </c>
      <c r="AV48" s="177">
        <v>-179755.5</v>
      </c>
      <c r="AW48" s="177">
        <v>0</v>
      </c>
      <c r="AX48" s="177">
        <v>-35713301.07</v>
      </c>
      <c r="AY48" s="177">
        <v>0</v>
      </c>
      <c r="AZ48" s="177">
        <v>35713301.07</v>
      </c>
      <c r="BA48" s="177">
        <v>0</v>
      </c>
      <c r="BB48" s="177"/>
      <c r="BC48" s="177"/>
      <c r="BD48" s="177"/>
      <c r="BE48" s="177"/>
      <c r="BF48" s="177"/>
      <c r="BG48" s="177"/>
      <c r="BH48" s="177"/>
      <c r="BI48" s="177"/>
      <c r="BJ48" s="177"/>
      <c r="BK48" s="177"/>
      <c r="BL48" s="177"/>
      <c r="BM48" s="177"/>
      <c r="BN48" s="177"/>
      <c r="BO48" s="177"/>
      <c r="BP48" s="177"/>
      <c r="BQ48" s="179"/>
      <c r="BR48" s="178"/>
      <c r="BS48" s="184"/>
      <c r="BT48" s="178"/>
      <c r="BU48" s="220"/>
      <c r="BV48" s="178"/>
      <c r="BW48" s="185"/>
      <c r="BX48" s="185"/>
      <c r="BY48" s="177"/>
      <c r="BZ48" s="177"/>
      <c r="CA48" s="177">
        <v>-950000</v>
      </c>
      <c r="CB48" s="177"/>
      <c r="CC48" s="177"/>
      <c r="CD48" s="177"/>
      <c r="CE48" s="177"/>
      <c r="CF48" s="177"/>
      <c r="CG48" s="177"/>
      <c r="CH48" s="177"/>
      <c r="CI48" s="177"/>
      <c r="CJ48" s="177"/>
      <c r="CK48" s="178"/>
      <c r="CL48" s="178"/>
    </row>
    <row r="49" spans="1:90" outlineLevel="3" x14ac:dyDescent="0.3">
      <c r="A49" s="134" t="s">
        <v>326</v>
      </c>
      <c r="B49" s="134" t="s">
        <v>562</v>
      </c>
      <c r="C49" s="134" t="s">
        <v>356</v>
      </c>
      <c r="D49" s="134" t="s">
        <v>357</v>
      </c>
      <c r="E49" s="134" t="s">
        <v>213</v>
      </c>
      <c r="F49" s="134" t="s">
        <v>374</v>
      </c>
      <c r="G49" s="134" t="s">
        <v>527</v>
      </c>
      <c r="H49" s="134" t="s">
        <v>317</v>
      </c>
      <c r="I49" s="160" t="s">
        <v>313</v>
      </c>
      <c r="J49" s="162">
        <v>0</v>
      </c>
      <c r="K49" s="162">
        <v>0</v>
      </c>
      <c r="L49" s="164">
        <v>0</v>
      </c>
      <c r="M49" s="164">
        <v>0</v>
      </c>
      <c r="N49" s="164">
        <v>1</v>
      </c>
      <c r="O49" s="163">
        <v>3.9</v>
      </c>
      <c r="P49" s="165">
        <v>3.7</v>
      </c>
      <c r="Q49" s="165">
        <v>0.2</v>
      </c>
      <c r="R49" s="166" t="s">
        <v>586</v>
      </c>
      <c r="S49" s="275">
        <v>0.5</v>
      </c>
      <c r="T49" s="166" t="s">
        <v>581</v>
      </c>
      <c r="U49" s="241">
        <v>0</v>
      </c>
      <c r="V49" s="163" t="s">
        <v>314</v>
      </c>
      <c r="W49" s="163">
        <v>0</v>
      </c>
      <c r="X49" s="163">
        <v>0</v>
      </c>
      <c r="Y49" s="163">
        <v>0</v>
      </c>
      <c r="Z49" s="163">
        <v>0</v>
      </c>
      <c r="AA49" s="163">
        <v>0</v>
      </c>
      <c r="AB49" s="163">
        <v>0</v>
      </c>
      <c r="AC49" s="241">
        <v>0</v>
      </c>
      <c r="AD49" s="163">
        <v>0</v>
      </c>
      <c r="AE49" s="163">
        <v>0</v>
      </c>
      <c r="AF49" s="163">
        <v>0</v>
      </c>
      <c r="AG49" s="163">
        <v>0</v>
      </c>
      <c r="AH49" s="242">
        <v>0</v>
      </c>
      <c r="AI49" s="163">
        <v>0</v>
      </c>
      <c r="AJ49" s="163">
        <v>0</v>
      </c>
      <c r="AK49" s="243">
        <v>0</v>
      </c>
      <c r="AL49" s="167">
        <v>0</v>
      </c>
      <c r="AM49" s="163">
        <v>269509.5</v>
      </c>
      <c r="AN49" s="164">
        <v>0</v>
      </c>
      <c r="AO49" s="167">
        <v>0</v>
      </c>
      <c r="AP49" s="163">
        <v>385548.3125</v>
      </c>
      <c r="AQ49" s="168">
        <v>1</v>
      </c>
      <c r="AR49" s="163">
        <v>0</v>
      </c>
      <c r="AS49" s="163">
        <v>3.9</v>
      </c>
      <c r="AT49" s="163">
        <v>0</v>
      </c>
      <c r="AU49" s="163">
        <v>0</v>
      </c>
      <c r="AV49" s="163">
        <v>0</v>
      </c>
      <c r="AW49" s="163">
        <v>0</v>
      </c>
      <c r="AX49" s="163">
        <v>65035.12</v>
      </c>
      <c r="AY49" s="163">
        <v>0</v>
      </c>
      <c r="AZ49" s="163">
        <v>-65035.12</v>
      </c>
      <c r="BA49" s="163">
        <v>0</v>
      </c>
      <c r="BB49" s="163">
        <v>3.9</v>
      </c>
      <c r="BC49" s="163">
        <v>3.7</v>
      </c>
      <c r="BD49" s="163">
        <v>0</v>
      </c>
      <c r="BE49" s="163">
        <v>0</v>
      </c>
      <c r="BF49" s="163">
        <v>0</v>
      </c>
      <c r="BG49" s="163">
        <v>0</v>
      </c>
      <c r="BH49" s="163">
        <v>65035.12</v>
      </c>
      <c r="BI49" s="163">
        <v>0</v>
      </c>
      <c r="BJ49" s="163">
        <v>-65035.12</v>
      </c>
      <c r="BK49" s="163">
        <v>0</v>
      </c>
      <c r="BL49" s="163">
        <v>385548.3125</v>
      </c>
      <c r="BM49" s="163" t="s">
        <v>318</v>
      </c>
      <c r="BN49" s="163">
        <v>0</v>
      </c>
      <c r="BO49" s="163" t="b">
        <v>0</v>
      </c>
      <c r="BP49" s="163">
        <v>0</v>
      </c>
      <c r="BQ49" s="165">
        <v>0</v>
      </c>
      <c r="BR49" s="164">
        <v>0</v>
      </c>
      <c r="BS49" s="170">
        <v>76</v>
      </c>
      <c r="BT49" s="164">
        <v>0</v>
      </c>
      <c r="BU49" s="227">
        <v>0</v>
      </c>
      <c r="BV49" s="164">
        <v>13</v>
      </c>
      <c r="BW49" s="171">
        <v>3.9</v>
      </c>
      <c r="BX49" s="171">
        <v>0</v>
      </c>
      <c r="BY49" s="163">
        <v>0</v>
      </c>
      <c r="BZ49" s="163">
        <v>0</v>
      </c>
      <c r="CA49" s="163">
        <v>0</v>
      </c>
      <c r="CB49" s="163">
        <v>-334544.62</v>
      </c>
      <c r="CC49" s="163">
        <v>0</v>
      </c>
      <c r="CD49" s="163">
        <v>0</v>
      </c>
      <c r="CE49" s="163">
        <v>0</v>
      </c>
      <c r="CF49" s="163">
        <v>0</v>
      </c>
      <c r="CG49" s="163">
        <v>0</v>
      </c>
      <c r="CH49" s="163">
        <v>0</v>
      </c>
      <c r="CI49" s="163">
        <v>0</v>
      </c>
      <c r="CJ49" s="163">
        <v>0</v>
      </c>
      <c r="CK49" s="164">
        <v>0</v>
      </c>
      <c r="CL49" s="164">
        <v>0</v>
      </c>
    </row>
    <row r="50" spans="1:90" outlineLevel="3" x14ac:dyDescent="0.3">
      <c r="A50" s="134" t="s">
        <v>326</v>
      </c>
      <c r="B50" s="134" t="s">
        <v>562</v>
      </c>
      <c r="C50" s="134" t="s">
        <v>356</v>
      </c>
      <c r="D50" s="134" t="s">
        <v>357</v>
      </c>
      <c r="E50" s="134" t="s">
        <v>434</v>
      </c>
      <c r="F50" s="134" t="s">
        <v>433</v>
      </c>
      <c r="G50" s="134" t="s">
        <v>527</v>
      </c>
      <c r="H50" s="134" t="s">
        <v>317</v>
      </c>
      <c r="I50" s="160" t="s">
        <v>313</v>
      </c>
      <c r="J50" s="162">
        <v>0</v>
      </c>
      <c r="K50" s="162">
        <v>0</v>
      </c>
      <c r="L50" s="164">
        <v>0</v>
      </c>
      <c r="M50" s="164">
        <v>0</v>
      </c>
      <c r="N50" s="164">
        <v>1</v>
      </c>
      <c r="O50" s="163">
        <v>5.4</v>
      </c>
      <c r="P50" s="165">
        <v>5.25</v>
      </c>
      <c r="Q50" s="165">
        <v>0.15</v>
      </c>
      <c r="R50" s="166" t="s">
        <v>582</v>
      </c>
      <c r="S50" s="275">
        <v>0.6</v>
      </c>
      <c r="T50" s="166" t="s">
        <v>581</v>
      </c>
      <c r="U50" s="241">
        <v>0</v>
      </c>
      <c r="V50" s="163" t="s">
        <v>314</v>
      </c>
      <c r="W50" s="163">
        <v>0</v>
      </c>
      <c r="X50" s="163">
        <v>0</v>
      </c>
      <c r="Y50" s="163">
        <v>0</v>
      </c>
      <c r="Z50" s="163">
        <v>0</v>
      </c>
      <c r="AA50" s="163">
        <v>0</v>
      </c>
      <c r="AB50" s="163">
        <v>0</v>
      </c>
      <c r="AC50" s="241">
        <v>0</v>
      </c>
      <c r="AD50" s="163">
        <v>0</v>
      </c>
      <c r="AE50" s="163">
        <v>0</v>
      </c>
      <c r="AF50" s="163">
        <v>0</v>
      </c>
      <c r="AG50" s="163">
        <v>0</v>
      </c>
      <c r="AH50" s="242">
        <v>0</v>
      </c>
      <c r="AI50" s="163">
        <v>0</v>
      </c>
      <c r="AJ50" s="163">
        <v>0</v>
      </c>
      <c r="AK50" s="243">
        <v>0</v>
      </c>
      <c r="AL50" s="167">
        <v>0</v>
      </c>
      <c r="AM50" s="163">
        <v>79809.975000000049</v>
      </c>
      <c r="AN50" s="164">
        <v>0</v>
      </c>
      <c r="AO50" s="167">
        <v>0</v>
      </c>
      <c r="AP50" s="163">
        <v>403753.41600000003</v>
      </c>
      <c r="AQ50" s="168">
        <v>1</v>
      </c>
      <c r="AR50" s="163">
        <v>0</v>
      </c>
      <c r="AS50" s="163">
        <v>5.4</v>
      </c>
      <c r="AT50" s="163">
        <v>0</v>
      </c>
      <c r="AU50" s="163">
        <v>0</v>
      </c>
      <c r="AV50" s="163">
        <v>0</v>
      </c>
      <c r="AW50" s="163">
        <v>0</v>
      </c>
      <c r="AX50" s="163">
        <v>1259.3250000003636</v>
      </c>
      <c r="AY50" s="163">
        <v>0</v>
      </c>
      <c r="AZ50" s="163">
        <v>-1259.3250000003636</v>
      </c>
      <c r="BA50" s="163">
        <v>0</v>
      </c>
      <c r="BB50" s="163">
        <v>5.4</v>
      </c>
      <c r="BC50" s="163">
        <v>5.25</v>
      </c>
      <c r="BD50" s="163">
        <v>0</v>
      </c>
      <c r="BE50" s="163">
        <v>0</v>
      </c>
      <c r="BF50" s="163">
        <v>0</v>
      </c>
      <c r="BG50" s="163">
        <v>0</v>
      </c>
      <c r="BH50" s="163">
        <v>1259.3250000003636</v>
      </c>
      <c r="BI50" s="163">
        <v>0</v>
      </c>
      <c r="BJ50" s="163">
        <v>-1259.3250000003636</v>
      </c>
      <c r="BK50" s="163">
        <v>0</v>
      </c>
      <c r="BL50" s="163">
        <v>403753.41600000003</v>
      </c>
      <c r="BM50" s="163" t="s">
        <v>318</v>
      </c>
      <c r="BN50" s="163">
        <v>0</v>
      </c>
      <c r="BO50" s="163" t="b">
        <v>0</v>
      </c>
      <c r="BP50" s="163">
        <v>0</v>
      </c>
      <c r="BQ50" s="165">
        <v>0</v>
      </c>
      <c r="BR50" s="164">
        <v>532660</v>
      </c>
      <c r="BS50" s="170">
        <v>76</v>
      </c>
      <c r="BT50" s="164">
        <v>0</v>
      </c>
      <c r="BU50" s="227">
        <v>0</v>
      </c>
      <c r="BV50" s="164">
        <v>14</v>
      </c>
      <c r="BW50" s="171">
        <v>5.4</v>
      </c>
      <c r="BX50" s="171">
        <v>0</v>
      </c>
      <c r="BY50" s="163">
        <v>0</v>
      </c>
      <c r="BZ50" s="163">
        <v>0</v>
      </c>
      <c r="CA50" s="163">
        <v>0</v>
      </c>
      <c r="CB50" s="163">
        <v>-81069.3</v>
      </c>
      <c r="CC50" s="163">
        <v>0</v>
      </c>
      <c r="CD50" s="163">
        <v>0</v>
      </c>
      <c r="CE50" s="163">
        <v>0</v>
      </c>
      <c r="CF50" s="163">
        <v>0</v>
      </c>
      <c r="CG50" s="163">
        <v>0</v>
      </c>
      <c r="CH50" s="163">
        <v>0</v>
      </c>
      <c r="CI50" s="163">
        <v>0</v>
      </c>
      <c r="CJ50" s="163">
        <v>0</v>
      </c>
      <c r="CK50" s="164">
        <v>0</v>
      </c>
      <c r="CL50" s="164">
        <v>0</v>
      </c>
    </row>
    <row r="51" spans="1:90" outlineLevel="3" x14ac:dyDescent="0.3">
      <c r="A51" s="134" t="s">
        <v>326</v>
      </c>
      <c r="B51" s="134" t="s">
        <v>562</v>
      </c>
      <c r="C51" s="134" t="s">
        <v>574</v>
      </c>
      <c r="D51" s="134" t="s">
        <v>575</v>
      </c>
      <c r="E51" s="134" t="s">
        <v>492</v>
      </c>
      <c r="F51" s="134" t="s">
        <v>452</v>
      </c>
      <c r="G51" s="134" t="s">
        <v>548</v>
      </c>
      <c r="H51" s="134" t="s">
        <v>317</v>
      </c>
      <c r="I51" s="160" t="s">
        <v>313</v>
      </c>
      <c r="J51" s="162">
        <v>1342889</v>
      </c>
      <c r="K51" s="162">
        <v>1342889</v>
      </c>
      <c r="L51" s="164">
        <v>0</v>
      </c>
      <c r="M51" s="164">
        <v>0.03</v>
      </c>
      <c r="N51" s="164">
        <v>1</v>
      </c>
      <c r="O51" s="163">
        <v>7.72</v>
      </c>
      <c r="P51" s="165">
        <v>7.25</v>
      </c>
      <c r="Q51" s="165">
        <v>0.47</v>
      </c>
      <c r="R51" s="166">
        <v>0</v>
      </c>
      <c r="S51" s="275">
        <v>1</v>
      </c>
      <c r="T51" s="166">
        <v>0</v>
      </c>
      <c r="U51" s="241">
        <v>10367103.08</v>
      </c>
      <c r="V51" s="163" t="s">
        <v>314</v>
      </c>
      <c r="W51" s="163">
        <v>311013.09239999996</v>
      </c>
      <c r="X51" s="163">
        <v>0</v>
      </c>
      <c r="Y51" s="163">
        <v>311013.09239999996</v>
      </c>
      <c r="Z51" s="163">
        <v>0</v>
      </c>
      <c r="AA51" s="163">
        <v>0</v>
      </c>
      <c r="AB51" s="163">
        <v>0</v>
      </c>
      <c r="AC51" s="241">
        <v>9735945.25</v>
      </c>
      <c r="AD51" s="163">
        <v>631157.82999999996</v>
      </c>
      <c r="AE51" s="163">
        <v>0</v>
      </c>
      <c r="AF51" s="163">
        <v>-631157.82999999996</v>
      </c>
      <c r="AG51" s="163">
        <v>0</v>
      </c>
      <c r="AH51" s="242">
        <v>-18773588.220000006</v>
      </c>
      <c r="AI51" s="163">
        <v>0</v>
      </c>
      <c r="AJ51" s="163">
        <v>18773588.220000006</v>
      </c>
      <c r="AK51" s="243">
        <v>0</v>
      </c>
      <c r="AL51" s="167">
        <v>0</v>
      </c>
      <c r="AM51" s="163">
        <v>23102683.5</v>
      </c>
      <c r="AN51" s="164">
        <v>0</v>
      </c>
      <c r="AO51" s="167">
        <v>0</v>
      </c>
      <c r="AP51" s="163">
        <v>0</v>
      </c>
      <c r="AQ51" s="168">
        <v>1</v>
      </c>
      <c r="AR51" s="163">
        <v>10367103.08</v>
      </c>
      <c r="AS51" s="163">
        <v>7.72</v>
      </c>
      <c r="AT51" s="163">
        <v>-308864.46999999997</v>
      </c>
      <c r="AU51" s="163">
        <v>0</v>
      </c>
      <c r="AV51" s="163">
        <v>308864.46999999997</v>
      </c>
      <c r="AW51" s="163">
        <v>0</v>
      </c>
      <c r="AX51" s="163">
        <v>-12735580.419999998</v>
      </c>
      <c r="AY51" s="163">
        <v>0</v>
      </c>
      <c r="AZ51" s="163">
        <v>12735580.419999998</v>
      </c>
      <c r="BA51" s="163">
        <v>0</v>
      </c>
      <c r="BB51" s="163">
        <v>7.72</v>
      </c>
      <c r="BC51" s="163">
        <v>7.25</v>
      </c>
      <c r="BD51" s="163">
        <v>-940022.3</v>
      </c>
      <c r="BE51" s="163">
        <v>0</v>
      </c>
      <c r="BF51" s="163">
        <v>940022.3</v>
      </c>
      <c r="BG51" s="163">
        <v>0</v>
      </c>
      <c r="BH51" s="163">
        <v>-13366738.249999998</v>
      </c>
      <c r="BI51" s="163">
        <v>0</v>
      </c>
      <c r="BJ51" s="163">
        <v>13366738.249999998</v>
      </c>
      <c r="BK51" s="163">
        <v>0</v>
      </c>
      <c r="BL51" s="163">
        <v>0</v>
      </c>
      <c r="BM51" s="163" t="s">
        <v>318</v>
      </c>
      <c r="BN51" s="163">
        <v>0</v>
      </c>
      <c r="BO51" s="163" t="b">
        <v>0</v>
      </c>
      <c r="BP51" s="163">
        <v>19404746.050000004</v>
      </c>
      <c r="BQ51" s="165">
        <v>0</v>
      </c>
      <c r="BR51" s="164">
        <v>30000000</v>
      </c>
      <c r="BS51" s="170">
        <v>76</v>
      </c>
      <c r="BT51" s="164">
        <v>631157.82999999996</v>
      </c>
      <c r="BU51" s="227">
        <v>1342889</v>
      </c>
      <c r="BV51" s="164">
        <v>37</v>
      </c>
      <c r="BW51" s="171">
        <v>7.72</v>
      </c>
      <c r="BX51" s="171">
        <v>0</v>
      </c>
      <c r="BY51" s="163">
        <v>0</v>
      </c>
      <c r="BZ51" s="163">
        <v>0</v>
      </c>
      <c r="CA51" s="163">
        <v>0</v>
      </c>
      <c r="CB51" s="163">
        <v>0</v>
      </c>
      <c r="CC51" s="163">
        <v>0</v>
      </c>
      <c r="CD51" s="163">
        <v>0</v>
      </c>
      <c r="CE51" s="163">
        <v>0</v>
      </c>
      <c r="CF51" s="163">
        <v>0</v>
      </c>
      <c r="CG51" s="163">
        <v>-19404746.050000004</v>
      </c>
      <c r="CH51" s="163">
        <v>0</v>
      </c>
      <c r="CI51" s="163">
        <v>19404746.050000004</v>
      </c>
      <c r="CJ51" s="163">
        <v>0</v>
      </c>
      <c r="CK51" s="164">
        <v>0.03</v>
      </c>
      <c r="CL51" s="164">
        <v>0</v>
      </c>
    </row>
    <row r="52" spans="1:90" s="186" customFormat="1" ht="20.100000000000001" customHeight="1" outlineLevel="2" x14ac:dyDescent="0.3">
      <c r="A52" s="173" t="s">
        <v>327</v>
      </c>
      <c r="B52" s="173"/>
      <c r="C52" s="173"/>
      <c r="D52" s="173"/>
      <c r="E52" s="173"/>
      <c r="F52" s="173"/>
      <c r="G52" s="173"/>
      <c r="H52" s="173"/>
      <c r="I52" s="174"/>
      <c r="J52" s="176"/>
      <c r="K52" s="176"/>
      <c r="L52" s="178"/>
      <c r="M52" s="178"/>
      <c r="N52" s="178"/>
      <c r="O52" s="177"/>
      <c r="P52" s="179"/>
      <c r="Q52" s="179"/>
      <c r="R52" s="180">
        <v>0</v>
      </c>
      <c r="S52" s="276">
        <v>2.1</v>
      </c>
      <c r="T52" s="180">
        <v>0</v>
      </c>
      <c r="U52" s="244">
        <v>10367103.08</v>
      </c>
      <c r="V52" s="177"/>
      <c r="W52" s="177">
        <v>311013.09239999996</v>
      </c>
      <c r="X52" s="177">
        <v>0</v>
      </c>
      <c r="Y52" s="177">
        <v>311013.09239999996</v>
      </c>
      <c r="Z52" s="177">
        <v>0</v>
      </c>
      <c r="AA52" s="177">
        <v>0</v>
      </c>
      <c r="AB52" s="177">
        <v>0</v>
      </c>
      <c r="AC52" s="244">
        <v>9735945.25</v>
      </c>
      <c r="AD52" s="177">
        <v>631157.82999999996</v>
      </c>
      <c r="AE52" s="177">
        <v>0</v>
      </c>
      <c r="AF52" s="177">
        <v>-631157.82999999996</v>
      </c>
      <c r="AG52" s="177">
        <v>0</v>
      </c>
      <c r="AH52" s="245">
        <v>-18773588.220000006</v>
      </c>
      <c r="AI52" s="177">
        <v>0</v>
      </c>
      <c r="AJ52" s="177">
        <v>18773588.220000006</v>
      </c>
      <c r="AK52" s="246">
        <v>0</v>
      </c>
      <c r="AL52" s="181"/>
      <c r="AM52" s="177">
        <v>23452002.975000001</v>
      </c>
      <c r="AN52" s="178"/>
      <c r="AO52" s="181"/>
      <c r="AP52" s="177">
        <v>789301.72849999997</v>
      </c>
      <c r="AQ52" s="182"/>
      <c r="AR52" s="177"/>
      <c r="AS52" s="177"/>
      <c r="AT52" s="177">
        <v>-308864.46999999997</v>
      </c>
      <c r="AU52" s="177">
        <v>0</v>
      </c>
      <c r="AV52" s="177">
        <v>308864.46999999997</v>
      </c>
      <c r="AW52" s="177">
        <v>0</v>
      </c>
      <c r="AX52" s="177">
        <v>-12669285.974999998</v>
      </c>
      <c r="AY52" s="177">
        <v>0</v>
      </c>
      <c r="AZ52" s="177">
        <v>12669285.974999998</v>
      </c>
      <c r="BA52" s="177">
        <v>0</v>
      </c>
      <c r="BB52" s="177"/>
      <c r="BC52" s="177"/>
      <c r="BD52" s="177"/>
      <c r="BE52" s="177"/>
      <c r="BF52" s="177"/>
      <c r="BG52" s="177"/>
      <c r="BH52" s="177"/>
      <c r="BI52" s="177"/>
      <c r="BJ52" s="177"/>
      <c r="BK52" s="177"/>
      <c r="BL52" s="177"/>
      <c r="BM52" s="177"/>
      <c r="BN52" s="177"/>
      <c r="BO52" s="177"/>
      <c r="BP52" s="177"/>
      <c r="BQ52" s="179"/>
      <c r="BR52" s="178"/>
      <c r="BS52" s="184"/>
      <c r="BT52" s="178"/>
      <c r="BU52" s="220"/>
      <c r="BV52" s="178"/>
      <c r="BW52" s="185"/>
      <c r="BX52" s="185"/>
      <c r="BY52" s="177"/>
      <c r="BZ52" s="177"/>
      <c r="CA52" s="177">
        <v>0</v>
      </c>
      <c r="CB52" s="177"/>
      <c r="CC52" s="177"/>
      <c r="CD52" s="177"/>
      <c r="CE52" s="177"/>
      <c r="CF52" s="177"/>
      <c r="CG52" s="177"/>
      <c r="CH52" s="177"/>
      <c r="CI52" s="177"/>
      <c r="CJ52" s="177"/>
      <c r="CK52" s="178"/>
      <c r="CL52" s="178"/>
    </row>
    <row r="53" spans="1:90" outlineLevel="3" x14ac:dyDescent="0.3">
      <c r="A53" s="134" t="s">
        <v>339</v>
      </c>
      <c r="B53" s="134" t="s">
        <v>562</v>
      </c>
      <c r="C53" s="134" t="s">
        <v>576</v>
      </c>
      <c r="D53" s="134" t="s">
        <v>577</v>
      </c>
      <c r="E53" s="134" t="s">
        <v>200</v>
      </c>
      <c r="F53" s="134" t="s">
        <v>194</v>
      </c>
      <c r="G53" s="134" t="s">
        <v>527</v>
      </c>
      <c r="H53" s="134" t="s">
        <v>312</v>
      </c>
      <c r="I53" s="160" t="s">
        <v>340</v>
      </c>
      <c r="J53" s="162">
        <v>1</v>
      </c>
      <c r="K53" s="162">
        <v>1</v>
      </c>
      <c r="L53" s="164">
        <v>0</v>
      </c>
      <c r="M53" s="164">
        <v>0</v>
      </c>
      <c r="N53" s="164">
        <v>0</v>
      </c>
      <c r="O53" s="163">
        <v>0</v>
      </c>
      <c r="P53" s="164">
        <v>0</v>
      </c>
      <c r="Q53" s="164">
        <v>0</v>
      </c>
      <c r="R53" s="166">
        <v>0</v>
      </c>
      <c r="S53" s="278">
        <v>1</v>
      </c>
      <c r="T53" s="166" t="s">
        <v>581</v>
      </c>
      <c r="U53" s="241">
        <v>0</v>
      </c>
      <c r="V53" s="163" t="s">
        <v>314</v>
      </c>
      <c r="W53" s="163">
        <v>0</v>
      </c>
      <c r="X53" s="163">
        <v>0</v>
      </c>
      <c r="Y53" s="163">
        <v>0</v>
      </c>
      <c r="Z53" s="163">
        <v>0</v>
      </c>
      <c r="AA53" s="163">
        <v>0</v>
      </c>
      <c r="AB53" s="163">
        <v>0</v>
      </c>
      <c r="AC53" s="241">
        <v>0</v>
      </c>
      <c r="AD53" s="163">
        <v>0</v>
      </c>
      <c r="AE53" s="163">
        <v>0</v>
      </c>
      <c r="AF53" s="163">
        <v>0</v>
      </c>
      <c r="AG53" s="163">
        <v>0</v>
      </c>
      <c r="AH53" s="242">
        <v>0</v>
      </c>
      <c r="AI53" s="163">
        <v>0</v>
      </c>
      <c r="AJ53" s="163">
        <v>0</v>
      </c>
      <c r="AK53" s="243">
        <v>0</v>
      </c>
      <c r="AL53" s="167">
        <v>0</v>
      </c>
      <c r="AM53" s="163">
        <v>0</v>
      </c>
      <c r="AN53" s="164">
        <v>0</v>
      </c>
      <c r="AO53" s="167">
        <v>0</v>
      </c>
      <c r="AP53" s="163">
        <v>0</v>
      </c>
      <c r="AQ53" s="168">
        <v>1</v>
      </c>
      <c r="AR53" s="163">
        <v>0</v>
      </c>
      <c r="AS53" s="163">
        <v>0</v>
      </c>
      <c r="AT53" s="163">
        <v>0</v>
      </c>
      <c r="AU53" s="163">
        <v>0</v>
      </c>
      <c r="AV53" s="163">
        <v>0</v>
      </c>
      <c r="AW53" s="163">
        <v>0</v>
      </c>
      <c r="AX53" s="163">
        <v>0</v>
      </c>
      <c r="AY53" s="163">
        <v>0</v>
      </c>
      <c r="AZ53" s="163">
        <v>0</v>
      </c>
      <c r="BA53" s="163">
        <v>0</v>
      </c>
      <c r="BB53" s="163" t="s">
        <v>194</v>
      </c>
      <c r="BC53" s="163" t="s">
        <v>194</v>
      </c>
      <c r="BD53" s="163">
        <v>0</v>
      </c>
      <c r="BE53" s="163">
        <v>0</v>
      </c>
      <c r="BF53" s="163">
        <v>0</v>
      </c>
      <c r="BG53" s="163">
        <v>0</v>
      </c>
      <c r="BH53" s="163">
        <v>0</v>
      </c>
      <c r="BI53" s="163">
        <v>0</v>
      </c>
      <c r="BJ53" s="163">
        <v>0</v>
      </c>
      <c r="BK53" s="163">
        <v>0</v>
      </c>
      <c r="BL53" s="163">
        <v>0</v>
      </c>
      <c r="BM53" s="163" t="s">
        <v>318</v>
      </c>
      <c r="BN53" s="163">
        <v>0</v>
      </c>
      <c r="BO53" s="163" t="b">
        <v>0</v>
      </c>
      <c r="BP53" s="163">
        <v>0</v>
      </c>
      <c r="BQ53" s="165">
        <v>0</v>
      </c>
      <c r="BR53" s="164">
        <v>19785000</v>
      </c>
      <c r="BS53" s="170">
        <v>84</v>
      </c>
      <c r="BT53" s="164">
        <v>0</v>
      </c>
      <c r="BU53" s="227">
        <v>0</v>
      </c>
      <c r="BV53" s="164">
        <v>267</v>
      </c>
      <c r="BW53" s="171">
        <v>0</v>
      </c>
      <c r="BX53" s="171">
        <v>0</v>
      </c>
      <c r="BY53" s="163">
        <v>0</v>
      </c>
      <c r="BZ53" s="163">
        <v>0</v>
      </c>
      <c r="CA53" s="163">
        <v>0</v>
      </c>
      <c r="CB53" s="163">
        <v>0</v>
      </c>
      <c r="CC53" s="163">
        <v>0</v>
      </c>
      <c r="CD53" s="163">
        <v>0</v>
      </c>
      <c r="CE53" s="163">
        <v>0</v>
      </c>
      <c r="CF53" s="163">
        <v>0</v>
      </c>
      <c r="CG53" s="163">
        <v>0</v>
      </c>
      <c r="CH53" s="163">
        <v>0</v>
      </c>
      <c r="CI53" s="163">
        <v>0</v>
      </c>
      <c r="CJ53" s="163">
        <v>0</v>
      </c>
      <c r="CK53" s="164">
        <v>0</v>
      </c>
      <c r="CL53" s="164">
        <v>0</v>
      </c>
    </row>
    <row r="54" spans="1:90" outlineLevel="3" x14ac:dyDescent="0.3">
      <c r="A54" s="134" t="s">
        <v>339</v>
      </c>
      <c r="B54" s="134" t="s">
        <v>562</v>
      </c>
      <c r="C54" s="134" t="s">
        <v>356</v>
      </c>
      <c r="D54" s="134" t="s">
        <v>357</v>
      </c>
      <c r="E54" s="134" t="s">
        <v>493</v>
      </c>
      <c r="F54" s="134" t="s">
        <v>194</v>
      </c>
      <c r="G54" s="134" t="s">
        <v>527</v>
      </c>
      <c r="H54" s="134" t="s">
        <v>312</v>
      </c>
      <c r="I54" s="160" t="s">
        <v>340</v>
      </c>
      <c r="J54" s="162">
        <v>1</v>
      </c>
      <c r="K54" s="162">
        <v>1</v>
      </c>
      <c r="L54" s="164">
        <v>0</v>
      </c>
      <c r="M54" s="164">
        <v>0</v>
      </c>
      <c r="N54" s="164">
        <v>0</v>
      </c>
      <c r="O54" s="163">
        <v>0</v>
      </c>
      <c r="P54" s="164">
        <v>0</v>
      </c>
      <c r="Q54" s="164">
        <v>0</v>
      </c>
      <c r="R54" s="166" t="s">
        <v>583</v>
      </c>
      <c r="S54" s="278">
        <v>0.75</v>
      </c>
      <c r="T54" s="166" t="s">
        <v>581</v>
      </c>
      <c r="U54" s="241">
        <v>0</v>
      </c>
      <c r="V54" s="163" t="s">
        <v>314</v>
      </c>
      <c r="W54" s="163">
        <v>0</v>
      </c>
      <c r="X54" s="163">
        <v>0</v>
      </c>
      <c r="Y54" s="163">
        <v>0</v>
      </c>
      <c r="Z54" s="163">
        <v>0</v>
      </c>
      <c r="AA54" s="163">
        <v>0</v>
      </c>
      <c r="AB54" s="163">
        <v>0</v>
      </c>
      <c r="AC54" s="241">
        <v>0</v>
      </c>
      <c r="AD54" s="163">
        <v>0</v>
      </c>
      <c r="AE54" s="163">
        <v>0</v>
      </c>
      <c r="AF54" s="163">
        <v>0</v>
      </c>
      <c r="AG54" s="163">
        <v>0</v>
      </c>
      <c r="AH54" s="242">
        <v>0</v>
      </c>
      <c r="AI54" s="163">
        <v>0</v>
      </c>
      <c r="AJ54" s="163">
        <v>0</v>
      </c>
      <c r="AK54" s="243">
        <v>0</v>
      </c>
      <c r="AL54" s="167">
        <v>0</v>
      </c>
      <c r="AM54" s="163">
        <v>2013591.6599838899</v>
      </c>
      <c r="AN54" s="164">
        <v>0</v>
      </c>
      <c r="AO54" s="167">
        <v>0</v>
      </c>
      <c r="AP54" s="163">
        <v>0</v>
      </c>
      <c r="AQ54" s="168">
        <v>1</v>
      </c>
      <c r="AR54" s="163">
        <v>0</v>
      </c>
      <c r="AS54" s="163">
        <v>0</v>
      </c>
      <c r="AT54" s="163">
        <v>0</v>
      </c>
      <c r="AU54" s="163">
        <v>0</v>
      </c>
      <c r="AV54" s="163">
        <v>0</v>
      </c>
      <c r="AW54" s="163">
        <v>0</v>
      </c>
      <c r="AX54" s="163">
        <v>-2013591.6599838899</v>
      </c>
      <c r="AY54" s="163">
        <v>0</v>
      </c>
      <c r="AZ54" s="163">
        <v>2013591.6599838899</v>
      </c>
      <c r="BA54" s="163">
        <v>0</v>
      </c>
      <c r="BB54" s="163" t="s">
        <v>194</v>
      </c>
      <c r="BC54" s="163" t="s">
        <v>194</v>
      </c>
      <c r="BD54" s="163">
        <v>0</v>
      </c>
      <c r="BE54" s="163">
        <v>0</v>
      </c>
      <c r="BF54" s="163">
        <v>0</v>
      </c>
      <c r="BG54" s="163">
        <v>0</v>
      </c>
      <c r="BH54" s="163">
        <v>-2013591.6599838899</v>
      </c>
      <c r="BI54" s="163">
        <v>0</v>
      </c>
      <c r="BJ54" s="163">
        <v>2013591.6599838899</v>
      </c>
      <c r="BK54" s="163">
        <v>0</v>
      </c>
      <c r="BL54" s="163">
        <v>0</v>
      </c>
      <c r="BM54" s="163" t="s">
        <v>318</v>
      </c>
      <c r="BN54" s="163">
        <v>0</v>
      </c>
      <c r="BO54" s="163" t="b">
        <v>0</v>
      </c>
      <c r="BP54" s="163">
        <v>0</v>
      </c>
      <c r="BQ54" s="165">
        <v>0</v>
      </c>
      <c r="BR54" s="164">
        <v>0</v>
      </c>
      <c r="BS54" s="170">
        <v>84</v>
      </c>
      <c r="BT54" s="164">
        <v>0</v>
      </c>
      <c r="BU54" s="227">
        <v>0</v>
      </c>
      <c r="BV54" s="164">
        <v>268</v>
      </c>
      <c r="BW54" s="171">
        <v>0</v>
      </c>
      <c r="BX54" s="171">
        <v>0</v>
      </c>
      <c r="BY54" s="163">
        <v>0</v>
      </c>
      <c r="BZ54" s="163">
        <v>0</v>
      </c>
      <c r="CA54" s="163">
        <v>0</v>
      </c>
      <c r="CB54" s="163">
        <v>0</v>
      </c>
      <c r="CC54" s="163">
        <v>0</v>
      </c>
      <c r="CD54" s="163">
        <v>0</v>
      </c>
      <c r="CE54" s="163">
        <v>0</v>
      </c>
      <c r="CF54" s="163">
        <v>0</v>
      </c>
      <c r="CG54" s="163">
        <v>0</v>
      </c>
      <c r="CH54" s="163">
        <v>0</v>
      </c>
      <c r="CI54" s="163">
        <v>0</v>
      </c>
      <c r="CJ54" s="163">
        <v>0</v>
      </c>
      <c r="CK54" s="164">
        <v>0</v>
      </c>
      <c r="CL54" s="164">
        <v>0</v>
      </c>
    </row>
    <row r="55" spans="1:90" outlineLevel="3" x14ac:dyDescent="0.3">
      <c r="A55" s="134" t="s">
        <v>339</v>
      </c>
      <c r="B55" s="134" t="s">
        <v>562</v>
      </c>
      <c r="C55" s="134" t="s">
        <v>408</v>
      </c>
      <c r="D55" s="134" t="s">
        <v>409</v>
      </c>
      <c r="E55" s="134" t="s">
        <v>410</v>
      </c>
      <c r="F55" s="134" t="s">
        <v>194</v>
      </c>
      <c r="G55" s="134" t="s">
        <v>411</v>
      </c>
      <c r="H55" s="134" t="s">
        <v>312</v>
      </c>
      <c r="I55" s="160" t="s">
        <v>340</v>
      </c>
      <c r="J55" s="162">
        <v>1</v>
      </c>
      <c r="K55" s="162">
        <v>1</v>
      </c>
      <c r="L55" s="164">
        <v>0</v>
      </c>
      <c r="M55" s="164">
        <v>0</v>
      </c>
      <c r="N55" s="164">
        <v>0</v>
      </c>
      <c r="O55" s="163">
        <v>0</v>
      </c>
      <c r="P55" s="164">
        <v>0</v>
      </c>
      <c r="Q55" s="164">
        <v>0</v>
      </c>
      <c r="R55" s="166">
        <v>0</v>
      </c>
      <c r="S55" s="278">
        <v>1</v>
      </c>
      <c r="T55" s="166" t="s">
        <v>581</v>
      </c>
      <c r="U55" s="241">
        <v>0</v>
      </c>
      <c r="V55" s="163" t="s">
        <v>314</v>
      </c>
      <c r="W55" s="163">
        <v>0</v>
      </c>
      <c r="X55" s="163">
        <v>0</v>
      </c>
      <c r="Y55" s="163">
        <v>0</v>
      </c>
      <c r="Z55" s="163">
        <v>0</v>
      </c>
      <c r="AA55" s="163">
        <v>0</v>
      </c>
      <c r="AB55" s="163">
        <v>0</v>
      </c>
      <c r="AC55" s="241">
        <v>0</v>
      </c>
      <c r="AD55" s="163">
        <v>0</v>
      </c>
      <c r="AE55" s="163">
        <v>0</v>
      </c>
      <c r="AF55" s="163">
        <v>0</v>
      </c>
      <c r="AG55" s="163">
        <v>0</v>
      </c>
      <c r="AH55" s="242">
        <v>0</v>
      </c>
      <c r="AI55" s="163">
        <v>0</v>
      </c>
      <c r="AJ55" s="163">
        <v>0</v>
      </c>
      <c r="AK55" s="243">
        <v>0</v>
      </c>
      <c r="AL55" s="167">
        <v>0</v>
      </c>
      <c r="AM55" s="163">
        <v>93746588.676477998</v>
      </c>
      <c r="AN55" s="164">
        <v>0</v>
      </c>
      <c r="AO55" s="167">
        <v>0</v>
      </c>
      <c r="AP55" s="163">
        <v>0</v>
      </c>
      <c r="AQ55" s="168">
        <v>1</v>
      </c>
      <c r="AR55" s="163">
        <v>0</v>
      </c>
      <c r="AS55" s="163">
        <v>0</v>
      </c>
      <c r="AT55" s="163">
        <v>0</v>
      </c>
      <c r="AU55" s="163">
        <v>0</v>
      </c>
      <c r="AV55" s="163">
        <v>0</v>
      </c>
      <c r="AW55" s="163">
        <v>0</v>
      </c>
      <c r="AX55" s="163">
        <v>-93746588.676477998</v>
      </c>
      <c r="AY55" s="163">
        <v>0</v>
      </c>
      <c r="AZ55" s="163">
        <v>93746588.676477998</v>
      </c>
      <c r="BA55" s="163">
        <v>0</v>
      </c>
      <c r="BB55" s="163" t="s">
        <v>194</v>
      </c>
      <c r="BC55" s="163" t="s">
        <v>194</v>
      </c>
      <c r="BD55" s="163">
        <v>0</v>
      </c>
      <c r="BE55" s="163">
        <v>0</v>
      </c>
      <c r="BF55" s="163">
        <v>0</v>
      </c>
      <c r="BG55" s="163">
        <v>0</v>
      </c>
      <c r="BH55" s="163">
        <v>-93746588.676477998</v>
      </c>
      <c r="BI55" s="163">
        <v>0</v>
      </c>
      <c r="BJ55" s="163">
        <v>93746588.676477998</v>
      </c>
      <c r="BK55" s="163">
        <v>0</v>
      </c>
      <c r="BL55" s="163">
        <v>0</v>
      </c>
      <c r="BM55" s="163" t="s">
        <v>315</v>
      </c>
      <c r="BN55" s="163">
        <v>0</v>
      </c>
      <c r="BO55" s="163" t="b">
        <v>0</v>
      </c>
      <c r="BP55" s="163">
        <v>0</v>
      </c>
      <c r="BQ55" s="165">
        <v>0</v>
      </c>
      <c r="BR55" s="164">
        <v>0</v>
      </c>
      <c r="BS55" s="170">
        <v>84</v>
      </c>
      <c r="BT55" s="164">
        <v>0</v>
      </c>
      <c r="BU55" s="227">
        <v>0</v>
      </c>
      <c r="BV55" s="164">
        <v>283</v>
      </c>
      <c r="BW55" s="171">
        <v>0</v>
      </c>
      <c r="BX55" s="171">
        <v>0</v>
      </c>
      <c r="BY55" s="163">
        <v>0</v>
      </c>
      <c r="BZ55" s="163">
        <v>0</v>
      </c>
      <c r="CA55" s="163">
        <v>0</v>
      </c>
      <c r="CB55" s="163">
        <v>0</v>
      </c>
      <c r="CC55" s="163">
        <v>0</v>
      </c>
      <c r="CD55" s="163">
        <v>0</v>
      </c>
      <c r="CE55" s="163">
        <v>0</v>
      </c>
      <c r="CF55" s="163">
        <v>0</v>
      </c>
      <c r="CG55" s="163">
        <v>0</v>
      </c>
      <c r="CH55" s="163">
        <v>0</v>
      </c>
      <c r="CI55" s="163">
        <v>0</v>
      </c>
      <c r="CJ55" s="163">
        <v>0</v>
      </c>
      <c r="CK55" s="164">
        <v>0</v>
      </c>
      <c r="CL55" s="164">
        <v>0</v>
      </c>
    </row>
    <row r="56" spans="1:90" s="186" customFormat="1" ht="20.100000000000001" customHeight="1" outlineLevel="2" x14ac:dyDescent="0.3">
      <c r="A56" s="173" t="s">
        <v>341</v>
      </c>
      <c r="B56" s="173"/>
      <c r="C56" s="173"/>
      <c r="D56" s="173"/>
      <c r="E56" s="173"/>
      <c r="F56" s="173"/>
      <c r="G56" s="173"/>
      <c r="H56" s="173"/>
      <c r="I56" s="174"/>
      <c r="J56" s="176"/>
      <c r="K56" s="176"/>
      <c r="L56" s="178"/>
      <c r="M56" s="178"/>
      <c r="N56" s="178"/>
      <c r="O56" s="177"/>
      <c r="P56" s="178"/>
      <c r="Q56" s="178"/>
      <c r="R56" s="180">
        <v>0</v>
      </c>
      <c r="S56" s="279">
        <v>2.75</v>
      </c>
      <c r="T56" s="180">
        <v>0</v>
      </c>
      <c r="U56" s="244">
        <v>0</v>
      </c>
      <c r="V56" s="177"/>
      <c r="W56" s="177">
        <v>0</v>
      </c>
      <c r="X56" s="177">
        <v>0</v>
      </c>
      <c r="Y56" s="177">
        <v>0</v>
      </c>
      <c r="Z56" s="177">
        <v>0</v>
      </c>
      <c r="AA56" s="177">
        <v>0</v>
      </c>
      <c r="AB56" s="177">
        <v>0</v>
      </c>
      <c r="AC56" s="244">
        <v>0</v>
      </c>
      <c r="AD56" s="177">
        <v>0</v>
      </c>
      <c r="AE56" s="177">
        <v>0</v>
      </c>
      <c r="AF56" s="177">
        <v>0</v>
      </c>
      <c r="AG56" s="177">
        <v>0</v>
      </c>
      <c r="AH56" s="245">
        <v>0</v>
      </c>
      <c r="AI56" s="177">
        <v>0</v>
      </c>
      <c r="AJ56" s="177">
        <v>0</v>
      </c>
      <c r="AK56" s="246">
        <v>0</v>
      </c>
      <c r="AL56" s="181"/>
      <c r="AM56" s="177">
        <v>95760180.336461887</v>
      </c>
      <c r="AN56" s="178"/>
      <c r="AO56" s="181"/>
      <c r="AP56" s="177">
        <v>0</v>
      </c>
      <c r="AQ56" s="182"/>
      <c r="AR56" s="177"/>
      <c r="AS56" s="177"/>
      <c r="AT56" s="177">
        <v>0</v>
      </c>
      <c r="AU56" s="177">
        <v>0</v>
      </c>
      <c r="AV56" s="177">
        <v>0</v>
      </c>
      <c r="AW56" s="177">
        <v>0</v>
      </c>
      <c r="AX56" s="177">
        <v>-95760180.336461887</v>
      </c>
      <c r="AY56" s="177">
        <v>0</v>
      </c>
      <c r="AZ56" s="177">
        <v>95760180.336461887</v>
      </c>
      <c r="BA56" s="177">
        <v>0</v>
      </c>
      <c r="BB56" s="177"/>
      <c r="BC56" s="177"/>
      <c r="BD56" s="177"/>
      <c r="BE56" s="177"/>
      <c r="BF56" s="177"/>
      <c r="BG56" s="177"/>
      <c r="BH56" s="177"/>
      <c r="BI56" s="177"/>
      <c r="BJ56" s="177"/>
      <c r="BK56" s="177"/>
      <c r="BL56" s="177"/>
      <c r="BM56" s="177"/>
      <c r="BN56" s="177"/>
      <c r="BO56" s="177"/>
      <c r="BP56" s="177"/>
      <c r="BQ56" s="179"/>
      <c r="BR56" s="178"/>
      <c r="BS56" s="184"/>
      <c r="BT56" s="178"/>
      <c r="BU56" s="220"/>
      <c r="BV56" s="178"/>
      <c r="BW56" s="185"/>
      <c r="BX56" s="185"/>
      <c r="BY56" s="177"/>
      <c r="BZ56" s="177"/>
      <c r="CA56" s="177">
        <v>0</v>
      </c>
      <c r="CB56" s="177"/>
      <c r="CC56" s="177"/>
      <c r="CD56" s="177"/>
      <c r="CE56" s="177"/>
      <c r="CF56" s="177"/>
      <c r="CG56" s="177"/>
      <c r="CH56" s="177"/>
      <c r="CI56" s="177"/>
      <c r="CJ56" s="177"/>
      <c r="CK56" s="178"/>
      <c r="CL56" s="178"/>
    </row>
    <row r="57" spans="1:90" outlineLevel="3" x14ac:dyDescent="0.3">
      <c r="A57" s="134" t="s">
        <v>363</v>
      </c>
      <c r="B57" s="134" t="s">
        <v>562</v>
      </c>
      <c r="C57" s="134" t="s">
        <v>356</v>
      </c>
      <c r="D57" s="134" t="s">
        <v>357</v>
      </c>
      <c r="E57" s="134" t="s">
        <v>203</v>
      </c>
      <c r="F57" s="134" t="s">
        <v>194</v>
      </c>
      <c r="G57" s="134" t="s">
        <v>527</v>
      </c>
      <c r="H57" s="134" t="s">
        <v>312</v>
      </c>
      <c r="I57" s="160" t="s">
        <v>340</v>
      </c>
      <c r="J57" s="162">
        <v>1</v>
      </c>
      <c r="K57" s="162">
        <v>1</v>
      </c>
      <c r="L57" s="164">
        <v>0</v>
      </c>
      <c r="M57" s="164">
        <v>0</v>
      </c>
      <c r="N57" s="164">
        <v>0</v>
      </c>
      <c r="O57" s="163">
        <v>0</v>
      </c>
      <c r="P57" s="164">
        <v>0</v>
      </c>
      <c r="Q57" s="164">
        <v>0</v>
      </c>
      <c r="R57" s="166">
        <v>0</v>
      </c>
      <c r="S57" s="278">
        <v>1</v>
      </c>
      <c r="T57" s="166" t="s">
        <v>581</v>
      </c>
      <c r="U57" s="241">
        <v>0</v>
      </c>
      <c r="V57" s="163" t="s">
        <v>314</v>
      </c>
      <c r="W57" s="163">
        <v>0</v>
      </c>
      <c r="X57" s="163">
        <v>0</v>
      </c>
      <c r="Y57" s="163">
        <v>0</v>
      </c>
      <c r="Z57" s="163">
        <v>0</v>
      </c>
      <c r="AA57" s="163">
        <v>0</v>
      </c>
      <c r="AB57" s="163">
        <v>0</v>
      </c>
      <c r="AC57" s="241">
        <v>0</v>
      </c>
      <c r="AD57" s="163">
        <v>0</v>
      </c>
      <c r="AE57" s="163">
        <v>0</v>
      </c>
      <c r="AF57" s="163">
        <v>0</v>
      </c>
      <c r="AG57" s="163">
        <v>0</v>
      </c>
      <c r="AH57" s="242">
        <v>0</v>
      </c>
      <c r="AI57" s="163">
        <v>0</v>
      </c>
      <c r="AJ57" s="163">
        <v>0</v>
      </c>
      <c r="AK57" s="243">
        <v>0</v>
      </c>
      <c r="AL57" s="167">
        <v>0</v>
      </c>
      <c r="AM57" s="163">
        <v>1165662.43</v>
      </c>
      <c r="AN57" s="164">
        <v>0</v>
      </c>
      <c r="AO57" s="167">
        <v>0</v>
      </c>
      <c r="AP57" s="163">
        <v>0</v>
      </c>
      <c r="AQ57" s="168">
        <v>1</v>
      </c>
      <c r="AR57" s="163">
        <v>0</v>
      </c>
      <c r="AS57" s="163">
        <v>0</v>
      </c>
      <c r="AT57" s="163">
        <v>0</v>
      </c>
      <c r="AU57" s="163">
        <v>0</v>
      </c>
      <c r="AV57" s="163">
        <v>0</v>
      </c>
      <c r="AW57" s="163">
        <v>0</v>
      </c>
      <c r="AX57" s="163">
        <v>-1165662.43</v>
      </c>
      <c r="AY57" s="163">
        <v>0</v>
      </c>
      <c r="AZ57" s="163">
        <v>1165662.43</v>
      </c>
      <c r="BA57" s="163">
        <v>0</v>
      </c>
      <c r="BB57" s="163" t="s">
        <v>194</v>
      </c>
      <c r="BC57" s="163" t="s">
        <v>194</v>
      </c>
      <c r="BD57" s="163">
        <v>0</v>
      </c>
      <c r="BE57" s="163">
        <v>0</v>
      </c>
      <c r="BF57" s="163">
        <v>0</v>
      </c>
      <c r="BG57" s="163">
        <v>0</v>
      </c>
      <c r="BH57" s="163">
        <v>-1165662.43</v>
      </c>
      <c r="BI57" s="163">
        <v>0</v>
      </c>
      <c r="BJ57" s="163">
        <v>1165662.43</v>
      </c>
      <c r="BK57" s="163">
        <v>0</v>
      </c>
      <c r="BL57" s="163">
        <v>0</v>
      </c>
      <c r="BM57" s="163" t="s">
        <v>315</v>
      </c>
      <c r="BN57" s="163">
        <v>0</v>
      </c>
      <c r="BO57" s="163" t="b">
        <v>0</v>
      </c>
      <c r="BP57" s="163">
        <v>0</v>
      </c>
      <c r="BQ57" s="165">
        <v>0</v>
      </c>
      <c r="BR57" s="164">
        <v>0</v>
      </c>
      <c r="BS57" s="170">
        <v>86</v>
      </c>
      <c r="BT57" s="164">
        <v>0</v>
      </c>
      <c r="BU57" s="227">
        <v>0</v>
      </c>
      <c r="BV57" s="164">
        <v>276</v>
      </c>
      <c r="BW57" s="171">
        <v>0</v>
      </c>
      <c r="BX57" s="171">
        <v>0</v>
      </c>
      <c r="BY57" s="163">
        <v>0</v>
      </c>
      <c r="BZ57" s="163">
        <v>0</v>
      </c>
      <c r="CA57" s="163">
        <v>0</v>
      </c>
      <c r="CB57" s="163">
        <v>0</v>
      </c>
      <c r="CC57" s="163">
        <v>0</v>
      </c>
      <c r="CD57" s="163">
        <v>0</v>
      </c>
      <c r="CE57" s="163">
        <v>0</v>
      </c>
      <c r="CF57" s="163">
        <v>0</v>
      </c>
      <c r="CG57" s="163">
        <v>0</v>
      </c>
      <c r="CH57" s="163">
        <v>0</v>
      </c>
      <c r="CI57" s="163">
        <v>0</v>
      </c>
      <c r="CJ57" s="163">
        <v>0</v>
      </c>
      <c r="CK57" s="164">
        <v>0</v>
      </c>
      <c r="CL57" s="164">
        <v>0</v>
      </c>
    </row>
    <row r="58" spans="1:90" outlineLevel="3" x14ac:dyDescent="0.3">
      <c r="A58" s="134" t="s">
        <v>363</v>
      </c>
      <c r="B58" s="134" t="s">
        <v>562</v>
      </c>
      <c r="C58" s="134" t="s">
        <v>356</v>
      </c>
      <c r="D58" s="134" t="s">
        <v>357</v>
      </c>
      <c r="E58" s="134" t="s">
        <v>204</v>
      </c>
      <c r="F58" s="134" t="s">
        <v>194</v>
      </c>
      <c r="G58" s="134" t="s">
        <v>527</v>
      </c>
      <c r="H58" s="134" t="s">
        <v>312</v>
      </c>
      <c r="I58" s="160" t="s">
        <v>340</v>
      </c>
      <c r="J58" s="162">
        <v>1</v>
      </c>
      <c r="K58" s="162">
        <v>1</v>
      </c>
      <c r="L58" s="164">
        <v>0</v>
      </c>
      <c r="M58" s="164">
        <v>0</v>
      </c>
      <c r="N58" s="164">
        <v>0</v>
      </c>
      <c r="O58" s="163">
        <v>0</v>
      </c>
      <c r="P58" s="164">
        <v>0</v>
      </c>
      <c r="Q58" s="164">
        <v>0</v>
      </c>
      <c r="R58" s="166">
        <v>0</v>
      </c>
      <c r="S58" s="275">
        <v>1</v>
      </c>
      <c r="T58" s="166" t="s">
        <v>581</v>
      </c>
      <c r="U58" s="241">
        <v>0</v>
      </c>
      <c r="V58" s="163" t="s">
        <v>314</v>
      </c>
      <c r="W58" s="163">
        <v>0</v>
      </c>
      <c r="X58" s="163">
        <v>0</v>
      </c>
      <c r="Y58" s="163">
        <v>0</v>
      </c>
      <c r="Z58" s="163">
        <v>0</v>
      </c>
      <c r="AA58" s="163">
        <v>0</v>
      </c>
      <c r="AB58" s="163">
        <v>0</v>
      </c>
      <c r="AC58" s="241">
        <v>0</v>
      </c>
      <c r="AD58" s="163">
        <v>0</v>
      </c>
      <c r="AE58" s="163">
        <v>0</v>
      </c>
      <c r="AF58" s="163">
        <v>0</v>
      </c>
      <c r="AG58" s="163">
        <v>0</v>
      </c>
      <c r="AH58" s="242">
        <v>0</v>
      </c>
      <c r="AI58" s="163">
        <v>0</v>
      </c>
      <c r="AJ58" s="163">
        <v>0</v>
      </c>
      <c r="AK58" s="243">
        <v>0</v>
      </c>
      <c r="AL58" s="167">
        <v>0</v>
      </c>
      <c r="AM58" s="163">
        <v>429210</v>
      </c>
      <c r="AN58" s="164">
        <v>0</v>
      </c>
      <c r="AO58" s="167">
        <v>0</v>
      </c>
      <c r="AP58" s="163">
        <v>0</v>
      </c>
      <c r="AQ58" s="168">
        <v>1</v>
      </c>
      <c r="AR58" s="163">
        <v>0</v>
      </c>
      <c r="AS58" s="163">
        <v>0</v>
      </c>
      <c r="AT58" s="163">
        <v>0</v>
      </c>
      <c r="AU58" s="163">
        <v>0</v>
      </c>
      <c r="AV58" s="163">
        <v>0</v>
      </c>
      <c r="AW58" s="163">
        <v>0</v>
      </c>
      <c r="AX58" s="163">
        <v>670790</v>
      </c>
      <c r="AY58" s="163">
        <v>0</v>
      </c>
      <c r="AZ58" s="163">
        <v>-670790</v>
      </c>
      <c r="BA58" s="163">
        <v>0</v>
      </c>
      <c r="BB58" s="163" t="s">
        <v>194</v>
      </c>
      <c r="BC58" s="163" t="s">
        <v>194</v>
      </c>
      <c r="BD58" s="163">
        <v>0</v>
      </c>
      <c r="BE58" s="163">
        <v>0</v>
      </c>
      <c r="BF58" s="163">
        <v>0</v>
      </c>
      <c r="BG58" s="163">
        <v>0</v>
      </c>
      <c r="BH58" s="163">
        <v>670790</v>
      </c>
      <c r="BI58" s="163">
        <v>0</v>
      </c>
      <c r="BJ58" s="163">
        <v>-670790</v>
      </c>
      <c r="BK58" s="163">
        <v>0</v>
      </c>
      <c r="BL58" s="163">
        <v>0</v>
      </c>
      <c r="BM58" s="163" t="s">
        <v>315</v>
      </c>
      <c r="BN58" s="163">
        <v>0</v>
      </c>
      <c r="BO58" s="163" t="b">
        <v>0</v>
      </c>
      <c r="BP58" s="163">
        <v>0</v>
      </c>
      <c r="BQ58" s="165">
        <v>0</v>
      </c>
      <c r="BR58" s="164">
        <v>0</v>
      </c>
      <c r="BS58" s="170">
        <v>86</v>
      </c>
      <c r="BT58" s="164">
        <v>0</v>
      </c>
      <c r="BU58" s="227">
        <v>0</v>
      </c>
      <c r="BV58" s="164">
        <v>290</v>
      </c>
      <c r="BW58" s="171">
        <v>0</v>
      </c>
      <c r="BX58" s="171">
        <v>0</v>
      </c>
      <c r="BY58" s="163">
        <v>0</v>
      </c>
      <c r="BZ58" s="163">
        <v>0</v>
      </c>
      <c r="CA58" s="163">
        <v>0</v>
      </c>
      <c r="CB58" s="163">
        <v>-1100000</v>
      </c>
      <c r="CC58" s="163">
        <v>0</v>
      </c>
      <c r="CD58" s="163">
        <v>0</v>
      </c>
      <c r="CE58" s="163">
        <v>0</v>
      </c>
      <c r="CF58" s="163">
        <v>0</v>
      </c>
      <c r="CG58" s="163">
        <v>0</v>
      </c>
      <c r="CH58" s="163">
        <v>0</v>
      </c>
      <c r="CI58" s="163">
        <v>0</v>
      </c>
      <c r="CJ58" s="163">
        <v>0</v>
      </c>
      <c r="CK58" s="164">
        <v>0</v>
      </c>
      <c r="CL58" s="164">
        <v>0</v>
      </c>
    </row>
    <row r="59" spans="1:90" outlineLevel="3" x14ac:dyDescent="0.3">
      <c r="A59" s="134" t="s">
        <v>363</v>
      </c>
      <c r="B59" s="134" t="s">
        <v>562</v>
      </c>
      <c r="C59" s="134" t="s">
        <v>356</v>
      </c>
      <c r="D59" s="134" t="s">
        <v>357</v>
      </c>
      <c r="E59" s="134" t="s">
        <v>205</v>
      </c>
      <c r="F59" s="134" t="s">
        <v>194</v>
      </c>
      <c r="G59" s="134" t="s">
        <v>527</v>
      </c>
      <c r="H59" s="134" t="s">
        <v>312</v>
      </c>
      <c r="I59" s="160" t="s">
        <v>340</v>
      </c>
      <c r="J59" s="162">
        <v>1</v>
      </c>
      <c r="K59" s="162">
        <v>1</v>
      </c>
      <c r="L59" s="164">
        <v>0</v>
      </c>
      <c r="M59" s="164">
        <v>0</v>
      </c>
      <c r="N59" s="164">
        <v>0</v>
      </c>
      <c r="O59" s="163">
        <v>0</v>
      </c>
      <c r="P59" s="164">
        <v>0</v>
      </c>
      <c r="Q59" s="164">
        <v>0</v>
      </c>
      <c r="R59" s="166">
        <v>0</v>
      </c>
      <c r="S59" s="275">
        <v>1</v>
      </c>
      <c r="T59" s="166" t="s">
        <v>581</v>
      </c>
      <c r="U59" s="241">
        <v>0</v>
      </c>
      <c r="V59" s="163" t="s">
        <v>314</v>
      </c>
      <c r="W59" s="163">
        <v>0</v>
      </c>
      <c r="X59" s="163">
        <v>0</v>
      </c>
      <c r="Y59" s="163">
        <v>0</v>
      </c>
      <c r="Z59" s="163">
        <v>0</v>
      </c>
      <c r="AA59" s="163">
        <v>0</v>
      </c>
      <c r="AB59" s="163">
        <v>0</v>
      </c>
      <c r="AC59" s="241">
        <v>0</v>
      </c>
      <c r="AD59" s="163">
        <v>0</v>
      </c>
      <c r="AE59" s="163">
        <v>0</v>
      </c>
      <c r="AF59" s="163">
        <v>0</v>
      </c>
      <c r="AG59" s="163">
        <v>0</v>
      </c>
      <c r="AH59" s="242">
        <v>0</v>
      </c>
      <c r="AI59" s="163">
        <v>0</v>
      </c>
      <c r="AJ59" s="163">
        <v>0</v>
      </c>
      <c r="AK59" s="243">
        <v>0</v>
      </c>
      <c r="AL59" s="167">
        <v>0</v>
      </c>
      <c r="AM59" s="163">
        <v>470790</v>
      </c>
      <c r="AN59" s="164">
        <v>0</v>
      </c>
      <c r="AO59" s="167">
        <v>0</v>
      </c>
      <c r="AP59" s="163">
        <v>0</v>
      </c>
      <c r="AQ59" s="168">
        <v>1</v>
      </c>
      <c r="AR59" s="163">
        <v>0</v>
      </c>
      <c r="AS59" s="163">
        <v>0</v>
      </c>
      <c r="AT59" s="163">
        <v>0</v>
      </c>
      <c r="AU59" s="163">
        <v>0</v>
      </c>
      <c r="AV59" s="163">
        <v>0</v>
      </c>
      <c r="AW59" s="163">
        <v>0</v>
      </c>
      <c r="AX59" s="163">
        <v>-470790</v>
      </c>
      <c r="AY59" s="163">
        <v>0</v>
      </c>
      <c r="AZ59" s="163">
        <v>470790</v>
      </c>
      <c r="BA59" s="163">
        <v>0</v>
      </c>
      <c r="BB59" s="163" t="s">
        <v>194</v>
      </c>
      <c r="BC59" s="163" t="s">
        <v>194</v>
      </c>
      <c r="BD59" s="163">
        <v>0</v>
      </c>
      <c r="BE59" s="163">
        <v>0</v>
      </c>
      <c r="BF59" s="163">
        <v>0</v>
      </c>
      <c r="BG59" s="163">
        <v>0</v>
      </c>
      <c r="BH59" s="163">
        <v>-470790</v>
      </c>
      <c r="BI59" s="163">
        <v>0</v>
      </c>
      <c r="BJ59" s="163">
        <v>470790</v>
      </c>
      <c r="BK59" s="163">
        <v>0</v>
      </c>
      <c r="BL59" s="163">
        <v>0</v>
      </c>
      <c r="BM59" s="163" t="s">
        <v>315</v>
      </c>
      <c r="BN59" s="163">
        <v>0</v>
      </c>
      <c r="BO59" s="163" t="b">
        <v>0</v>
      </c>
      <c r="BP59" s="163">
        <v>0</v>
      </c>
      <c r="BQ59" s="165">
        <v>0</v>
      </c>
      <c r="BR59" s="164">
        <v>0</v>
      </c>
      <c r="BS59" s="170">
        <v>86</v>
      </c>
      <c r="BT59" s="164">
        <v>0</v>
      </c>
      <c r="BU59" s="227">
        <v>0</v>
      </c>
      <c r="BV59" s="164">
        <v>292</v>
      </c>
      <c r="BW59" s="171">
        <v>0</v>
      </c>
      <c r="BX59" s="171">
        <v>0</v>
      </c>
      <c r="BY59" s="163">
        <v>0</v>
      </c>
      <c r="BZ59" s="163">
        <v>0</v>
      </c>
      <c r="CA59" s="163">
        <v>0</v>
      </c>
      <c r="CB59" s="163">
        <v>0</v>
      </c>
      <c r="CC59" s="163">
        <v>0</v>
      </c>
      <c r="CD59" s="163">
        <v>0</v>
      </c>
      <c r="CE59" s="163">
        <v>0</v>
      </c>
      <c r="CF59" s="163">
        <v>0</v>
      </c>
      <c r="CG59" s="163">
        <v>0</v>
      </c>
      <c r="CH59" s="163">
        <v>0</v>
      </c>
      <c r="CI59" s="163">
        <v>0</v>
      </c>
      <c r="CJ59" s="163">
        <v>0</v>
      </c>
      <c r="CK59" s="164">
        <v>0</v>
      </c>
      <c r="CL59" s="164">
        <v>0</v>
      </c>
    </row>
    <row r="60" spans="1:90" outlineLevel="3" x14ac:dyDescent="0.3">
      <c r="A60" s="134" t="s">
        <v>363</v>
      </c>
      <c r="B60" s="134" t="s">
        <v>562</v>
      </c>
      <c r="C60" s="134" t="s">
        <v>568</v>
      </c>
      <c r="D60" s="134" t="s">
        <v>569</v>
      </c>
      <c r="E60" s="134" t="s">
        <v>206</v>
      </c>
      <c r="F60" s="134" t="s">
        <v>194</v>
      </c>
      <c r="G60" s="134" t="s">
        <v>527</v>
      </c>
      <c r="H60" s="134" t="s">
        <v>312</v>
      </c>
      <c r="I60" s="160" t="s">
        <v>340</v>
      </c>
      <c r="J60" s="162">
        <v>1</v>
      </c>
      <c r="K60" s="162">
        <v>1</v>
      </c>
      <c r="L60" s="164">
        <v>0</v>
      </c>
      <c r="M60" s="164">
        <v>0</v>
      </c>
      <c r="N60" s="164">
        <v>0</v>
      </c>
      <c r="O60" s="163">
        <v>7121810</v>
      </c>
      <c r="P60" s="164">
        <v>7121810</v>
      </c>
      <c r="Q60" s="164">
        <v>0</v>
      </c>
      <c r="R60" s="166" t="s">
        <v>583</v>
      </c>
      <c r="S60" s="275">
        <v>0.5</v>
      </c>
      <c r="T60" s="166" t="s">
        <v>581</v>
      </c>
      <c r="U60" s="241">
        <v>7121810</v>
      </c>
      <c r="V60" s="163" t="s">
        <v>314</v>
      </c>
      <c r="W60" s="163">
        <v>0</v>
      </c>
      <c r="X60" s="163">
        <v>0</v>
      </c>
      <c r="Y60" s="163">
        <v>0</v>
      </c>
      <c r="Z60" s="163">
        <v>0</v>
      </c>
      <c r="AA60" s="163">
        <v>0</v>
      </c>
      <c r="AB60" s="163">
        <v>0</v>
      </c>
      <c r="AC60" s="241">
        <v>7121810</v>
      </c>
      <c r="AD60" s="163">
        <v>0</v>
      </c>
      <c r="AE60" s="163">
        <v>0</v>
      </c>
      <c r="AF60" s="163">
        <v>0</v>
      </c>
      <c r="AG60" s="163">
        <v>0</v>
      </c>
      <c r="AH60" s="242">
        <v>0</v>
      </c>
      <c r="AI60" s="163">
        <v>0</v>
      </c>
      <c r="AJ60" s="163">
        <v>0</v>
      </c>
      <c r="AK60" s="243">
        <v>0</v>
      </c>
      <c r="AL60" s="167">
        <v>0</v>
      </c>
      <c r="AM60" s="163">
        <v>7121810</v>
      </c>
      <c r="AN60" s="164">
        <v>0</v>
      </c>
      <c r="AO60" s="167">
        <v>0</v>
      </c>
      <c r="AP60" s="163">
        <v>7121810</v>
      </c>
      <c r="AQ60" s="168">
        <v>1</v>
      </c>
      <c r="AR60" s="163">
        <v>0</v>
      </c>
      <c r="AS60" s="163">
        <v>7121810</v>
      </c>
      <c r="AT60" s="163">
        <v>0</v>
      </c>
      <c r="AU60" s="163">
        <v>0</v>
      </c>
      <c r="AV60" s="163">
        <v>0</v>
      </c>
      <c r="AW60" s="163">
        <v>0</v>
      </c>
      <c r="AX60" s="163">
        <v>0</v>
      </c>
      <c r="AY60" s="163">
        <v>0</v>
      </c>
      <c r="AZ60" s="163">
        <v>0</v>
      </c>
      <c r="BA60" s="163">
        <v>0</v>
      </c>
      <c r="BB60" s="163" t="s">
        <v>194</v>
      </c>
      <c r="BC60" s="163" t="s">
        <v>194</v>
      </c>
      <c r="BD60" s="163">
        <v>0</v>
      </c>
      <c r="BE60" s="163">
        <v>0</v>
      </c>
      <c r="BF60" s="163">
        <v>0</v>
      </c>
      <c r="BG60" s="163">
        <v>0</v>
      </c>
      <c r="BH60" s="163">
        <v>0</v>
      </c>
      <c r="BI60" s="163">
        <v>0</v>
      </c>
      <c r="BJ60" s="163">
        <v>0</v>
      </c>
      <c r="BK60" s="163">
        <v>0</v>
      </c>
      <c r="BL60" s="163">
        <v>7121810</v>
      </c>
      <c r="BM60" s="163" t="s">
        <v>315</v>
      </c>
      <c r="BN60" s="163">
        <v>0</v>
      </c>
      <c r="BO60" s="163" t="b">
        <v>0</v>
      </c>
      <c r="BP60" s="163">
        <v>0</v>
      </c>
      <c r="BQ60" s="165">
        <v>0</v>
      </c>
      <c r="BR60" s="164">
        <v>7500000</v>
      </c>
      <c r="BS60" s="170">
        <v>86</v>
      </c>
      <c r="BT60" s="164">
        <v>0</v>
      </c>
      <c r="BU60" s="227">
        <v>0</v>
      </c>
      <c r="BV60" s="164">
        <v>293</v>
      </c>
      <c r="BW60" s="171">
        <v>0</v>
      </c>
      <c r="BX60" s="171">
        <v>0</v>
      </c>
      <c r="BY60" s="163">
        <v>0</v>
      </c>
      <c r="BZ60" s="163">
        <v>0</v>
      </c>
      <c r="CA60" s="163">
        <v>0</v>
      </c>
      <c r="CB60" s="163">
        <v>0</v>
      </c>
      <c r="CC60" s="163">
        <v>0</v>
      </c>
      <c r="CD60" s="163">
        <v>0</v>
      </c>
      <c r="CE60" s="163">
        <v>0</v>
      </c>
      <c r="CF60" s="163">
        <v>0</v>
      </c>
      <c r="CG60" s="163">
        <v>0</v>
      </c>
      <c r="CH60" s="163">
        <v>0</v>
      </c>
      <c r="CI60" s="163">
        <v>0</v>
      </c>
      <c r="CJ60" s="163">
        <v>0</v>
      </c>
      <c r="CK60" s="164">
        <v>0</v>
      </c>
      <c r="CL60" s="164">
        <v>0</v>
      </c>
    </row>
    <row r="61" spans="1:90" s="186" customFormat="1" ht="20.100000000000001" customHeight="1" outlineLevel="2" x14ac:dyDescent="0.3">
      <c r="A61" s="173" t="s">
        <v>364</v>
      </c>
      <c r="B61" s="173"/>
      <c r="C61" s="173"/>
      <c r="D61" s="173"/>
      <c r="E61" s="173"/>
      <c r="F61" s="173"/>
      <c r="G61" s="173"/>
      <c r="H61" s="173"/>
      <c r="I61" s="174"/>
      <c r="J61" s="176"/>
      <c r="K61" s="176"/>
      <c r="L61" s="178"/>
      <c r="M61" s="178"/>
      <c r="N61" s="178"/>
      <c r="O61" s="177"/>
      <c r="P61" s="178"/>
      <c r="Q61" s="178"/>
      <c r="R61" s="180">
        <v>0</v>
      </c>
      <c r="S61" s="276">
        <v>3.5</v>
      </c>
      <c r="T61" s="180">
        <v>0</v>
      </c>
      <c r="U61" s="244">
        <v>7121810</v>
      </c>
      <c r="V61" s="177"/>
      <c r="W61" s="177">
        <v>0</v>
      </c>
      <c r="X61" s="177">
        <v>0</v>
      </c>
      <c r="Y61" s="177">
        <v>0</v>
      </c>
      <c r="Z61" s="177">
        <v>0</v>
      </c>
      <c r="AA61" s="177">
        <v>0</v>
      </c>
      <c r="AB61" s="177">
        <v>0</v>
      </c>
      <c r="AC61" s="244">
        <v>7121810</v>
      </c>
      <c r="AD61" s="177">
        <v>0</v>
      </c>
      <c r="AE61" s="177">
        <v>0</v>
      </c>
      <c r="AF61" s="177">
        <v>0</v>
      </c>
      <c r="AG61" s="177">
        <v>0</v>
      </c>
      <c r="AH61" s="245">
        <v>0</v>
      </c>
      <c r="AI61" s="177">
        <v>0</v>
      </c>
      <c r="AJ61" s="177">
        <v>0</v>
      </c>
      <c r="AK61" s="246">
        <v>0</v>
      </c>
      <c r="AL61" s="181"/>
      <c r="AM61" s="177">
        <v>9187472.4299999997</v>
      </c>
      <c r="AN61" s="178"/>
      <c r="AO61" s="181"/>
      <c r="AP61" s="177">
        <v>7121810</v>
      </c>
      <c r="AQ61" s="182"/>
      <c r="AR61" s="177"/>
      <c r="AS61" s="177"/>
      <c r="AT61" s="177">
        <v>0</v>
      </c>
      <c r="AU61" s="177">
        <v>0</v>
      </c>
      <c r="AV61" s="177">
        <v>0</v>
      </c>
      <c r="AW61" s="177">
        <v>0</v>
      </c>
      <c r="AX61" s="177">
        <v>-965662.43</v>
      </c>
      <c r="AY61" s="177">
        <v>0</v>
      </c>
      <c r="AZ61" s="177">
        <v>965662.43</v>
      </c>
      <c r="BA61" s="177">
        <v>0</v>
      </c>
      <c r="BB61" s="177"/>
      <c r="BC61" s="177"/>
      <c r="BD61" s="177"/>
      <c r="BE61" s="177"/>
      <c r="BF61" s="177"/>
      <c r="BG61" s="177"/>
      <c r="BH61" s="177"/>
      <c r="BI61" s="177"/>
      <c r="BJ61" s="177"/>
      <c r="BK61" s="177"/>
      <c r="BL61" s="177"/>
      <c r="BM61" s="177"/>
      <c r="BN61" s="177"/>
      <c r="BO61" s="177"/>
      <c r="BP61" s="177"/>
      <c r="BQ61" s="179"/>
      <c r="BR61" s="178"/>
      <c r="BS61" s="184"/>
      <c r="BT61" s="178"/>
      <c r="BU61" s="220"/>
      <c r="BV61" s="178"/>
      <c r="BW61" s="185"/>
      <c r="BX61" s="185"/>
      <c r="BY61" s="177"/>
      <c r="BZ61" s="177"/>
      <c r="CA61" s="177">
        <v>0</v>
      </c>
      <c r="CB61" s="177"/>
      <c r="CC61" s="177"/>
      <c r="CD61" s="177"/>
      <c r="CE61" s="177"/>
      <c r="CF61" s="177"/>
      <c r="CG61" s="177"/>
      <c r="CH61" s="177"/>
      <c r="CI61" s="177"/>
      <c r="CJ61" s="177"/>
      <c r="CK61" s="178"/>
      <c r="CL61" s="178"/>
    </row>
    <row r="62" spans="1:90" outlineLevel="3" x14ac:dyDescent="0.3">
      <c r="A62" s="134" t="s">
        <v>365</v>
      </c>
      <c r="B62" s="134" t="s">
        <v>562</v>
      </c>
      <c r="C62" s="134" t="s">
        <v>352</v>
      </c>
      <c r="D62" s="134" t="s">
        <v>353</v>
      </c>
      <c r="E62" s="134" t="s">
        <v>491</v>
      </c>
      <c r="F62" s="134" t="s">
        <v>366</v>
      </c>
      <c r="G62" s="134" t="s">
        <v>547</v>
      </c>
      <c r="H62" s="134" t="s">
        <v>336</v>
      </c>
      <c r="I62" s="160" t="s">
        <v>336</v>
      </c>
      <c r="J62" s="161">
        <v>11904760</v>
      </c>
      <c r="K62" s="162">
        <v>11904760</v>
      </c>
      <c r="L62" s="164">
        <v>0</v>
      </c>
      <c r="M62" s="164">
        <v>0</v>
      </c>
      <c r="N62" s="164">
        <v>1</v>
      </c>
      <c r="O62" s="163">
        <v>0.85050013608002173</v>
      </c>
      <c r="P62" s="164">
        <v>0.85050013608002173</v>
      </c>
      <c r="Q62" s="164">
        <v>0</v>
      </c>
      <c r="R62" s="166" t="s">
        <v>583</v>
      </c>
      <c r="S62" s="275">
        <v>0.75</v>
      </c>
      <c r="T62" s="166" t="s">
        <v>585</v>
      </c>
      <c r="U62" s="241">
        <v>10125000</v>
      </c>
      <c r="V62" s="163" t="s">
        <v>314</v>
      </c>
      <c r="W62" s="163">
        <v>0</v>
      </c>
      <c r="X62" s="163">
        <v>0</v>
      </c>
      <c r="Y62" s="163">
        <v>0</v>
      </c>
      <c r="Z62" s="163">
        <v>0</v>
      </c>
      <c r="AA62" s="163">
        <v>0</v>
      </c>
      <c r="AB62" s="163">
        <v>0</v>
      </c>
      <c r="AC62" s="241">
        <v>10125000</v>
      </c>
      <c r="AD62" s="163">
        <v>0</v>
      </c>
      <c r="AE62" s="163">
        <v>0</v>
      </c>
      <c r="AF62" s="163">
        <v>0</v>
      </c>
      <c r="AG62" s="163">
        <v>0</v>
      </c>
      <c r="AH62" s="242">
        <v>0</v>
      </c>
      <c r="AI62" s="163">
        <v>0</v>
      </c>
      <c r="AJ62" s="163">
        <v>0</v>
      </c>
      <c r="AK62" s="243">
        <v>0</v>
      </c>
      <c r="AL62" s="167">
        <v>0</v>
      </c>
      <c r="AM62" s="163">
        <v>23513434.5</v>
      </c>
      <c r="AN62" s="167">
        <v>0</v>
      </c>
      <c r="AO62" s="167">
        <v>0</v>
      </c>
      <c r="AP62" s="163">
        <v>10125000</v>
      </c>
      <c r="AQ62" s="168">
        <v>1</v>
      </c>
      <c r="AR62" s="163">
        <v>10125000</v>
      </c>
      <c r="AS62" s="163">
        <v>0.85050013608002173</v>
      </c>
      <c r="AT62" s="163">
        <v>0</v>
      </c>
      <c r="AU62" s="163">
        <v>0</v>
      </c>
      <c r="AV62" s="163">
        <v>0</v>
      </c>
      <c r="AW62" s="163">
        <v>0</v>
      </c>
      <c r="AX62" s="163">
        <v>-13388434.5</v>
      </c>
      <c r="AY62" s="163">
        <v>0</v>
      </c>
      <c r="AZ62" s="163">
        <v>13388434.5</v>
      </c>
      <c r="BA62" s="163">
        <v>0</v>
      </c>
      <c r="BB62" s="163" t="s">
        <v>194</v>
      </c>
      <c r="BC62" s="163" t="s">
        <v>194</v>
      </c>
      <c r="BD62" s="163">
        <v>0</v>
      </c>
      <c r="BE62" s="163">
        <v>0</v>
      </c>
      <c r="BF62" s="163">
        <v>0</v>
      </c>
      <c r="BG62" s="163">
        <v>0</v>
      </c>
      <c r="BH62" s="163">
        <v>-13388434.5</v>
      </c>
      <c r="BI62" s="163">
        <v>0</v>
      </c>
      <c r="BJ62" s="163">
        <v>13388434.5</v>
      </c>
      <c r="BK62" s="163">
        <v>0</v>
      </c>
      <c r="BL62" s="163">
        <v>10125000</v>
      </c>
      <c r="BM62" s="163" t="s">
        <v>315</v>
      </c>
      <c r="BN62" s="163">
        <v>0</v>
      </c>
      <c r="BO62" s="163" t="b">
        <v>0</v>
      </c>
      <c r="BP62" s="163">
        <v>0</v>
      </c>
      <c r="BQ62" s="164">
        <v>7875000</v>
      </c>
      <c r="BR62" s="164">
        <v>3546849</v>
      </c>
      <c r="BS62" s="170">
        <v>79</v>
      </c>
      <c r="BT62" s="164">
        <v>0</v>
      </c>
      <c r="BU62" s="227">
        <v>0</v>
      </c>
      <c r="BV62" s="164">
        <v>170</v>
      </c>
      <c r="BW62" s="171">
        <v>0</v>
      </c>
      <c r="BX62" s="171">
        <v>0</v>
      </c>
      <c r="BY62" s="163">
        <v>0</v>
      </c>
      <c r="BZ62" s="163">
        <v>0</v>
      </c>
      <c r="CA62" s="163">
        <v>0</v>
      </c>
      <c r="CB62" s="163">
        <v>0</v>
      </c>
      <c r="CC62" s="163">
        <v>0</v>
      </c>
      <c r="CD62" s="163">
        <v>0</v>
      </c>
      <c r="CE62" s="163">
        <v>0</v>
      </c>
      <c r="CF62" s="163">
        <v>0</v>
      </c>
      <c r="CG62" s="163">
        <v>0</v>
      </c>
      <c r="CH62" s="163">
        <v>0</v>
      </c>
      <c r="CI62" s="163">
        <v>0</v>
      </c>
      <c r="CJ62" s="163">
        <v>0</v>
      </c>
      <c r="CK62" s="164">
        <v>0</v>
      </c>
      <c r="CL62" s="164">
        <v>0</v>
      </c>
    </row>
    <row r="63" spans="1:90" outlineLevel="3" x14ac:dyDescent="0.3">
      <c r="A63" s="134" t="s">
        <v>365</v>
      </c>
      <c r="B63" s="134" t="s">
        <v>562</v>
      </c>
      <c r="C63" s="134" t="s">
        <v>356</v>
      </c>
      <c r="D63" s="134" t="s">
        <v>357</v>
      </c>
      <c r="E63" s="134" t="s">
        <v>207</v>
      </c>
      <c r="F63" s="134" t="s">
        <v>366</v>
      </c>
      <c r="G63" s="134" t="s">
        <v>527</v>
      </c>
      <c r="H63" s="134" t="s">
        <v>336</v>
      </c>
      <c r="I63" s="160" t="s">
        <v>336</v>
      </c>
      <c r="J63" s="161">
        <v>20344</v>
      </c>
      <c r="K63" s="162">
        <v>20344</v>
      </c>
      <c r="L63" s="164">
        <v>0</v>
      </c>
      <c r="M63" s="164">
        <v>0</v>
      </c>
      <c r="N63" s="164">
        <v>1</v>
      </c>
      <c r="O63" s="163">
        <v>0</v>
      </c>
      <c r="P63" s="164">
        <v>0</v>
      </c>
      <c r="Q63" s="164">
        <v>0</v>
      </c>
      <c r="R63" s="166">
        <v>0</v>
      </c>
      <c r="S63" s="275">
        <v>1</v>
      </c>
      <c r="T63" s="166" t="s">
        <v>581</v>
      </c>
      <c r="U63" s="241">
        <v>0</v>
      </c>
      <c r="V63" s="163" t="s">
        <v>314</v>
      </c>
      <c r="W63" s="163">
        <v>0</v>
      </c>
      <c r="X63" s="163">
        <v>0</v>
      </c>
      <c r="Y63" s="163">
        <v>0</v>
      </c>
      <c r="Z63" s="163">
        <v>0</v>
      </c>
      <c r="AA63" s="163">
        <v>0</v>
      </c>
      <c r="AB63" s="163">
        <v>0</v>
      </c>
      <c r="AC63" s="241">
        <v>0</v>
      </c>
      <c r="AD63" s="163">
        <v>0</v>
      </c>
      <c r="AE63" s="163">
        <v>0</v>
      </c>
      <c r="AF63" s="163">
        <v>0</v>
      </c>
      <c r="AG63" s="163">
        <v>0</v>
      </c>
      <c r="AH63" s="242">
        <v>0</v>
      </c>
      <c r="AI63" s="163">
        <v>0</v>
      </c>
      <c r="AJ63" s="163">
        <v>0</v>
      </c>
      <c r="AK63" s="243">
        <v>0</v>
      </c>
      <c r="AL63" s="167">
        <v>0</v>
      </c>
      <c r="AM63" s="163">
        <v>3486752</v>
      </c>
      <c r="AN63" s="167">
        <v>0</v>
      </c>
      <c r="AO63" s="167">
        <v>0</v>
      </c>
      <c r="AP63" s="163">
        <v>0</v>
      </c>
      <c r="AQ63" s="168">
        <v>1</v>
      </c>
      <c r="AR63" s="163">
        <v>0</v>
      </c>
      <c r="AS63" s="163">
        <v>0</v>
      </c>
      <c r="AT63" s="163">
        <v>0</v>
      </c>
      <c r="AU63" s="163">
        <v>0</v>
      </c>
      <c r="AV63" s="163">
        <v>0</v>
      </c>
      <c r="AW63" s="163">
        <v>0</v>
      </c>
      <c r="AX63" s="163">
        <v>-3486752</v>
      </c>
      <c r="AY63" s="163">
        <v>0</v>
      </c>
      <c r="AZ63" s="163">
        <v>3486752</v>
      </c>
      <c r="BA63" s="163">
        <v>0</v>
      </c>
      <c r="BB63" s="163" t="s">
        <v>194</v>
      </c>
      <c r="BC63" s="163" t="s">
        <v>194</v>
      </c>
      <c r="BD63" s="163">
        <v>0</v>
      </c>
      <c r="BE63" s="163">
        <v>0</v>
      </c>
      <c r="BF63" s="163">
        <v>0</v>
      </c>
      <c r="BG63" s="163">
        <v>0</v>
      </c>
      <c r="BH63" s="163">
        <v>-3486752</v>
      </c>
      <c r="BI63" s="163">
        <v>0</v>
      </c>
      <c r="BJ63" s="163">
        <v>3486752</v>
      </c>
      <c r="BK63" s="163">
        <v>0</v>
      </c>
      <c r="BL63" s="163">
        <v>0</v>
      </c>
      <c r="BM63" s="163" t="s">
        <v>315</v>
      </c>
      <c r="BN63" s="163">
        <v>0</v>
      </c>
      <c r="BO63" s="163" t="b">
        <v>0</v>
      </c>
      <c r="BP63" s="163">
        <v>0</v>
      </c>
      <c r="BQ63" s="164">
        <v>20344</v>
      </c>
      <c r="BR63" s="164">
        <v>0</v>
      </c>
      <c r="BS63" s="170">
        <v>79</v>
      </c>
      <c r="BT63" s="164">
        <v>0</v>
      </c>
      <c r="BU63" s="227">
        <v>0</v>
      </c>
      <c r="BV63" s="164">
        <v>171</v>
      </c>
      <c r="BW63" s="171">
        <v>0</v>
      </c>
      <c r="BX63" s="171">
        <v>0</v>
      </c>
      <c r="BY63" s="163">
        <v>0</v>
      </c>
      <c r="BZ63" s="163">
        <v>0</v>
      </c>
      <c r="CA63" s="163">
        <v>0</v>
      </c>
      <c r="CB63" s="163">
        <v>0</v>
      </c>
      <c r="CC63" s="163">
        <v>0</v>
      </c>
      <c r="CD63" s="163">
        <v>0</v>
      </c>
      <c r="CE63" s="163">
        <v>0</v>
      </c>
      <c r="CF63" s="163">
        <v>0</v>
      </c>
      <c r="CG63" s="163">
        <v>0</v>
      </c>
      <c r="CH63" s="163">
        <v>0</v>
      </c>
      <c r="CI63" s="163">
        <v>0</v>
      </c>
      <c r="CJ63" s="163">
        <v>0</v>
      </c>
      <c r="CK63" s="164">
        <v>0</v>
      </c>
      <c r="CL63" s="164">
        <v>0</v>
      </c>
    </row>
    <row r="64" spans="1:90" outlineLevel="3" x14ac:dyDescent="0.3">
      <c r="A64" s="134" t="s">
        <v>365</v>
      </c>
      <c r="B64" s="134" t="s">
        <v>562</v>
      </c>
      <c r="C64" s="134" t="s">
        <v>356</v>
      </c>
      <c r="D64" s="134" t="s">
        <v>357</v>
      </c>
      <c r="E64" s="134" t="s">
        <v>494</v>
      </c>
      <c r="F64" s="134" t="s">
        <v>366</v>
      </c>
      <c r="G64" s="134" t="s">
        <v>527</v>
      </c>
      <c r="H64" s="134" t="s">
        <v>336</v>
      </c>
      <c r="I64" s="160" t="s">
        <v>336</v>
      </c>
      <c r="J64" s="161">
        <v>1</v>
      </c>
      <c r="K64" s="162">
        <v>1</v>
      </c>
      <c r="L64" s="164">
        <v>0</v>
      </c>
      <c r="M64" s="164">
        <v>0</v>
      </c>
      <c r="N64" s="164">
        <v>1</v>
      </c>
      <c r="O64" s="163">
        <v>0</v>
      </c>
      <c r="P64" s="164">
        <v>0</v>
      </c>
      <c r="Q64" s="164">
        <v>0</v>
      </c>
      <c r="R64" s="166" t="s">
        <v>583</v>
      </c>
      <c r="S64" s="275">
        <v>0.75</v>
      </c>
      <c r="T64" s="166" t="s">
        <v>581</v>
      </c>
      <c r="U64" s="241">
        <v>0</v>
      </c>
      <c r="V64" s="163" t="s">
        <v>314</v>
      </c>
      <c r="W64" s="163">
        <v>0</v>
      </c>
      <c r="X64" s="163">
        <v>0</v>
      </c>
      <c r="Y64" s="163">
        <v>0</v>
      </c>
      <c r="Z64" s="163">
        <v>0</v>
      </c>
      <c r="AA64" s="163">
        <v>0</v>
      </c>
      <c r="AB64" s="163">
        <v>0</v>
      </c>
      <c r="AC64" s="241">
        <v>0</v>
      </c>
      <c r="AD64" s="163">
        <v>0</v>
      </c>
      <c r="AE64" s="163">
        <v>0</v>
      </c>
      <c r="AF64" s="163">
        <v>0</v>
      </c>
      <c r="AG64" s="163">
        <v>0</v>
      </c>
      <c r="AH64" s="242">
        <v>0</v>
      </c>
      <c r="AI64" s="163">
        <v>0</v>
      </c>
      <c r="AJ64" s="163">
        <v>0</v>
      </c>
      <c r="AK64" s="243">
        <v>0</v>
      </c>
      <c r="AL64" s="167">
        <v>0</v>
      </c>
      <c r="AM64" s="163">
        <v>1374750</v>
      </c>
      <c r="AN64" s="167">
        <v>0</v>
      </c>
      <c r="AO64" s="167">
        <v>0</v>
      </c>
      <c r="AP64" s="163">
        <v>0</v>
      </c>
      <c r="AQ64" s="168">
        <v>1</v>
      </c>
      <c r="AR64" s="163">
        <v>0</v>
      </c>
      <c r="AS64" s="163">
        <v>0</v>
      </c>
      <c r="AT64" s="163">
        <v>0</v>
      </c>
      <c r="AU64" s="163">
        <v>0</v>
      </c>
      <c r="AV64" s="163">
        <v>0</v>
      </c>
      <c r="AW64" s="163">
        <v>0</v>
      </c>
      <c r="AX64" s="163">
        <v>-1374750</v>
      </c>
      <c r="AY64" s="163">
        <v>0</v>
      </c>
      <c r="AZ64" s="163">
        <v>1374750</v>
      </c>
      <c r="BA64" s="163">
        <v>0</v>
      </c>
      <c r="BB64" s="163" t="s">
        <v>194</v>
      </c>
      <c r="BC64" s="163" t="s">
        <v>194</v>
      </c>
      <c r="BD64" s="163">
        <v>0</v>
      </c>
      <c r="BE64" s="163">
        <v>0</v>
      </c>
      <c r="BF64" s="163">
        <v>0</v>
      </c>
      <c r="BG64" s="163">
        <v>0</v>
      </c>
      <c r="BH64" s="163">
        <v>-1374750</v>
      </c>
      <c r="BI64" s="163">
        <v>0</v>
      </c>
      <c r="BJ64" s="163">
        <v>1374750</v>
      </c>
      <c r="BK64" s="163">
        <v>0</v>
      </c>
      <c r="BL64" s="163">
        <v>0</v>
      </c>
      <c r="BM64" s="163" t="s">
        <v>318</v>
      </c>
      <c r="BN64" s="163">
        <v>0</v>
      </c>
      <c r="BO64" s="163" t="b">
        <v>0</v>
      </c>
      <c r="BP64" s="163">
        <v>0</v>
      </c>
      <c r="BQ64" s="164">
        <v>0</v>
      </c>
      <c r="BR64" s="164">
        <v>0</v>
      </c>
      <c r="BS64" s="170">
        <v>79</v>
      </c>
      <c r="BT64" s="164">
        <v>0</v>
      </c>
      <c r="BU64" s="227">
        <v>0</v>
      </c>
      <c r="BV64" s="164">
        <v>172</v>
      </c>
      <c r="BW64" s="171">
        <v>0</v>
      </c>
      <c r="BX64" s="171">
        <v>0</v>
      </c>
      <c r="BY64" s="163">
        <v>0</v>
      </c>
      <c r="BZ64" s="163">
        <v>0</v>
      </c>
      <c r="CA64" s="163">
        <v>0</v>
      </c>
      <c r="CB64" s="163">
        <v>0</v>
      </c>
      <c r="CC64" s="163">
        <v>0</v>
      </c>
      <c r="CD64" s="163">
        <v>0</v>
      </c>
      <c r="CE64" s="163">
        <v>0</v>
      </c>
      <c r="CF64" s="163">
        <v>0</v>
      </c>
      <c r="CG64" s="163">
        <v>0</v>
      </c>
      <c r="CH64" s="163">
        <v>0</v>
      </c>
      <c r="CI64" s="163">
        <v>0</v>
      </c>
      <c r="CJ64" s="163">
        <v>0</v>
      </c>
      <c r="CK64" s="164">
        <v>0</v>
      </c>
      <c r="CL64" s="164">
        <v>0</v>
      </c>
    </row>
    <row r="65" spans="1:90" s="186" customFormat="1" ht="20.100000000000001" customHeight="1" outlineLevel="2" x14ac:dyDescent="0.3">
      <c r="A65" s="173" t="s">
        <v>367</v>
      </c>
      <c r="B65" s="173"/>
      <c r="C65" s="173"/>
      <c r="D65" s="173"/>
      <c r="E65" s="173"/>
      <c r="F65" s="173"/>
      <c r="G65" s="173"/>
      <c r="H65" s="173"/>
      <c r="I65" s="174"/>
      <c r="J65" s="175"/>
      <c r="K65" s="176"/>
      <c r="L65" s="178"/>
      <c r="M65" s="178"/>
      <c r="N65" s="178"/>
      <c r="O65" s="177"/>
      <c r="P65" s="178"/>
      <c r="Q65" s="178"/>
      <c r="R65" s="180">
        <v>0</v>
      </c>
      <c r="S65" s="276">
        <v>2.5</v>
      </c>
      <c r="T65" s="180">
        <v>0</v>
      </c>
      <c r="U65" s="244">
        <v>10125000</v>
      </c>
      <c r="V65" s="177"/>
      <c r="W65" s="177">
        <v>0</v>
      </c>
      <c r="X65" s="177">
        <v>0</v>
      </c>
      <c r="Y65" s="177">
        <v>0</v>
      </c>
      <c r="Z65" s="177">
        <v>0</v>
      </c>
      <c r="AA65" s="177">
        <v>0</v>
      </c>
      <c r="AB65" s="177">
        <v>0</v>
      </c>
      <c r="AC65" s="244">
        <v>10125000</v>
      </c>
      <c r="AD65" s="177">
        <v>0</v>
      </c>
      <c r="AE65" s="177">
        <v>0</v>
      </c>
      <c r="AF65" s="177">
        <v>0</v>
      </c>
      <c r="AG65" s="177">
        <v>0</v>
      </c>
      <c r="AH65" s="245">
        <v>0</v>
      </c>
      <c r="AI65" s="177">
        <v>0</v>
      </c>
      <c r="AJ65" s="177">
        <v>0</v>
      </c>
      <c r="AK65" s="246">
        <v>0</v>
      </c>
      <c r="AL65" s="181"/>
      <c r="AM65" s="177">
        <v>28374936.5</v>
      </c>
      <c r="AN65" s="181"/>
      <c r="AO65" s="181"/>
      <c r="AP65" s="177">
        <v>10125000</v>
      </c>
      <c r="AQ65" s="182"/>
      <c r="AR65" s="177"/>
      <c r="AS65" s="177"/>
      <c r="AT65" s="177">
        <v>0</v>
      </c>
      <c r="AU65" s="177">
        <v>0</v>
      </c>
      <c r="AV65" s="177">
        <v>0</v>
      </c>
      <c r="AW65" s="177">
        <v>0</v>
      </c>
      <c r="AX65" s="177">
        <v>-18249936.5</v>
      </c>
      <c r="AY65" s="177">
        <v>0</v>
      </c>
      <c r="AZ65" s="177">
        <v>18249936.5</v>
      </c>
      <c r="BA65" s="177">
        <v>0</v>
      </c>
      <c r="BB65" s="177"/>
      <c r="BC65" s="177"/>
      <c r="BD65" s="177"/>
      <c r="BE65" s="177"/>
      <c r="BF65" s="177"/>
      <c r="BG65" s="177"/>
      <c r="BH65" s="177"/>
      <c r="BI65" s="177"/>
      <c r="BJ65" s="177"/>
      <c r="BK65" s="177"/>
      <c r="BL65" s="177"/>
      <c r="BM65" s="177"/>
      <c r="BN65" s="177"/>
      <c r="BO65" s="177"/>
      <c r="BP65" s="177"/>
      <c r="BQ65" s="178"/>
      <c r="BR65" s="178"/>
      <c r="BS65" s="184"/>
      <c r="BT65" s="178"/>
      <c r="BU65" s="220"/>
      <c r="BV65" s="178"/>
      <c r="BW65" s="185"/>
      <c r="BX65" s="185"/>
      <c r="BY65" s="177"/>
      <c r="BZ65" s="177"/>
      <c r="CA65" s="177">
        <v>0</v>
      </c>
      <c r="CB65" s="177"/>
      <c r="CC65" s="177"/>
      <c r="CD65" s="177"/>
      <c r="CE65" s="177"/>
      <c r="CF65" s="177"/>
      <c r="CG65" s="177"/>
      <c r="CH65" s="177"/>
      <c r="CI65" s="177"/>
      <c r="CJ65" s="177"/>
      <c r="CK65" s="178"/>
      <c r="CL65" s="178"/>
    </row>
    <row r="66" spans="1:90" outlineLevel="3" x14ac:dyDescent="0.3">
      <c r="A66" s="134" t="s">
        <v>368</v>
      </c>
      <c r="B66" s="134" t="s">
        <v>562</v>
      </c>
      <c r="C66" s="134" t="s">
        <v>356</v>
      </c>
      <c r="D66" s="134" t="s">
        <v>357</v>
      </c>
      <c r="E66" s="134" t="s">
        <v>208</v>
      </c>
      <c r="F66" s="134" t="s">
        <v>369</v>
      </c>
      <c r="G66" s="134" t="s">
        <v>527</v>
      </c>
      <c r="H66" s="134" t="s">
        <v>336</v>
      </c>
      <c r="I66" s="160" t="s">
        <v>336</v>
      </c>
      <c r="J66" s="162">
        <v>1.5625009999999998E-7</v>
      </c>
      <c r="K66" s="162">
        <v>1.5625009999999998E-7</v>
      </c>
      <c r="L66" s="164">
        <v>4.9980219510783644E-2</v>
      </c>
      <c r="M66" s="164">
        <v>0</v>
      </c>
      <c r="N66" s="164">
        <v>0.86164668508749775</v>
      </c>
      <c r="O66" s="163">
        <v>2.9409419704735926</v>
      </c>
      <c r="P66" s="164">
        <v>2.9511008271957797</v>
      </c>
      <c r="Q66" s="164">
        <v>-1.0158856722187082E-2</v>
      </c>
      <c r="R66" s="166">
        <v>0</v>
      </c>
      <c r="S66" s="275">
        <v>1</v>
      </c>
      <c r="T66" s="166" t="s">
        <v>581</v>
      </c>
      <c r="U66" s="241">
        <v>4.5952247698069581E-7</v>
      </c>
      <c r="V66" s="163" t="s">
        <v>314</v>
      </c>
      <c r="W66" s="163">
        <v>0</v>
      </c>
      <c r="X66" s="163">
        <v>0</v>
      </c>
      <c r="Y66" s="163">
        <v>0</v>
      </c>
      <c r="Z66" s="163">
        <v>0</v>
      </c>
      <c r="AA66" s="163">
        <v>0</v>
      </c>
      <c r="AB66" s="163">
        <v>0</v>
      </c>
      <c r="AC66" s="241">
        <v>4.6110979935942323E-7</v>
      </c>
      <c r="AD66" s="163">
        <v>-1.5873223787274125E-9</v>
      </c>
      <c r="AE66" s="163">
        <v>0</v>
      </c>
      <c r="AF66" s="163">
        <v>1.5873223787274125E-9</v>
      </c>
      <c r="AG66" s="163">
        <v>0</v>
      </c>
      <c r="AH66" s="242">
        <v>-2.7202007575233845E-8</v>
      </c>
      <c r="AI66" s="163">
        <v>0</v>
      </c>
      <c r="AJ66" s="163">
        <v>2.7202007575233845E-8</v>
      </c>
      <c r="AK66" s="243">
        <v>0</v>
      </c>
      <c r="AL66" s="167">
        <v>0</v>
      </c>
      <c r="AM66" s="163">
        <v>944689.40738186287</v>
      </c>
      <c r="AN66" s="167">
        <v>0</v>
      </c>
      <c r="AO66" s="167">
        <v>4.7637427209149553E-8</v>
      </c>
      <c r="AP66" s="163">
        <v>1711868.3881841477</v>
      </c>
      <c r="AQ66" s="168">
        <v>1</v>
      </c>
      <c r="AR66" s="163">
        <v>8.2125752232849912E-7</v>
      </c>
      <c r="AS66" s="163">
        <v>6.1</v>
      </c>
      <c r="AT66" s="163">
        <v>-1.2508791001272938E-8</v>
      </c>
      <c r="AU66" s="163">
        <v>0</v>
      </c>
      <c r="AV66" s="163">
        <v>1.2508791001272938E-8</v>
      </c>
      <c r="AW66" s="163">
        <v>0</v>
      </c>
      <c r="AX66" s="163">
        <v>-405169.44738140341</v>
      </c>
      <c r="AY66" s="163">
        <v>0</v>
      </c>
      <c r="AZ66" s="163">
        <v>405169.44738140341</v>
      </c>
      <c r="BA66" s="163">
        <v>0</v>
      </c>
      <c r="BB66" s="163">
        <v>4.3</v>
      </c>
      <c r="BC66" s="163">
        <v>4.2</v>
      </c>
      <c r="BD66" s="163">
        <v>-1.0921468622545525E-8</v>
      </c>
      <c r="BE66" s="163">
        <v>0</v>
      </c>
      <c r="BF66" s="163">
        <v>1.0921468622545525E-8</v>
      </c>
      <c r="BG66" s="163">
        <v>0</v>
      </c>
      <c r="BH66" s="163">
        <v>-405169.44738140184</v>
      </c>
      <c r="BI66" s="163">
        <v>0</v>
      </c>
      <c r="BJ66" s="163">
        <v>405169.44738140184</v>
      </c>
      <c r="BK66" s="163">
        <v>0</v>
      </c>
      <c r="BL66" s="163">
        <v>1711868.3881841477</v>
      </c>
      <c r="BM66" s="163" t="s">
        <v>318</v>
      </c>
      <c r="BN66" s="163">
        <v>0</v>
      </c>
      <c r="BO66" s="163" t="b">
        <v>0</v>
      </c>
      <c r="BP66" s="163">
        <v>2.5614685196506433E-8</v>
      </c>
      <c r="BQ66" s="164">
        <v>0</v>
      </c>
      <c r="BR66" s="164">
        <v>0</v>
      </c>
      <c r="BS66" s="170">
        <v>80</v>
      </c>
      <c r="BT66" s="164">
        <v>0</v>
      </c>
      <c r="BU66" s="227">
        <v>1.3463238070959001E-7</v>
      </c>
      <c r="BV66" s="164">
        <v>174</v>
      </c>
      <c r="BW66" s="171">
        <v>4.3</v>
      </c>
      <c r="BX66" s="171">
        <v>4.3</v>
      </c>
      <c r="BY66" s="163">
        <v>0</v>
      </c>
      <c r="BZ66" s="163">
        <v>0</v>
      </c>
      <c r="CA66" s="163">
        <v>0</v>
      </c>
      <c r="CB66" s="163">
        <v>-539519.96</v>
      </c>
      <c r="CC66" s="163">
        <v>0</v>
      </c>
      <c r="CD66" s="163">
        <v>0</v>
      </c>
      <c r="CE66" s="163">
        <v>0</v>
      </c>
      <c r="CF66" s="163">
        <v>0</v>
      </c>
      <c r="CG66" s="163">
        <v>-2.5614685196506433E-8</v>
      </c>
      <c r="CH66" s="163">
        <v>0</v>
      </c>
      <c r="CI66" s="163">
        <v>2.5614685196506433E-8</v>
      </c>
      <c r="CJ66" s="163">
        <v>0</v>
      </c>
      <c r="CK66" s="164">
        <v>0</v>
      </c>
      <c r="CL66" s="164">
        <v>0</v>
      </c>
    </row>
    <row r="67" spans="1:90" outlineLevel="3" x14ac:dyDescent="0.3">
      <c r="A67" s="134" t="s">
        <v>368</v>
      </c>
      <c r="B67" s="134" t="s">
        <v>562</v>
      </c>
      <c r="C67" s="134" t="s">
        <v>356</v>
      </c>
      <c r="D67" s="134" t="s">
        <v>357</v>
      </c>
      <c r="E67" s="134" t="s">
        <v>209</v>
      </c>
      <c r="F67" s="134" t="s">
        <v>334</v>
      </c>
      <c r="G67" s="134" t="s">
        <v>527</v>
      </c>
      <c r="H67" s="134" t="s">
        <v>336</v>
      </c>
      <c r="I67" s="160" t="s">
        <v>336</v>
      </c>
      <c r="J67" s="162">
        <v>7.8000000000000005E-15</v>
      </c>
      <c r="K67" s="162">
        <v>7.8000000000000005E-15</v>
      </c>
      <c r="L67" s="164">
        <v>3.3781327421952452E-2</v>
      </c>
      <c r="M67" s="164">
        <v>0.5</v>
      </c>
      <c r="N67" s="164">
        <v>0.28045569326120739</v>
      </c>
      <c r="O67" s="163">
        <v>1.3036963389685119</v>
      </c>
      <c r="P67" s="164">
        <v>1.3101495982820808</v>
      </c>
      <c r="Q67" s="164">
        <v>-6.453259313568882E-3</v>
      </c>
      <c r="R67" s="166" t="s">
        <v>582</v>
      </c>
      <c r="S67" s="275">
        <v>0.6</v>
      </c>
      <c r="T67" s="166" t="s">
        <v>581</v>
      </c>
      <c r="U67" s="241">
        <v>1.0168831443954394E-14</v>
      </c>
      <c r="V67" s="163" t="s">
        <v>314</v>
      </c>
      <c r="W67" s="163">
        <v>1.7773879560429022E-14</v>
      </c>
      <c r="X67" s="163">
        <v>0</v>
      </c>
      <c r="Y67" s="163">
        <v>1.7773879560429022E-14</v>
      </c>
      <c r="Z67" s="163">
        <v>0</v>
      </c>
      <c r="AA67" s="163">
        <v>0</v>
      </c>
      <c r="AB67" s="163">
        <v>0</v>
      </c>
      <c r="AC67" s="241">
        <v>1.021916686660023E-14</v>
      </c>
      <c r="AD67" s="163">
        <v>-5.0335422645836303E-17</v>
      </c>
      <c r="AE67" s="163">
        <v>0</v>
      </c>
      <c r="AF67" s="163">
        <v>5.0335422645836303E-17</v>
      </c>
      <c r="AG67" s="163">
        <v>0</v>
      </c>
      <c r="AH67" s="242">
        <v>-2.6508227499537225E-15</v>
      </c>
      <c r="AI67" s="163">
        <v>0</v>
      </c>
      <c r="AJ67" s="163">
        <v>2.6508227499537225E-15</v>
      </c>
      <c r="AK67" s="243">
        <v>0</v>
      </c>
      <c r="AL67" s="167">
        <v>0</v>
      </c>
      <c r="AM67" s="163">
        <v>211764.8630776621</v>
      </c>
      <c r="AN67" s="167">
        <v>0</v>
      </c>
      <c r="AO67" s="167">
        <v>4.2817832507324741E-15</v>
      </c>
      <c r="AP67" s="163">
        <v>140980.7076861134</v>
      </c>
      <c r="AQ67" s="168">
        <v>1</v>
      </c>
      <c r="AR67" s="163">
        <v>3.5547759120858044E-14</v>
      </c>
      <c r="AS67" s="163">
        <v>16.25</v>
      </c>
      <c r="AT67" s="163">
        <v>-1.0035060349049607E-15</v>
      </c>
      <c r="AU67" s="163">
        <v>0</v>
      </c>
      <c r="AV67" s="163">
        <v>1.0035060349049607E-15</v>
      </c>
      <c r="AW67" s="163">
        <v>0</v>
      </c>
      <c r="AX67" s="163">
        <v>-149364.8630776621</v>
      </c>
      <c r="AY67" s="163">
        <v>0</v>
      </c>
      <c r="AZ67" s="163">
        <v>149364.8630776621</v>
      </c>
      <c r="BA67" s="163">
        <v>0</v>
      </c>
      <c r="BB67" s="163">
        <v>13.45</v>
      </c>
      <c r="BC67" s="163">
        <v>13.4</v>
      </c>
      <c r="BD67" s="163">
        <v>-9.5317061225912443E-16</v>
      </c>
      <c r="BE67" s="163">
        <v>0</v>
      </c>
      <c r="BF67" s="163">
        <v>9.5317061225912443E-16</v>
      </c>
      <c r="BG67" s="163">
        <v>0</v>
      </c>
      <c r="BH67" s="163">
        <v>-149364.8630776621</v>
      </c>
      <c r="BI67" s="163">
        <v>0</v>
      </c>
      <c r="BJ67" s="163">
        <v>149364.8630776621</v>
      </c>
      <c r="BK67" s="163">
        <v>0</v>
      </c>
      <c r="BL67" s="163">
        <v>140980.7076861134</v>
      </c>
      <c r="BM67" s="163" t="s">
        <v>318</v>
      </c>
      <c r="BN67" s="163">
        <v>0</v>
      </c>
      <c r="BO67" s="163" t="b">
        <v>0</v>
      </c>
      <c r="BP67" s="163">
        <v>2.6004873273078862E-15</v>
      </c>
      <c r="BQ67" s="164">
        <v>0</v>
      </c>
      <c r="BR67" s="164">
        <v>0</v>
      </c>
      <c r="BS67" s="170">
        <v>80</v>
      </c>
      <c r="BT67" s="164">
        <v>0</v>
      </c>
      <c r="BU67" s="227">
        <v>2.1875544074374179E-15</v>
      </c>
      <c r="BV67" s="164">
        <v>177</v>
      </c>
      <c r="BW67" s="171">
        <v>13.45</v>
      </c>
      <c r="BX67" s="171">
        <v>13.45</v>
      </c>
      <c r="BY67" s="163">
        <v>0</v>
      </c>
      <c r="BZ67" s="163">
        <v>0</v>
      </c>
      <c r="CA67" s="163">
        <v>0</v>
      </c>
      <c r="CB67" s="163">
        <v>-62400</v>
      </c>
      <c r="CC67" s="163">
        <v>0</v>
      </c>
      <c r="CD67" s="163">
        <v>0</v>
      </c>
      <c r="CE67" s="163">
        <v>0</v>
      </c>
      <c r="CF67" s="163">
        <v>0</v>
      </c>
      <c r="CG67" s="163">
        <v>-2.6004873273078862E-15</v>
      </c>
      <c r="CH67" s="163">
        <v>0</v>
      </c>
      <c r="CI67" s="163">
        <v>2.6004873273078862E-15</v>
      </c>
      <c r="CJ67" s="163">
        <v>0</v>
      </c>
      <c r="CK67" s="164">
        <v>0.5</v>
      </c>
      <c r="CL67" s="164">
        <v>0</v>
      </c>
    </row>
    <row r="68" spans="1:90" s="186" customFormat="1" ht="20.100000000000001" customHeight="1" outlineLevel="2" x14ac:dyDescent="0.3">
      <c r="A68" s="173" t="s">
        <v>370</v>
      </c>
      <c r="B68" s="173"/>
      <c r="C68" s="173"/>
      <c r="D68" s="173"/>
      <c r="E68" s="173"/>
      <c r="F68" s="173"/>
      <c r="G68" s="173"/>
      <c r="H68" s="173"/>
      <c r="I68" s="174"/>
      <c r="J68" s="176"/>
      <c r="K68" s="176"/>
      <c r="L68" s="178"/>
      <c r="M68" s="178"/>
      <c r="N68" s="178"/>
      <c r="O68" s="177"/>
      <c r="P68" s="178"/>
      <c r="Q68" s="178"/>
      <c r="R68" s="180">
        <v>0</v>
      </c>
      <c r="S68" s="276">
        <v>1.6</v>
      </c>
      <c r="T68" s="180">
        <v>0</v>
      </c>
      <c r="U68" s="244">
        <v>4.5952248714952725E-7</v>
      </c>
      <c r="V68" s="177"/>
      <c r="W68" s="177">
        <v>1.7773879560429022E-14</v>
      </c>
      <c r="X68" s="177">
        <v>0</v>
      </c>
      <c r="Y68" s="177">
        <v>1.7773879560429022E-14</v>
      </c>
      <c r="Z68" s="177">
        <v>0</v>
      </c>
      <c r="AA68" s="177">
        <v>0</v>
      </c>
      <c r="AB68" s="177">
        <v>0</v>
      </c>
      <c r="AC68" s="244">
        <v>4.6110980957859007E-7</v>
      </c>
      <c r="AD68" s="177">
        <v>-1.5873224290628351E-9</v>
      </c>
      <c r="AE68" s="177">
        <v>0</v>
      </c>
      <c r="AF68" s="177">
        <v>1.5873224290628351E-9</v>
      </c>
      <c r="AG68" s="177">
        <v>0</v>
      </c>
      <c r="AH68" s="245">
        <v>-2.7202010226056594E-8</v>
      </c>
      <c r="AI68" s="177">
        <v>0</v>
      </c>
      <c r="AJ68" s="177">
        <v>2.7202010226056594E-8</v>
      </c>
      <c r="AK68" s="246">
        <v>0</v>
      </c>
      <c r="AL68" s="181"/>
      <c r="AM68" s="177">
        <v>1156454.2704595251</v>
      </c>
      <c r="AN68" s="181"/>
      <c r="AO68" s="181"/>
      <c r="AP68" s="177">
        <v>1852849.0958702611</v>
      </c>
      <c r="AQ68" s="182"/>
      <c r="AR68" s="177"/>
      <c r="AS68" s="177"/>
      <c r="AT68" s="177">
        <v>-1.2508792004778973E-8</v>
      </c>
      <c r="AU68" s="177">
        <v>0</v>
      </c>
      <c r="AV68" s="177">
        <v>1.2508792004778973E-8</v>
      </c>
      <c r="AW68" s="177">
        <v>0</v>
      </c>
      <c r="AX68" s="177">
        <v>-554534.31045906548</v>
      </c>
      <c r="AY68" s="177">
        <v>0</v>
      </c>
      <c r="AZ68" s="177">
        <v>554534.31045906548</v>
      </c>
      <c r="BA68" s="177">
        <v>0</v>
      </c>
      <c r="BB68" s="177"/>
      <c r="BC68" s="177"/>
      <c r="BD68" s="177"/>
      <c r="BE68" s="177"/>
      <c r="BF68" s="177"/>
      <c r="BG68" s="177"/>
      <c r="BH68" s="177"/>
      <c r="BI68" s="177"/>
      <c r="BJ68" s="177"/>
      <c r="BK68" s="177"/>
      <c r="BL68" s="177"/>
      <c r="BM68" s="177"/>
      <c r="BN68" s="177"/>
      <c r="BO68" s="177"/>
      <c r="BP68" s="177"/>
      <c r="BQ68" s="178"/>
      <c r="BR68" s="178"/>
      <c r="BS68" s="184"/>
      <c r="BT68" s="178"/>
      <c r="BU68" s="220"/>
      <c r="BV68" s="178"/>
      <c r="BW68" s="185"/>
      <c r="BX68" s="185"/>
      <c r="BY68" s="177"/>
      <c r="BZ68" s="177"/>
      <c r="CA68" s="177">
        <v>0</v>
      </c>
      <c r="CB68" s="177"/>
      <c r="CC68" s="177"/>
      <c r="CD68" s="177"/>
      <c r="CE68" s="177"/>
      <c r="CF68" s="177"/>
      <c r="CG68" s="177"/>
      <c r="CH68" s="177"/>
      <c r="CI68" s="177"/>
      <c r="CJ68" s="177"/>
      <c r="CK68" s="178"/>
      <c r="CL68" s="178"/>
    </row>
    <row r="69" spans="1:90" outlineLevel="3" x14ac:dyDescent="0.3">
      <c r="A69" s="134" t="s">
        <v>549</v>
      </c>
      <c r="B69" s="134" t="s">
        <v>562</v>
      </c>
      <c r="C69" s="134" t="s">
        <v>576</v>
      </c>
      <c r="D69" s="134" t="s">
        <v>577</v>
      </c>
      <c r="E69" s="134" t="s">
        <v>555</v>
      </c>
      <c r="F69" s="134" t="s">
        <v>194</v>
      </c>
      <c r="G69" s="198" t="s">
        <v>335</v>
      </c>
      <c r="H69" s="198" t="s">
        <v>323</v>
      </c>
      <c r="I69" s="160" t="s">
        <v>313</v>
      </c>
      <c r="J69" s="162">
        <v>1</v>
      </c>
      <c r="K69" s="162">
        <v>1</v>
      </c>
      <c r="L69" s="164">
        <v>0</v>
      </c>
      <c r="M69" s="164">
        <v>0.6</v>
      </c>
      <c r="N69" s="164">
        <v>1</v>
      </c>
      <c r="O69" s="163">
        <v>0</v>
      </c>
      <c r="P69" s="165">
        <v>0</v>
      </c>
      <c r="Q69" s="165">
        <v>0</v>
      </c>
      <c r="R69" s="166">
        <v>0</v>
      </c>
      <c r="S69" s="275">
        <v>1</v>
      </c>
      <c r="T69" s="166" t="s">
        <v>581</v>
      </c>
      <c r="U69" s="241">
        <v>0</v>
      </c>
      <c r="V69" s="163" t="s">
        <v>478</v>
      </c>
      <c r="W69" s="163">
        <v>0</v>
      </c>
      <c r="X69" s="163">
        <v>0</v>
      </c>
      <c r="Y69" s="163">
        <v>0</v>
      </c>
      <c r="Z69" s="163">
        <v>0</v>
      </c>
      <c r="AA69" s="163">
        <v>0</v>
      </c>
      <c r="AB69" s="163">
        <v>0</v>
      </c>
      <c r="AC69" s="241">
        <v>0</v>
      </c>
      <c r="AD69" s="163">
        <v>0</v>
      </c>
      <c r="AE69" s="163">
        <v>0</v>
      </c>
      <c r="AF69" s="163">
        <v>0</v>
      </c>
      <c r="AG69" s="163">
        <v>0</v>
      </c>
      <c r="AH69" s="242">
        <v>0</v>
      </c>
      <c r="AI69" s="163">
        <v>0</v>
      </c>
      <c r="AJ69" s="163">
        <v>0</v>
      </c>
      <c r="AK69" s="243">
        <v>0</v>
      </c>
      <c r="AL69" s="167">
        <v>0</v>
      </c>
      <c r="AM69" s="163">
        <v>0</v>
      </c>
      <c r="AN69" s="167">
        <v>0</v>
      </c>
      <c r="AO69" s="164">
        <v>0</v>
      </c>
      <c r="AP69" s="163">
        <v>0</v>
      </c>
      <c r="AQ69" s="168">
        <v>1</v>
      </c>
      <c r="AR69" s="163">
        <v>0</v>
      </c>
      <c r="AS69" s="163">
        <v>0</v>
      </c>
      <c r="AT69" s="163">
        <v>0</v>
      </c>
      <c r="AU69" s="163">
        <v>0</v>
      </c>
      <c r="AV69" s="163">
        <v>0</v>
      </c>
      <c r="AW69" s="163">
        <v>0</v>
      </c>
      <c r="AX69" s="163">
        <v>-5408696.79</v>
      </c>
      <c r="AY69" s="163">
        <v>0</v>
      </c>
      <c r="AZ69" s="163">
        <v>5408696.79</v>
      </c>
      <c r="BA69" s="163">
        <v>0</v>
      </c>
      <c r="BB69" s="163" t="s">
        <v>194</v>
      </c>
      <c r="BC69" s="163" t="s">
        <v>194</v>
      </c>
      <c r="BD69" s="163">
        <v>0</v>
      </c>
      <c r="BE69" s="163">
        <v>0</v>
      </c>
      <c r="BF69" s="163">
        <v>0</v>
      </c>
      <c r="BG69" s="163">
        <v>0</v>
      </c>
      <c r="BH69" s="163">
        <v>-5408696.79</v>
      </c>
      <c r="BI69" s="163">
        <v>0</v>
      </c>
      <c r="BJ69" s="163">
        <v>5408696.79</v>
      </c>
      <c r="BK69" s="163">
        <v>0</v>
      </c>
      <c r="BL69" s="171">
        <v>0</v>
      </c>
      <c r="BM69" s="163" t="s">
        <v>318</v>
      </c>
      <c r="BN69" s="163">
        <v>0</v>
      </c>
      <c r="BO69" s="163" t="b">
        <v>0</v>
      </c>
      <c r="BP69" s="163">
        <v>0</v>
      </c>
      <c r="BQ69" s="165">
        <v>0</v>
      </c>
      <c r="BR69" s="164">
        <v>0</v>
      </c>
      <c r="BS69" s="170">
        <v>89</v>
      </c>
      <c r="BT69" s="164">
        <v>0</v>
      </c>
      <c r="BU69" s="227">
        <v>0</v>
      </c>
      <c r="BV69" s="164">
        <v>140</v>
      </c>
      <c r="BW69" s="171">
        <v>0</v>
      </c>
      <c r="BX69" s="171">
        <v>0</v>
      </c>
      <c r="BY69" s="163">
        <v>0</v>
      </c>
      <c r="BZ69" s="163">
        <v>0</v>
      </c>
      <c r="CA69" s="163">
        <v>0</v>
      </c>
      <c r="CB69" s="163">
        <v>0</v>
      </c>
      <c r="CC69" s="163">
        <v>0</v>
      </c>
      <c r="CD69" s="163">
        <v>0</v>
      </c>
      <c r="CE69" s="163">
        <v>0</v>
      </c>
      <c r="CF69" s="163">
        <v>0</v>
      </c>
      <c r="CG69" s="163">
        <v>0</v>
      </c>
      <c r="CH69" s="163">
        <v>0</v>
      </c>
      <c r="CI69" s="163">
        <v>0</v>
      </c>
      <c r="CJ69" s="163">
        <v>0</v>
      </c>
      <c r="CK69" s="164">
        <v>0.6</v>
      </c>
      <c r="CL69" s="164">
        <v>0</v>
      </c>
    </row>
    <row r="70" spans="1:90" s="186" customFormat="1" ht="20.100000000000001" customHeight="1" outlineLevel="2" x14ac:dyDescent="0.3">
      <c r="A70" s="173" t="s">
        <v>550</v>
      </c>
      <c r="B70" s="173"/>
      <c r="C70" s="173"/>
      <c r="D70" s="173"/>
      <c r="E70" s="173"/>
      <c r="F70" s="173"/>
      <c r="G70" s="199"/>
      <c r="H70" s="199"/>
      <c r="I70" s="174"/>
      <c r="J70" s="176"/>
      <c r="K70" s="176"/>
      <c r="L70" s="178"/>
      <c r="M70" s="178"/>
      <c r="N70" s="178"/>
      <c r="O70" s="177"/>
      <c r="P70" s="179"/>
      <c r="Q70" s="179"/>
      <c r="R70" s="180">
        <v>0</v>
      </c>
      <c r="S70" s="276">
        <v>1</v>
      </c>
      <c r="T70" s="180">
        <v>0</v>
      </c>
      <c r="U70" s="244">
        <v>0</v>
      </c>
      <c r="V70" s="177"/>
      <c r="W70" s="177">
        <v>0</v>
      </c>
      <c r="X70" s="177">
        <v>0</v>
      </c>
      <c r="Y70" s="177">
        <v>0</v>
      </c>
      <c r="Z70" s="177">
        <v>0</v>
      </c>
      <c r="AA70" s="177">
        <v>0</v>
      </c>
      <c r="AB70" s="177">
        <v>0</v>
      </c>
      <c r="AC70" s="244">
        <v>0</v>
      </c>
      <c r="AD70" s="177">
        <v>0</v>
      </c>
      <c r="AE70" s="177">
        <v>0</v>
      </c>
      <c r="AF70" s="177">
        <v>0</v>
      </c>
      <c r="AG70" s="177">
        <v>0</v>
      </c>
      <c r="AH70" s="245">
        <v>0</v>
      </c>
      <c r="AI70" s="177">
        <v>0</v>
      </c>
      <c r="AJ70" s="177">
        <v>0</v>
      </c>
      <c r="AK70" s="246">
        <v>0</v>
      </c>
      <c r="AL70" s="181"/>
      <c r="AM70" s="177">
        <v>0</v>
      </c>
      <c r="AN70" s="181"/>
      <c r="AO70" s="178"/>
      <c r="AP70" s="177">
        <v>0</v>
      </c>
      <c r="AQ70" s="182"/>
      <c r="AR70" s="177"/>
      <c r="AS70" s="177"/>
      <c r="AT70" s="177">
        <v>0</v>
      </c>
      <c r="AU70" s="177">
        <v>0</v>
      </c>
      <c r="AV70" s="177">
        <v>0</v>
      </c>
      <c r="AW70" s="177">
        <v>0</v>
      </c>
      <c r="AX70" s="177">
        <v>-5408696.79</v>
      </c>
      <c r="AY70" s="177">
        <v>0</v>
      </c>
      <c r="AZ70" s="177">
        <v>5408696.79</v>
      </c>
      <c r="BA70" s="177">
        <v>0</v>
      </c>
      <c r="BB70" s="177"/>
      <c r="BC70" s="177"/>
      <c r="BD70" s="177"/>
      <c r="BE70" s="177"/>
      <c r="BF70" s="177"/>
      <c r="BG70" s="177"/>
      <c r="BH70" s="177"/>
      <c r="BI70" s="177"/>
      <c r="BJ70" s="177"/>
      <c r="BK70" s="177"/>
      <c r="BL70" s="185"/>
      <c r="BM70" s="177"/>
      <c r="BN70" s="177"/>
      <c r="BO70" s="177"/>
      <c r="BP70" s="177"/>
      <c r="BQ70" s="179"/>
      <c r="BR70" s="178"/>
      <c r="BS70" s="184"/>
      <c r="BT70" s="178"/>
      <c r="BU70" s="220"/>
      <c r="BV70" s="178"/>
      <c r="BW70" s="185"/>
      <c r="BX70" s="185"/>
      <c r="BY70" s="177"/>
      <c r="BZ70" s="177"/>
      <c r="CA70" s="177">
        <v>0</v>
      </c>
      <c r="CB70" s="177"/>
      <c r="CC70" s="177"/>
      <c r="CD70" s="177"/>
      <c r="CE70" s="177"/>
      <c r="CF70" s="177"/>
      <c r="CG70" s="177"/>
      <c r="CH70" s="177"/>
      <c r="CI70" s="177"/>
      <c r="CJ70" s="177"/>
      <c r="CK70" s="178"/>
      <c r="CL70" s="178"/>
    </row>
    <row r="71" spans="1:90" outlineLevel="3" x14ac:dyDescent="0.3">
      <c r="A71" s="134" t="s">
        <v>481</v>
      </c>
      <c r="B71" s="134" t="s">
        <v>562</v>
      </c>
      <c r="C71" s="134" t="s">
        <v>576</v>
      </c>
      <c r="D71" s="134" t="s">
        <v>577</v>
      </c>
      <c r="E71" s="134" t="s">
        <v>482</v>
      </c>
      <c r="F71" s="134" t="s">
        <v>456</v>
      </c>
      <c r="G71" s="134" t="s">
        <v>551</v>
      </c>
      <c r="H71" s="134" t="s">
        <v>317</v>
      </c>
      <c r="I71" s="160" t="s">
        <v>313</v>
      </c>
      <c r="J71" s="162">
        <v>4181754</v>
      </c>
      <c r="K71" s="162">
        <v>4181754</v>
      </c>
      <c r="L71" s="164">
        <v>0</v>
      </c>
      <c r="M71" s="164">
        <v>0.62</v>
      </c>
      <c r="N71" s="164">
        <v>1</v>
      </c>
      <c r="O71" s="163">
        <v>20.28</v>
      </c>
      <c r="P71" s="165">
        <v>19.45</v>
      </c>
      <c r="Q71" s="165">
        <v>0.83000000000000185</v>
      </c>
      <c r="R71" s="166" t="s">
        <v>587</v>
      </c>
      <c r="S71" s="275">
        <v>1</v>
      </c>
      <c r="T71" s="166" t="s">
        <v>581</v>
      </c>
      <c r="U71" s="241">
        <v>84805971.120000005</v>
      </c>
      <c r="V71" s="163" t="s">
        <v>478</v>
      </c>
      <c r="W71" s="163">
        <v>52579702.094400004</v>
      </c>
      <c r="X71" s="163">
        <v>0</v>
      </c>
      <c r="Y71" s="163">
        <v>52579702.094400004</v>
      </c>
      <c r="Z71" s="163">
        <v>0</v>
      </c>
      <c r="AA71" s="163">
        <v>0</v>
      </c>
      <c r="AB71" s="163">
        <v>0</v>
      </c>
      <c r="AC71" s="241">
        <v>81335115.299999997</v>
      </c>
      <c r="AD71" s="163">
        <v>0</v>
      </c>
      <c r="AE71" s="163">
        <v>0</v>
      </c>
      <c r="AF71" s="163">
        <v>0</v>
      </c>
      <c r="AG71" s="163">
        <v>0</v>
      </c>
      <c r="AH71" s="242">
        <v>-3.0000008642673492E-2</v>
      </c>
      <c r="AI71" s="163">
        <v>0</v>
      </c>
      <c r="AJ71" s="163">
        <v>3.0000008642673492E-2</v>
      </c>
      <c r="AK71" s="243">
        <v>0</v>
      </c>
      <c r="AL71" s="167">
        <v>0</v>
      </c>
      <c r="AM71" s="163">
        <v>0</v>
      </c>
      <c r="AN71" s="164">
        <v>0</v>
      </c>
      <c r="AO71" s="167">
        <v>0</v>
      </c>
      <c r="AP71" s="163">
        <v>0</v>
      </c>
      <c r="AQ71" s="168">
        <v>1</v>
      </c>
      <c r="AR71" s="163">
        <v>84805971.120000005</v>
      </c>
      <c r="AS71" s="163">
        <v>20.28</v>
      </c>
      <c r="AT71" s="163">
        <v>0</v>
      </c>
      <c r="AU71" s="163">
        <v>0</v>
      </c>
      <c r="AV71" s="163">
        <v>0</v>
      </c>
      <c r="AW71" s="163">
        <v>0</v>
      </c>
      <c r="AX71" s="163">
        <v>-27734708.346000001</v>
      </c>
      <c r="AY71" s="163">
        <v>0</v>
      </c>
      <c r="AZ71" s="163">
        <v>27734708.346000001</v>
      </c>
      <c r="BA71" s="163">
        <v>0</v>
      </c>
      <c r="BB71" s="163">
        <v>20.28</v>
      </c>
      <c r="BC71" s="163">
        <v>19.45</v>
      </c>
      <c r="BD71" s="163">
        <v>0</v>
      </c>
      <c r="BE71" s="163">
        <v>0</v>
      </c>
      <c r="BF71" s="163">
        <v>0</v>
      </c>
      <c r="BG71" s="163">
        <v>0</v>
      </c>
      <c r="BH71" s="163">
        <v>-27734708.346000001</v>
      </c>
      <c r="BI71" s="163">
        <v>0</v>
      </c>
      <c r="BJ71" s="163">
        <v>27734708.346000001</v>
      </c>
      <c r="BK71" s="163">
        <v>0</v>
      </c>
      <c r="BL71" s="163">
        <v>0</v>
      </c>
      <c r="BM71" s="163" t="s">
        <v>318</v>
      </c>
      <c r="BN71" s="163">
        <v>0</v>
      </c>
      <c r="BO71" s="163" t="b">
        <v>0</v>
      </c>
      <c r="BP71" s="163">
        <v>3.0000008642673492E-2</v>
      </c>
      <c r="BQ71" s="165">
        <v>4350556</v>
      </c>
      <c r="BR71" s="164">
        <v>52562917</v>
      </c>
      <c r="BS71" s="170">
        <v>87</v>
      </c>
      <c r="BT71" s="164">
        <v>0</v>
      </c>
      <c r="BU71" s="227">
        <v>4181754</v>
      </c>
      <c r="BV71" s="164">
        <v>15</v>
      </c>
      <c r="BW71" s="171">
        <v>20.28</v>
      </c>
      <c r="BX71" s="171">
        <v>0</v>
      </c>
      <c r="BY71" s="163">
        <v>3470855.82</v>
      </c>
      <c r="BZ71" s="163">
        <v>-20825134.919999994</v>
      </c>
      <c r="CA71" s="163">
        <v>-16979807.028000005</v>
      </c>
      <c r="CB71" s="163">
        <v>62412368.705999993</v>
      </c>
      <c r="CC71" s="163">
        <v>0</v>
      </c>
      <c r="CD71" s="163">
        <v>0</v>
      </c>
      <c r="CE71" s="163">
        <v>0</v>
      </c>
      <c r="CF71" s="163">
        <v>0</v>
      </c>
      <c r="CG71" s="163">
        <v>-3.0000008642673492E-2</v>
      </c>
      <c r="CH71" s="163">
        <v>0</v>
      </c>
      <c r="CI71" s="163">
        <v>3.0000008642673492E-2</v>
      </c>
      <c r="CJ71" s="163">
        <v>0</v>
      </c>
      <c r="CK71" s="164">
        <v>0.62</v>
      </c>
      <c r="CL71" s="164">
        <v>0</v>
      </c>
    </row>
    <row r="72" spans="1:90" outlineLevel="3" x14ac:dyDescent="0.3">
      <c r="A72" s="134" t="s">
        <v>481</v>
      </c>
      <c r="B72" s="134" t="s">
        <v>562</v>
      </c>
      <c r="C72" s="134" t="s">
        <v>576</v>
      </c>
      <c r="D72" s="134" t="s">
        <v>577</v>
      </c>
      <c r="E72" s="134" t="s">
        <v>588</v>
      </c>
      <c r="F72" s="134" t="s">
        <v>456</v>
      </c>
      <c r="G72" s="134" t="s">
        <v>335</v>
      </c>
      <c r="H72" s="134" t="s">
        <v>312</v>
      </c>
      <c r="I72" s="160" t="s">
        <v>313</v>
      </c>
      <c r="J72" s="162">
        <v>-3486700</v>
      </c>
      <c r="K72" s="162">
        <v>-3332400</v>
      </c>
      <c r="L72" s="164">
        <v>0</v>
      </c>
      <c r="M72" s="164">
        <v>0.62</v>
      </c>
      <c r="N72" s="164">
        <v>1</v>
      </c>
      <c r="O72" s="163">
        <v>20.28</v>
      </c>
      <c r="P72" s="165">
        <v>19.45</v>
      </c>
      <c r="Q72" s="165">
        <v>0.83000000000000185</v>
      </c>
      <c r="R72" s="166" t="s">
        <v>587</v>
      </c>
      <c r="S72" s="275">
        <v>1</v>
      </c>
      <c r="T72" s="166" t="s">
        <v>581</v>
      </c>
      <c r="U72" s="241">
        <v>17820980.320000008</v>
      </c>
      <c r="V72" s="163" t="s">
        <v>478</v>
      </c>
      <c r="W72" s="163">
        <v>-43840371.119999997</v>
      </c>
      <c r="X72" s="163">
        <v>0</v>
      </c>
      <c r="Y72" s="163">
        <v>-43840371.119999997</v>
      </c>
      <c r="Z72" s="163">
        <v>0</v>
      </c>
      <c r="AA72" s="163">
        <v>0</v>
      </c>
      <c r="AB72" s="163">
        <v>0</v>
      </c>
      <c r="AC72" s="241">
        <v>20679572.800000008</v>
      </c>
      <c r="AD72" s="163">
        <v>0</v>
      </c>
      <c r="AE72" s="163">
        <v>0</v>
      </c>
      <c r="AF72" s="163">
        <v>0</v>
      </c>
      <c r="AG72" s="163">
        <v>0</v>
      </c>
      <c r="AH72" s="242">
        <v>0</v>
      </c>
      <c r="AI72" s="163">
        <v>0</v>
      </c>
      <c r="AJ72" s="163">
        <v>0</v>
      </c>
      <c r="AK72" s="243">
        <v>0</v>
      </c>
      <c r="AL72" s="167">
        <v>0</v>
      </c>
      <c r="AM72" s="163">
        <v>0</v>
      </c>
      <c r="AN72" s="164">
        <v>0</v>
      </c>
      <c r="AO72" s="167">
        <v>0</v>
      </c>
      <c r="AP72" s="163">
        <v>0</v>
      </c>
      <c r="AQ72" s="168">
        <v>1</v>
      </c>
      <c r="AR72" s="163">
        <v>-70710276</v>
      </c>
      <c r="AS72" s="163">
        <v>20.28</v>
      </c>
      <c r="AT72" s="163">
        <v>0</v>
      </c>
      <c r="AU72" s="163">
        <v>0</v>
      </c>
      <c r="AV72" s="163">
        <v>0</v>
      </c>
      <c r="AW72" s="163">
        <v>0</v>
      </c>
      <c r="AX72" s="163">
        <v>0</v>
      </c>
      <c r="AY72" s="163">
        <v>0</v>
      </c>
      <c r="AZ72" s="163">
        <v>0</v>
      </c>
      <c r="BA72" s="163">
        <v>0</v>
      </c>
      <c r="BB72" s="163">
        <v>20.28</v>
      </c>
      <c r="BC72" s="163">
        <v>19.45</v>
      </c>
      <c r="BD72" s="163">
        <v>0</v>
      </c>
      <c r="BE72" s="163">
        <v>0</v>
      </c>
      <c r="BF72" s="163">
        <v>0</v>
      </c>
      <c r="BG72" s="163">
        <v>0</v>
      </c>
      <c r="BH72" s="163">
        <v>0</v>
      </c>
      <c r="BI72" s="163">
        <v>0</v>
      </c>
      <c r="BJ72" s="163">
        <v>0</v>
      </c>
      <c r="BK72" s="163">
        <v>0</v>
      </c>
      <c r="BL72" s="163">
        <v>0</v>
      </c>
      <c r="BM72" s="163" t="s">
        <v>318</v>
      </c>
      <c r="BN72" s="163">
        <v>0</v>
      </c>
      <c r="BO72" s="163" t="b">
        <v>0</v>
      </c>
      <c r="BP72" s="163">
        <v>0</v>
      </c>
      <c r="BQ72" s="165">
        <v>0</v>
      </c>
      <c r="BR72" s="164">
        <v>0</v>
      </c>
      <c r="BS72" s="170">
        <v>87</v>
      </c>
      <c r="BT72" s="164">
        <v>0</v>
      </c>
      <c r="BU72" s="227">
        <v>-3486700</v>
      </c>
      <c r="BV72" s="164">
        <v>16</v>
      </c>
      <c r="BW72" s="171">
        <v>20.28</v>
      </c>
      <c r="BX72" s="171">
        <v>0</v>
      </c>
      <c r="BY72" s="163">
        <v>-2858592.48</v>
      </c>
      <c r="BZ72" s="163">
        <v>12107323.879999997</v>
      </c>
      <c r="CA72" s="163">
        <v>17820980.320000008</v>
      </c>
      <c r="CB72" s="163">
        <v>17820980.320000008</v>
      </c>
      <c r="CC72" s="163">
        <v>0</v>
      </c>
      <c r="CD72" s="163">
        <v>0</v>
      </c>
      <c r="CE72" s="163">
        <v>0</v>
      </c>
      <c r="CF72" s="163">
        <v>0</v>
      </c>
      <c r="CG72" s="163">
        <v>0</v>
      </c>
      <c r="CH72" s="163">
        <v>0</v>
      </c>
      <c r="CI72" s="163">
        <v>0</v>
      </c>
      <c r="CJ72" s="163">
        <v>0</v>
      </c>
      <c r="CK72" s="164">
        <v>0.62</v>
      </c>
      <c r="CL72" s="164">
        <v>0</v>
      </c>
    </row>
    <row r="73" spans="1:90" s="186" customFormat="1" ht="20.100000000000001" customHeight="1" outlineLevel="2" x14ac:dyDescent="0.3">
      <c r="A73" s="173" t="s">
        <v>483</v>
      </c>
      <c r="B73" s="173"/>
      <c r="C73" s="173"/>
      <c r="D73" s="173"/>
      <c r="E73" s="173"/>
      <c r="F73" s="173"/>
      <c r="G73" s="173"/>
      <c r="H73" s="173"/>
      <c r="I73" s="174"/>
      <c r="J73" s="176"/>
      <c r="K73" s="176"/>
      <c r="L73" s="178"/>
      <c r="M73" s="178"/>
      <c r="N73" s="178"/>
      <c r="O73" s="177"/>
      <c r="P73" s="179"/>
      <c r="Q73" s="179"/>
      <c r="R73" s="180">
        <v>0</v>
      </c>
      <c r="S73" s="276">
        <v>2</v>
      </c>
      <c r="T73" s="180">
        <v>0</v>
      </c>
      <c r="U73" s="244">
        <v>102626951.44000001</v>
      </c>
      <c r="V73" s="177"/>
      <c r="W73" s="177">
        <v>8739330.9744000062</v>
      </c>
      <c r="X73" s="177">
        <v>0</v>
      </c>
      <c r="Y73" s="177">
        <v>8739330.9744000062</v>
      </c>
      <c r="Z73" s="177">
        <v>0</v>
      </c>
      <c r="AA73" s="177">
        <v>0</v>
      </c>
      <c r="AB73" s="177">
        <v>0</v>
      </c>
      <c r="AC73" s="244">
        <v>102014688.10000001</v>
      </c>
      <c r="AD73" s="177">
        <v>0</v>
      </c>
      <c r="AE73" s="177">
        <v>0</v>
      </c>
      <c r="AF73" s="177">
        <v>0</v>
      </c>
      <c r="AG73" s="177">
        <v>0</v>
      </c>
      <c r="AH73" s="245">
        <v>-3.0000008642673492E-2</v>
      </c>
      <c r="AI73" s="177">
        <v>0</v>
      </c>
      <c r="AJ73" s="177">
        <v>3.0000008642673492E-2</v>
      </c>
      <c r="AK73" s="246">
        <v>0</v>
      </c>
      <c r="AL73" s="181"/>
      <c r="AM73" s="177">
        <v>0</v>
      </c>
      <c r="AN73" s="178"/>
      <c r="AO73" s="181"/>
      <c r="AP73" s="177">
        <v>0</v>
      </c>
      <c r="AQ73" s="182"/>
      <c r="AR73" s="177"/>
      <c r="AS73" s="177"/>
      <c r="AT73" s="177">
        <v>0</v>
      </c>
      <c r="AU73" s="177">
        <v>0</v>
      </c>
      <c r="AV73" s="177">
        <v>0</v>
      </c>
      <c r="AW73" s="177">
        <v>0</v>
      </c>
      <c r="AX73" s="177">
        <v>-27734708.346000001</v>
      </c>
      <c r="AY73" s="177">
        <v>0</v>
      </c>
      <c r="AZ73" s="177">
        <v>27734708.346000001</v>
      </c>
      <c r="BA73" s="177">
        <v>0</v>
      </c>
      <c r="BB73" s="177"/>
      <c r="BC73" s="177"/>
      <c r="BD73" s="177"/>
      <c r="BE73" s="177"/>
      <c r="BF73" s="177"/>
      <c r="BG73" s="177"/>
      <c r="BH73" s="177"/>
      <c r="BI73" s="177"/>
      <c r="BJ73" s="177"/>
      <c r="BK73" s="177"/>
      <c r="BL73" s="177"/>
      <c r="BM73" s="177"/>
      <c r="BN73" s="177"/>
      <c r="BO73" s="177"/>
      <c r="BP73" s="177"/>
      <c r="BQ73" s="179"/>
      <c r="BR73" s="178"/>
      <c r="BS73" s="184"/>
      <c r="BT73" s="178"/>
      <c r="BU73" s="220"/>
      <c r="BV73" s="178"/>
      <c r="BW73" s="185"/>
      <c r="BX73" s="185"/>
      <c r="BY73" s="177"/>
      <c r="BZ73" s="177"/>
      <c r="CA73" s="177">
        <v>841173.29200000316</v>
      </c>
      <c r="CB73" s="177"/>
      <c r="CC73" s="177"/>
      <c r="CD73" s="177"/>
      <c r="CE73" s="177"/>
      <c r="CF73" s="177"/>
      <c r="CG73" s="177"/>
      <c r="CH73" s="177"/>
      <c r="CI73" s="177"/>
      <c r="CJ73" s="177"/>
      <c r="CK73" s="178"/>
      <c r="CL73" s="178"/>
    </row>
    <row r="74" spans="1:90" s="197" customFormat="1" ht="30" customHeight="1" outlineLevel="1" x14ac:dyDescent="0.3">
      <c r="A74" s="173"/>
      <c r="B74" s="173" t="s">
        <v>563</v>
      </c>
      <c r="C74" s="173"/>
      <c r="D74" s="173"/>
      <c r="E74" s="173"/>
      <c r="F74" s="173"/>
      <c r="G74" s="173"/>
      <c r="H74" s="173"/>
      <c r="I74" s="174"/>
      <c r="J74" s="187"/>
      <c r="K74" s="187"/>
      <c r="L74" s="189"/>
      <c r="M74" s="189"/>
      <c r="N74" s="189"/>
      <c r="O74" s="188"/>
      <c r="P74" s="190"/>
      <c r="Q74" s="190"/>
      <c r="R74" s="191">
        <v>0</v>
      </c>
      <c r="S74" s="277">
        <v>22.074999999999999</v>
      </c>
      <c r="T74" s="191">
        <v>0</v>
      </c>
      <c r="U74" s="247">
        <v>180497609.99000049</v>
      </c>
      <c r="V74" s="188"/>
      <c r="W74" s="188">
        <v>9050344.0668000057</v>
      </c>
      <c r="X74" s="188">
        <v>0</v>
      </c>
      <c r="Y74" s="188">
        <v>9050344.0668000057</v>
      </c>
      <c r="Z74" s="188">
        <v>0</v>
      </c>
      <c r="AA74" s="188">
        <v>0</v>
      </c>
      <c r="AB74" s="188">
        <v>0</v>
      </c>
      <c r="AC74" s="247">
        <v>179254188.82000047</v>
      </c>
      <c r="AD74" s="188">
        <v>631157.82999999844</v>
      </c>
      <c r="AE74" s="188">
        <v>0</v>
      </c>
      <c r="AF74" s="188">
        <v>-631157.82999999844</v>
      </c>
      <c r="AG74" s="188">
        <v>0</v>
      </c>
      <c r="AH74" s="248">
        <v>-18593832.750000041</v>
      </c>
      <c r="AI74" s="188">
        <v>0</v>
      </c>
      <c r="AJ74" s="188">
        <v>18593832.750000041</v>
      </c>
      <c r="AK74" s="249">
        <v>0</v>
      </c>
      <c r="AL74" s="192"/>
      <c r="AM74" s="188">
        <v>278542742.01192141</v>
      </c>
      <c r="AN74" s="189"/>
      <c r="AO74" s="192"/>
      <c r="AP74" s="188">
        <v>69067975.93437025</v>
      </c>
      <c r="AQ74" s="193"/>
      <c r="AR74" s="188"/>
      <c r="AS74" s="188"/>
      <c r="AT74" s="188">
        <v>-129108.97000001249</v>
      </c>
      <c r="AU74" s="188">
        <v>0</v>
      </c>
      <c r="AV74" s="188">
        <v>129108.97000001249</v>
      </c>
      <c r="AW74" s="188">
        <v>0</v>
      </c>
      <c r="AX74" s="188">
        <v>-234085752.13792092</v>
      </c>
      <c r="AY74" s="188">
        <v>0</v>
      </c>
      <c r="AZ74" s="188">
        <v>234085752.13792092</v>
      </c>
      <c r="BA74" s="188">
        <v>0</v>
      </c>
      <c r="BB74" s="188"/>
      <c r="BC74" s="188"/>
      <c r="BD74" s="188"/>
      <c r="BE74" s="188"/>
      <c r="BF74" s="188"/>
      <c r="BG74" s="188"/>
      <c r="BH74" s="188"/>
      <c r="BI74" s="188"/>
      <c r="BJ74" s="188"/>
      <c r="BK74" s="188"/>
      <c r="BL74" s="188"/>
      <c r="BM74" s="188"/>
      <c r="BN74" s="188"/>
      <c r="BO74" s="188"/>
      <c r="BP74" s="188"/>
      <c r="BQ74" s="190"/>
      <c r="BR74" s="189"/>
      <c r="BS74" s="195"/>
      <c r="BT74" s="189"/>
      <c r="BU74" s="221"/>
      <c r="BV74" s="189"/>
      <c r="BW74" s="196"/>
      <c r="BX74" s="196"/>
      <c r="BY74" s="188"/>
      <c r="BZ74" s="188"/>
      <c r="CA74" s="188">
        <v>968903.65200000256</v>
      </c>
      <c r="CB74" s="188"/>
      <c r="CC74" s="188"/>
      <c r="CD74" s="188"/>
      <c r="CE74" s="188"/>
      <c r="CF74" s="188"/>
      <c r="CG74" s="188"/>
      <c r="CH74" s="188"/>
      <c r="CI74" s="188"/>
      <c r="CJ74" s="188"/>
      <c r="CK74" s="189"/>
      <c r="CL74" s="189"/>
    </row>
    <row r="75" spans="1:90" outlineLevel="3" x14ac:dyDescent="0.3">
      <c r="A75" s="134" t="s">
        <v>552</v>
      </c>
      <c r="B75" s="134" t="s">
        <v>564</v>
      </c>
      <c r="C75" s="134" t="s">
        <v>576</v>
      </c>
      <c r="D75" s="134" t="s">
        <v>577</v>
      </c>
      <c r="E75" s="134" t="s">
        <v>553</v>
      </c>
      <c r="F75" s="134" t="s">
        <v>194</v>
      </c>
      <c r="G75" s="198" t="s">
        <v>335</v>
      </c>
      <c r="H75" s="198" t="s">
        <v>323</v>
      </c>
      <c r="I75" s="160" t="s">
        <v>313</v>
      </c>
      <c r="J75" s="162">
        <v>1</v>
      </c>
      <c r="K75" s="162">
        <v>1</v>
      </c>
      <c r="L75" s="164">
        <v>0</v>
      </c>
      <c r="M75" s="164">
        <v>0.6</v>
      </c>
      <c r="N75" s="164">
        <v>1</v>
      </c>
      <c r="O75" s="163">
        <v>0</v>
      </c>
      <c r="P75" s="165">
        <v>0</v>
      </c>
      <c r="Q75" s="165">
        <v>0</v>
      </c>
      <c r="R75" s="166">
        <v>0</v>
      </c>
      <c r="S75" s="275">
        <v>1</v>
      </c>
      <c r="T75" s="166" t="s">
        <v>581</v>
      </c>
      <c r="U75" s="241">
        <v>0</v>
      </c>
      <c r="V75" s="163" t="s">
        <v>478</v>
      </c>
      <c r="W75" s="163">
        <v>0</v>
      </c>
      <c r="X75" s="163">
        <v>0</v>
      </c>
      <c r="Y75" s="163">
        <v>0</v>
      </c>
      <c r="Z75" s="163">
        <v>0</v>
      </c>
      <c r="AA75" s="163">
        <v>0</v>
      </c>
      <c r="AB75" s="163">
        <v>0</v>
      </c>
      <c r="AC75" s="241">
        <v>0</v>
      </c>
      <c r="AD75" s="163">
        <v>0</v>
      </c>
      <c r="AE75" s="163">
        <v>0</v>
      </c>
      <c r="AF75" s="163">
        <v>0</v>
      </c>
      <c r="AG75" s="163">
        <v>0</v>
      </c>
      <c r="AH75" s="242">
        <v>0</v>
      </c>
      <c r="AI75" s="163">
        <v>0</v>
      </c>
      <c r="AJ75" s="163">
        <v>0</v>
      </c>
      <c r="AK75" s="243">
        <v>0</v>
      </c>
      <c r="AL75" s="167">
        <v>0</v>
      </c>
      <c r="AM75" s="163">
        <v>0</v>
      </c>
      <c r="AN75" s="167">
        <v>0</v>
      </c>
      <c r="AO75" s="164">
        <v>0</v>
      </c>
      <c r="AP75" s="163">
        <v>0</v>
      </c>
      <c r="AQ75" s="168">
        <v>1</v>
      </c>
      <c r="AR75" s="163">
        <v>0</v>
      </c>
      <c r="AS75" s="163">
        <v>0</v>
      </c>
      <c r="AT75" s="163">
        <v>0</v>
      </c>
      <c r="AU75" s="163">
        <v>0</v>
      </c>
      <c r="AV75" s="163">
        <v>0</v>
      </c>
      <c r="AW75" s="163">
        <v>0</v>
      </c>
      <c r="AX75" s="163">
        <v>-3256034</v>
      </c>
      <c r="AY75" s="163">
        <v>0</v>
      </c>
      <c r="AZ75" s="163">
        <v>3256034</v>
      </c>
      <c r="BA75" s="163">
        <v>0</v>
      </c>
      <c r="BB75" s="163" t="s">
        <v>194</v>
      </c>
      <c r="BC75" s="163" t="s">
        <v>194</v>
      </c>
      <c r="BD75" s="163">
        <v>0</v>
      </c>
      <c r="BE75" s="163">
        <v>0</v>
      </c>
      <c r="BF75" s="163">
        <v>0</v>
      </c>
      <c r="BG75" s="163">
        <v>0</v>
      </c>
      <c r="BH75" s="163">
        <v>-3256034</v>
      </c>
      <c r="BI75" s="163">
        <v>0</v>
      </c>
      <c r="BJ75" s="163">
        <v>3256034</v>
      </c>
      <c r="BK75" s="163">
        <v>0</v>
      </c>
      <c r="BL75" s="171">
        <v>0</v>
      </c>
      <c r="BM75" s="163" t="s">
        <v>318</v>
      </c>
      <c r="BN75" s="163">
        <v>0</v>
      </c>
      <c r="BO75" s="163" t="b">
        <v>0</v>
      </c>
      <c r="BP75" s="163">
        <v>0</v>
      </c>
      <c r="BQ75" s="165">
        <v>0</v>
      </c>
      <c r="BR75" s="164">
        <v>0</v>
      </c>
      <c r="BS75" s="170">
        <v>90</v>
      </c>
      <c r="BT75" s="164">
        <v>0</v>
      </c>
      <c r="BU75" s="227">
        <v>0</v>
      </c>
      <c r="BV75" s="164">
        <v>141</v>
      </c>
      <c r="BW75" s="171">
        <v>0</v>
      </c>
      <c r="BX75" s="171">
        <v>0</v>
      </c>
      <c r="BY75" s="163">
        <v>0</v>
      </c>
      <c r="BZ75" s="163">
        <v>0</v>
      </c>
      <c r="CA75" s="163">
        <v>0</v>
      </c>
      <c r="CB75" s="163">
        <v>0</v>
      </c>
      <c r="CC75" s="163">
        <v>0</v>
      </c>
      <c r="CD75" s="163">
        <v>0</v>
      </c>
      <c r="CE75" s="163">
        <v>0</v>
      </c>
      <c r="CF75" s="163">
        <v>0</v>
      </c>
      <c r="CG75" s="163">
        <v>0</v>
      </c>
      <c r="CH75" s="163">
        <v>0</v>
      </c>
      <c r="CI75" s="163">
        <v>0</v>
      </c>
      <c r="CJ75" s="163">
        <v>0</v>
      </c>
      <c r="CK75" s="164">
        <v>0.6</v>
      </c>
      <c r="CL75" s="164">
        <v>0</v>
      </c>
    </row>
    <row r="76" spans="1:90" s="186" customFormat="1" ht="20.100000000000001" customHeight="1" outlineLevel="2" x14ac:dyDescent="0.3">
      <c r="A76" s="173" t="s">
        <v>554</v>
      </c>
      <c r="B76" s="173"/>
      <c r="C76" s="173"/>
      <c r="D76" s="173"/>
      <c r="E76" s="173"/>
      <c r="F76" s="173"/>
      <c r="G76" s="199"/>
      <c r="H76" s="199"/>
      <c r="I76" s="174"/>
      <c r="J76" s="176"/>
      <c r="K76" s="176"/>
      <c r="L76" s="178"/>
      <c r="M76" s="178"/>
      <c r="N76" s="178"/>
      <c r="O76" s="177"/>
      <c r="P76" s="179"/>
      <c r="Q76" s="179"/>
      <c r="R76" s="180">
        <v>0</v>
      </c>
      <c r="S76" s="276">
        <v>1</v>
      </c>
      <c r="T76" s="180">
        <v>0</v>
      </c>
      <c r="U76" s="244">
        <v>0</v>
      </c>
      <c r="V76" s="177"/>
      <c r="W76" s="177">
        <v>0</v>
      </c>
      <c r="X76" s="177">
        <v>0</v>
      </c>
      <c r="Y76" s="177">
        <v>0</v>
      </c>
      <c r="Z76" s="177">
        <v>0</v>
      </c>
      <c r="AA76" s="177">
        <v>0</v>
      </c>
      <c r="AB76" s="177">
        <v>0</v>
      </c>
      <c r="AC76" s="244">
        <v>0</v>
      </c>
      <c r="AD76" s="177">
        <v>0</v>
      </c>
      <c r="AE76" s="177">
        <v>0</v>
      </c>
      <c r="AF76" s="177">
        <v>0</v>
      </c>
      <c r="AG76" s="177">
        <v>0</v>
      </c>
      <c r="AH76" s="245">
        <v>0</v>
      </c>
      <c r="AI76" s="177">
        <v>0</v>
      </c>
      <c r="AJ76" s="177">
        <v>0</v>
      </c>
      <c r="AK76" s="246">
        <v>0</v>
      </c>
      <c r="AL76" s="181"/>
      <c r="AM76" s="177">
        <v>0</v>
      </c>
      <c r="AN76" s="181"/>
      <c r="AO76" s="178"/>
      <c r="AP76" s="177">
        <v>0</v>
      </c>
      <c r="AQ76" s="182"/>
      <c r="AR76" s="177"/>
      <c r="AS76" s="177"/>
      <c r="AT76" s="177">
        <v>0</v>
      </c>
      <c r="AU76" s="177">
        <v>0</v>
      </c>
      <c r="AV76" s="177">
        <v>0</v>
      </c>
      <c r="AW76" s="177">
        <v>0</v>
      </c>
      <c r="AX76" s="177">
        <v>-3256034</v>
      </c>
      <c r="AY76" s="177">
        <v>0</v>
      </c>
      <c r="AZ76" s="177">
        <v>3256034</v>
      </c>
      <c r="BA76" s="177">
        <v>0</v>
      </c>
      <c r="BB76" s="177"/>
      <c r="BC76" s="177"/>
      <c r="BD76" s="177"/>
      <c r="BE76" s="177"/>
      <c r="BF76" s="177"/>
      <c r="BG76" s="177"/>
      <c r="BH76" s="177"/>
      <c r="BI76" s="177"/>
      <c r="BJ76" s="177"/>
      <c r="BK76" s="177"/>
      <c r="BL76" s="185"/>
      <c r="BM76" s="177"/>
      <c r="BN76" s="177"/>
      <c r="BO76" s="177"/>
      <c r="BP76" s="177"/>
      <c r="BQ76" s="179"/>
      <c r="BR76" s="178"/>
      <c r="BS76" s="184"/>
      <c r="BT76" s="178"/>
      <c r="BU76" s="220"/>
      <c r="BV76" s="178"/>
      <c r="BW76" s="185"/>
      <c r="BX76" s="185"/>
      <c r="BY76" s="177"/>
      <c r="BZ76" s="177"/>
      <c r="CA76" s="177">
        <v>0</v>
      </c>
      <c r="CB76" s="177"/>
      <c r="CC76" s="177"/>
      <c r="CD76" s="177"/>
      <c r="CE76" s="177"/>
      <c r="CF76" s="177"/>
      <c r="CG76" s="177"/>
      <c r="CH76" s="177"/>
      <c r="CI76" s="177"/>
      <c r="CJ76" s="177"/>
      <c r="CK76" s="178"/>
      <c r="CL76" s="178"/>
    </row>
    <row r="77" spans="1:90" s="197" customFormat="1" ht="30" customHeight="1" outlineLevel="1" x14ac:dyDescent="0.3">
      <c r="A77" s="173"/>
      <c r="B77" s="173" t="s">
        <v>565</v>
      </c>
      <c r="C77" s="173"/>
      <c r="D77" s="173"/>
      <c r="E77" s="173"/>
      <c r="F77" s="173"/>
      <c r="G77" s="199"/>
      <c r="H77" s="199"/>
      <c r="I77" s="174"/>
      <c r="J77" s="187"/>
      <c r="K77" s="187"/>
      <c r="L77" s="189"/>
      <c r="M77" s="189"/>
      <c r="N77" s="189"/>
      <c r="O77" s="188"/>
      <c r="P77" s="190"/>
      <c r="Q77" s="190"/>
      <c r="R77" s="191">
        <v>0</v>
      </c>
      <c r="S77" s="277">
        <v>1</v>
      </c>
      <c r="T77" s="191">
        <v>0</v>
      </c>
      <c r="U77" s="247">
        <v>0</v>
      </c>
      <c r="V77" s="188"/>
      <c r="W77" s="188">
        <v>0</v>
      </c>
      <c r="X77" s="188">
        <v>0</v>
      </c>
      <c r="Y77" s="188">
        <v>0</v>
      </c>
      <c r="Z77" s="188">
        <v>0</v>
      </c>
      <c r="AA77" s="188">
        <v>0</v>
      </c>
      <c r="AB77" s="188">
        <v>0</v>
      </c>
      <c r="AC77" s="247">
        <v>0</v>
      </c>
      <c r="AD77" s="188">
        <v>0</v>
      </c>
      <c r="AE77" s="188">
        <v>0</v>
      </c>
      <c r="AF77" s="188">
        <v>0</v>
      </c>
      <c r="AG77" s="188">
        <v>0</v>
      </c>
      <c r="AH77" s="248">
        <v>0</v>
      </c>
      <c r="AI77" s="188">
        <v>0</v>
      </c>
      <c r="AJ77" s="188">
        <v>0</v>
      </c>
      <c r="AK77" s="249">
        <v>0</v>
      </c>
      <c r="AL77" s="192"/>
      <c r="AM77" s="188">
        <v>0</v>
      </c>
      <c r="AN77" s="192"/>
      <c r="AO77" s="189"/>
      <c r="AP77" s="188">
        <v>0</v>
      </c>
      <c r="AQ77" s="193"/>
      <c r="AR77" s="188"/>
      <c r="AS77" s="188"/>
      <c r="AT77" s="188">
        <v>0</v>
      </c>
      <c r="AU77" s="188">
        <v>0</v>
      </c>
      <c r="AV77" s="188">
        <v>0</v>
      </c>
      <c r="AW77" s="188">
        <v>0</v>
      </c>
      <c r="AX77" s="188">
        <v>-3256034</v>
      </c>
      <c r="AY77" s="188">
        <v>0</v>
      </c>
      <c r="AZ77" s="188">
        <v>3256034</v>
      </c>
      <c r="BA77" s="188">
        <v>0</v>
      </c>
      <c r="BB77" s="188"/>
      <c r="BC77" s="188"/>
      <c r="BD77" s="188"/>
      <c r="BE77" s="188"/>
      <c r="BF77" s="188"/>
      <c r="BG77" s="188"/>
      <c r="BH77" s="188"/>
      <c r="BI77" s="188"/>
      <c r="BJ77" s="188"/>
      <c r="BK77" s="188"/>
      <c r="BL77" s="196"/>
      <c r="BM77" s="188"/>
      <c r="BN77" s="188"/>
      <c r="BO77" s="188"/>
      <c r="BP77" s="188"/>
      <c r="BQ77" s="190"/>
      <c r="BR77" s="189"/>
      <c r="BS77" s="195"/>
      <c r="BT77" s="189"/>
      <c r="BU77" s="221"/>
      <c r="BV77" s="189"/>
      <c r="BW77" s="196"/>
      <c r="BX77" s="196"/>
      <c r="BY77" s="188"/>
      <c r="BZ77" s="188"/>
      <c r="CA77" s="188">
        <v>0</v>
      </c>
      <c r="CB77" s="188"/>
      <c r="CC77" s="188"/>
      <c r="CD77" s="188"/>
      <c r="CE77" s="188"/>
      <c r="CF77" s="188"/>
      <c r="CG77" s="188"/>
      <c r="CH77" s="188"/>
      <c r="CI77" s="188"/>
      <c r="CJ77" s="188"/>
      <c r="CK77" s="189"/>
      <c r="CL77" s="189"/>
    </row>
    <row r="78" spans="1:90" s="186" customFormat="1" ht="20.100000000000001" hidden="1" customHeight="1" x14ac:dyDescent="0.3">
      <c r="A78" s="173" t="s">
        <v>375</v>
      </c>
      <c r="B78" s="173"/>
      <c r="C78" s="173"/>
      <c r="D78" s="173"/>
      <c r="E78" s="173"/>
      <c r="F78" s="173"/>
      <c r="G78" s="199"/>
      <c r="H78" s="199"/>
      <c r="I78" s="174"/>
      <c r="J78" s="176"/>
      <c r="K78" s="176"/>
      <c r="L78" s="178"/>
      <c r="M78" s="178"/>
      <c r="N78" s="178"/>
      <c r="O78" s="177"/>
      <c r="P78" s="179"/>
      <c r="Q78" s="179"/>
      <c r="R78" s="180">
        <v>0</v>
      </c>
      <c r="S78" s="276">
        <v>38.450000000000003</v>
      </c>
      <c r="T78" s="180">
        <v>0</v>
      </c>
      <c r="U78" s="244">
        <v>231354562.55860049</v>
      </c>
      <c r="V78" s="177"/>
      <c r="W78" s="177">
        <v>9050344.0668000057</v>
      </c>
      <c r="X78" s="177">
        <v>0</v>
      </c>
      <c r="Y78" s="177">
        <v>9050344.0668000057</v>
      </c>
      <c r="Z78" s="177">
        <v>0</v>
      </c>
      <c r="AA78" s="177">
        <v>0</v>
      </c>
      <c r="AB78" s="177">
        <v>0</v>
      </c>
      <c r="AC78" s="244">
        <v>229651307.46860048</v>
      </c>
      <c r="AD78" s="177">
        <v>482576.52999999846</v>
      </c>
      <c r="AE78" s="177">
        <v>0</v>
      </c>
      <c r="AF78" s="177">
        <v>-482576.52999999846</v>
      </c>
      <c r="AG78" s="177">
        <v>0</v>
      </c>
      <c r="AH78" s="245">
        <v>-30462105.254760038</v>
      </c>
      <c r="AI78" s="177">
        <v>0</v>
      </c>
      <c r="AJ78" s="177">
        <v>30462105.254760038</v>
      </c>
      <c r="AK78" s="246">
        <v>0</v>
      </c>
      <c r="AL78" s="181"/>
      <c r="AM78" s="177">
        <v>385997193.01694423</v>
      </c>
      <c r="AN78" s="181"/>
      <c r="AO78" s="178"/>
      <c r="AP78" s="177">
        <v>296407083.55542934</v>
      </c>
      <c r="AQ78" s="182"/>
      <c r="AR78" s="177"/>
      <c r="AS78" s="177"/>
      <c r="AT78" s="177">
        <v>-2637416.3500000122</v>
      </c>
      <c r="AU78" s="177">
        <v>0</v>
      </c>
      <c r="AV78" s="177">
        <v>2637416.3500000122</v>
      </c>
      <c r="AW78" s="177">
        <v>0</v>
      </c>
      <c r="AX78" s="177">
        <v>-288604807.9874624</v>
      </c>
      <c r="AY78" s="177">
        <v>0</v>
      </c>
      <c r="AZ78" s="177">
        <v>288604807.9874624</v>
      </c>
      <c r="BA78" s="177">
        <v>0</v>
      </c>
      <c r="BB78" s="177"/>
      <c r="BC78" s="177"/>
      <c r="BD78" s="177"/>
      <c r="BE78" s="177"/>
      <c r="BF78" s="177"/>
      <c r="BG78" s="177"/>
      <c r="BH78" s="177"/>
      <c r="BI78" s="177"/>
      <c r="BJ78" s="177"/>
      <c r="BK78" s="177"/>
      <c r="BL78" s="185"/>
      <c r="BM78" s="177"/>
      <c r="BN78" s="177"/>
      <c r="BO78" s="177"/>
      <c r="BP78" s="177"/>
      <c r="BQ78" s="179"/>
      <c r="BR78" s="178"/>
      <c r="BS78" s="184"/>
      <c r="BT78" s="178"/>
      <c r="BU78" s="220"/>
      <c r="BV78" s="178"/>
      <c r="BW78" s="185"/>
      <c r="BX78" s="185"/>
      <c r="BY78" s="177"/>
      <c r="BZ78" s="177"/>
      <c r="CA78" s="177">
        <v>24094964.288004007</v>
      </c>
      <c r="CB78" s="177"/>
      <c r="CC78" s="177"/>
      <c r="CD78" s="177"/>
      <c r="CE78" s="177"/>
      <c r="CF78" s="177"/>
      <c r="CG78" s="177"/>
      <c r="CH78" s="177"/>
      <c r="CI78" s="177"/>
      <c r="CJ78" s="177"/>
      <c r="CK78" s="178"/>
      <c r="CL78" s="178"/>
    </row>
    <row r="79" spans="1:90" s="197" customFormat="1" ht="30" customHeight="1" thickBot="1" x14ac:dyDescent="0.35">
      <c r="A79" s="200"/>
      <c r="B79" s="200" t="s">
        <v>375</v>
      </c>
      <c r="C79" s="200"/>
      <c r="D79" s="200"/>
      <c r="E79" s="200"/>
      <c r="F79" s="200"/>
      <c r="G79" s="311"/>
      <c r="H79" s="311"/>
      <c r="I79" s="201"/>
      <c r="J79" s="202"/>
      <c r="K79" s="202"/>
      <c r="L79" s="203"/>
      <c r="M79" s="203"/>
      <c r="N79" s="203"/>
      <c r="O79" s="204"/>
      <c r="P79" s="274"/>
      <c r="Q79" s="274"/>
      <c r="R79" s="205">
        <v>0</v>
      </c>
      <c r="S79" s="281">
        <v>38.450000000000003</v>
      </c>
      <c r="T79" s="205">
        <v>0</v>
      </c>
      <c r="U79" s="250">
        <v>231354562.55860049</v>
      </c>
      <c r="V79" s="204"/>
      <c r="W79" s="204">
        <v>9050344.0668000057</v>
      </c>
      <c r="X79" s="204">
        <v>0</v>
      </c>
      <c r="Y79" s="204">
        <v>9050344.0668000057</v>
      </c>
      <c r="Z79" s="204">
        <v>0</v>
      </c>
      <c r="AA79" s="204">
        <v>0</v>
      </c>
      <c r="AB79" s="204">
        <v>0</v>
      </c>
      <c r="AC79" s="250">
        <v>229651307.46860048</v>
      </c>
      <c r="AD79" s="204">
        <v>482576.52999999846</v>
      </c>
      <c r="AE79" s="204">
        <v>0</v>
      </c>
      <c r="AF79" s="204">
        <v>-482576.52999999846</v>
      </c>
      <c r="AG79" s="204">
        <v>0</v>
      </c>
      <c r="AH79" s="251">
        <v>-30462105.254760038</v>
      </c>
      <c r="AI79" s="204">
        <v>0</v>
      </c>
      <c r="AJ79" s="204">
        <v>30462105.254760038</v>
      </c>
      <c r="AK79" s="252">
        <v>0</v>
      </c>
      <c r="AL79" s="206"/>
      <c r="AM79" s="204">
        <v>385997193.01694423</v>
      </c>
      <c r="AN79" s="206"/>
      <c r="AO79" s="203"/>
      <c r="AP79" s="204">
        <v>296407083.55542934</v>
      </c>
      <c r="AQ79" s="207"/>
      <c r="AR79" s="204"/>
      <c r="AS79" s="204"/>
      <c r="AT79" s="204">
        <v>-2637416.3500000122</v>
      </c>
      <c r="AU79" s="204">
        <v>0</v>
      </c>
      <c r="AV79" s="204">
        <v>2637416.3500000122</v>
      </c>
      <c r="AW79" s="204">
        <v>0</v>
      </c>
      <c r="AX79" s="204">
        <v>-288604807.9874624</v>
      </c>
      <c r="AY79" s="204">
        <v>0</v>
      </c>
      <c r="AZ79" s="204">
        <v>288604807.9874624</v>
      </c>
      <c r="BA79" s="204">
        <v>0</v>
      </c>
      <c r="BB79" s="204"/>
      <c r="BC79" s="204"/>
      <c r="BD79" s="204"/>
      <c r="BE79" s="204"/>
      <c r="BF79" s="204"/>
      <c r="BG79" s="204"/>
      <c r="BH79" s="204"/>
      <c r="BI79" s="204"/>
      <c r="BJ79" s="204"/>
      <c r="BK79" s="204"/>
      <c r="BL79" s="209"/>
      <c r="BM79" s="204"/>
      <c r="BN79" s="204"/>
      <c r="BO79" s="204"/>
      <c r="BP79" s="204"/>
      <c r="BQ79" s="274"/>
      <c r="BR79" s="203"/>
      <c r="BS79" s="208"/>
      <c r="BT79" s="203"/>
      <c r="BU79" s="222"/>
      <c r="BV79" s="203"/>
      <c r="BW79" s="209"/>
      <c r="BX79" s="209"/>
      <c r="BY79" s="204"/>
      <c r="BZ79" s="204"/>
      <c r="CA79" s="204">
        <v>24094964.288004007</v>
      </c>
      <c r="CB79" s="204"/>
      <c r="CC79" s="204"/>
      <c r="CD79" s="204"/>
      <c r="CE79" s="204"/>
      <c r="CF79" s="204"/>
      <c r="CG79" s="204"/>
      <c r="CH79" s="204"/>
      <c r="CI79" s="204"/>
      <c r="CJ79" s="204"/>
      <c r="CK79" s="203"/>
      <c r="CL79" s="203"/>
    </row>
  </sheetData>
  <mergeCells count="12">
    <mergeCell ref="AD1:AK1"/>
    <mergeCell ref="AT1:BA1"/>
    <mergeCell ref="R1:T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0" type="noConversion"/>
  <conditionalFormatting sqref="BL12:BL32 AC43 BL40:BL43 AM4:AM43 AP4:AP43 BL47:BL49 AC47:AC49 AP47:AP49 AM47:AM49 AC71:AC74 BL71:BL79 AP71:AP79 AM71:AM79">
    <cfRule type="cellIs" priority="1" stopIfTrue="1" operator="notEqual">
      <formula>"$BM$54"</formula>
    </cfRule>
  </conditionalFormatting>
  <conditionalFormatting sqref="BO4:BO79">
    <cfRule type="cellIs" dxfId="1" priority="2" stopIfTrue="1" operator="notEqual">
      <formula>FALSE</formula>
    </cfRule>
  </conditionalFormatting>
  <conditionalFormatting sqref="BN4:BN79">
    <cfRule type="cellIs" dxfId="0" priority="3" stopIfTrue="1" operator="notEqual">
      <formula>0</formula>
    </cfRule>
  </conditionalFormatting>
  <pageMargins left="0.75" right="0.75" top="1" bottom="1" header="0.5" footer="0.5"/>
  <pageSetup scale="46" fitToWidth="4" orientation="portrait" r:id="rId1"/>
  <headerFooter alignWithMargins="0"/>
  <colBreaks count="1" manualBreakCount="1">
    <brk id="20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L84"/>
  <sheetViews>
    <sheetView showGridLines="0" workbookViewId="0">
      <pane xSplit="1" ySplit="2" topLeftCell="R73" activePane="bottomRight" state="frozen"/>
      <selection activeCell="B35" sqref="B35"/>
      <selection pane="topRight" activeCell="B35" sqref="B35"/>
      <selection pane="bottomLeft" activeCell="B35" sqref="B35"/>
      <selection pane="bottomRight" activeCell="W81" sqref="W81"/>
    </sheetView>
  </sheetViews>
  <sheetFormatPr defaultRowHeight="15.6" x14ac:dyDescent="0.3"/>
  <cols>
    <col min="1" max="1" width="23.09765625" customWidth="1"/>
    <col min="2" max="2" width="7.8984375" style="262" customWidth="1"/>
    <col min="3" max="3" width="10.8984375" style="262" customWidth="1"/>
    <col min="4" max="4" width="6.5" style="75" customWidth="1"/>
    <col min="5" max="5" width="12.09765625" style="4" bestFit="1" customWidth="1"/>
    <col min="6" max="6" width="5.8984375" style="75" customWidth="1"/>
    <col min="7" max="7" width="11.09765625" style="2" bestFit="1" customWidth="1"/>
    <col min="8" max="8" width="15" style="3" customWidth="1"/>
    <col min="9" max="9" width="15.69921875" style="316" bestFit="1" customWidth="1"/>
    <col min="10" max="10" width="8.59765625" style="4" bestFit="1" customWidth="1"/>
    <col min="11" max="11" width="13.09765625" style="4" customWidth="1"/>
    <col min="12" max="12" width="10.69921875" style="4" customWidth="1"/>
    <col min="13" max="13" width="14.8984375" style="4" customWidth="1"/>
    <col min="14" max="14" width="13.09765625" customWidth="1"/>
    <col min="15" max="15" width="7.8984375" style="256" customWidth="1"/>
    <col min="16" max="16" width="14.09765625" customWidth="1"/>
    <col min="17" max="17" width="16" customWidth="1"/>
    <col min="18" max="18" width="14.5" customWidth="1"/>
    <col min="19" max="19" width="13.8984375" style="4" customWidth="1"/>
    <col min="20" max="20" width="14.3984375" customWidth="1"/>
    <col min="21" max="21" width="13.3984375" customWidth="1"/>
    <col min="22" max="22" width="7.19921875" customWidth="1"/>
    <col min="23" max="23" width="14.59765625" bestFit="1" customWidth="1"/>
    <col min="24" max="24" width="9.8984375" customWidth="1"/>
    <col min="25" max="25" width="19.3984375" customWidth="1"/>
    <col min="26" max="26" width="13.69921875" style="4" customWidth="1"/>
    <col min="27" max="27" width="14.3984375" customWidth="1"/>
    <col min="28" max="28" width="12.59765625" style="4" customWidth="1"/>
    <col min="29" max="29" width="13.8984375" customWidth="1"/>
    <col min="30" max="30" width="13.69921875" bestFit="1" customWidth="1"/>
    <col min="33" max="33" width="15.69921875" bestFit="1" customWidth="1"/>
    <col min="37" max="38" width="16" customWidth="1"/>
    <col min="39" max="39" width="12.09765625" bestFit="1" customWidth="1"/>
  </cols>
  <sheetData>
    <row r="1" spans="1:38" s="77" customFormat="1" x14ac:dyDescent="0.3">
      <c r="A1" s="77" t="s">
        <v>128</v>
      </c>
      <c r="B1" s="259" t="s">
        <v>129</v>
      </c>
      <c r="C1" s="259" t="s">
        <v>130</v>
      </c>
      <c r="D1" s="77" t="s">
        <v>132</v>
      </c>
      <c r="E1" s="79"/>
      <c r="F1" s="77" t="s">
        <v>134</v>
      </c>
      <c r="G1" s="80" t="s">
        <v>135</v>
      </c>
      <c r="H1" s="325" t="s">
        <v>136</v>
      </c>
      <c r="I1" s="326"/>
      <c r="J1" s="327" t="s">
        <v>445</v>
      </c>
      <c r="K1" s="328"/>
      <c r="L1" s="328"/>
      <c r="M1" s="329"/>
      <c r="N1" s="77" t="s">
        <v>137</v>
      </c>
      <c r="O1" s="259"/>
      <c r="P1" s="84" t="s">
        <v>139</v>
      </c>
      <c r="Q1" s="88" t="s">
        <v>140</v>
      </c>
      <c r="R1" s="85" t="s">
        <v>141</v>
      </c>
      <c r="S1" s="323" t="s">
        <v>142</v>
      </c>
      <c r="T1" s="324"/>
      <c r="U1" s="84" t="s">
        <v>142</v>
      </c>
      <c r="V1" s="88"/>
      <c r="W1" s="85"/>
      <c r="Z1" s="323" t="s">
        <v>485</v>
      </c>
      <c r="AA1" s="324"/>
      <c r="AB1" s="323" t="s">
        <v>484</v>
      </c>
      <c r="AC1" s="324"/>
    </row>
    <row r="2" spans="1:38" s="78" customFormat="1" ht="15" customHeight="1" thickBot="1" x14ac:dyDescent="0.35">
      <c r="A2" s="81" t="s">
        <v>143</v>
      </c>
      <c r="B2" s="260" t="s">
        <v>1</v>
      </c>
      <c r="C2" s="260" t="s">
        <v>1</v>
      </c>
      <c r="D2" s="81" t="s">
        <v>131</v>
      </c>
      <c r="E2" s="82" t="s">
        <v>21</v>
      </c>
      <c r="F2" s="81" t="s">
        <v>133</v>
      </c>
      <c r="G2" s="83" t="s">
        <v>48</v>
      </c>
      <c r="H2" s="89" t="s">
        <v>173</v>
      </c>
      <c r="I2" s="312" t="s">
        <v>138</v>
      </c>
      <c r="J2" s="268" t="s">
        <v>1</v>
      </c>
      <c r="K2" s="83" t="s">
        <v>48</v>
      </c>
      <c r="L2" s="267" t="s">
        <v>173</v>
      </c>
      <c r="M2" s="234" t="s">
        <v>138</v>
      </c>
      <c r="N2" s="81" t="s">
        <v>228</v>
      </c>
      <c r="O2" s="260" t="s">
        <v>127</v>
      </c>
      <c r="P2" s="86" t="s">
        <v>144</v>
      </c>
      <c r="Q2" s="81" t="s">
        <v>144</v>
      </c>
      <c r="R2" s="87" t="s">
        <v>144</v>
      </c>
      <c r="S2" s="268" t="s">
        <v>5</v>
      </c>
      <c r="T2" s="87" t="s">
        <v>7</v>
      </c>
      <c r="U2" s="81" t="s">
        <v>228</v>
      </c>
      <c r="V2" s="81" t="s">
        <v>418</v>
      </c>
      <c r="W2" s="87" t="s">
        <v>182</v>
      </c>
      <c r="Z2" s="268" t="s">
        <v>144</v>
      </c>
      <c r="AA2" s="87" t="s">
        <v>144</v>
      </c>
      <c r="AB2" s="268" t="s">
        <v>5</v>
      </c>
      <c r="AC2" s="87" t="s">
        <v>7</v>
      </c>
    </row>
    <row r="3" spans="1:38" s="78" customFormat="1" ht="15" customHeight="1" x14ac:dyDescent="0.3">
      <c r="A3" s="132" t="s">
        <v>176</v>
      </c>
      <c r="B3" s="261"/>
      <c r="C3" s="261"/>
      <c r="E3" s="129"/>
      <c r="G3" s="130"/>
      <c r="H3" s="131"/>
      <c r="I3" s="313"/>
      <c r="J3" s="129"/>
      <c r="K3" s="129"/>
      <c r="L3" s="129"/>
      <c r="M3" s="129"/>
      <c r="O3" s="261"/>
      <c r="S3" s="129"/>
      <c r="Z3" s="129"/>
      <c r="AB3" s="129"/>
    </row>
    <row r="4" spans="1:38" x14ac:dyDescent="0.3">
      <c r="A4" t="s">
        <v>166</v>
      </c>
      <c r="B4" s="262">
        <v>36741</v>
      </c>
      <c r="C4" s="262">
        <v>37836</v>
      </c>
      <c r="D4" s="75" t="s">
        <v>17</v>
      </c>
      <c r="E4" s="4">
        <v>0</v>
      </c>
      <c r="F4" s="75" t="s">
        <v>18</v>
      </c>
      <c r="G4" s="2">
        <v>1.17868389193476</v>
      </c>
      <c r="H4" s="3">
        <v>78000</v>
      </c>
      <c r="I4" s="314">
        <f t="shared" ref="I4:I14" si="0">ROUND(+G4*H4,2)</f>
        <v>91937.34</v>
      </c>
      <c r="J4" s="256">
        <v>37069</v>
      </c>
      <c r="K4" s="67">
        <f>104000/130000</f>
        <v>0.8</v>
      </c>
      <c r="L4" s="3">
        <f>IF(J4&lt;O4+1,78000,0)</f>
        <v>78000</v>
      </c>
      <c r="M4" s="4">
        <f>L4*K4</f>
        <v>62400</v>
      </c>
      <c r="N4" s="67">
        <f>VLOOKUP(+O4,StkPrices,+'Stock Prices'!H$2)</f>
        <v>1.3036963389685119</v>
      </c>
      <c r="O4" s="256">
        <f>+Summary!$C$5</f>
        <v>37161</v>
      </c>
      <c r="P4" s="4">
        <f t="shared" ref="P4:P31" si="1">IF(O4&lt;B4,0,ROUND((+N4*(H4-IF(J4&gt;O4,0,L4))),2)-ROUND(((H4-IF(J4&gt;O4,0,L4))*G4),2))</f>
        <v>0</v>
      </c>
      <c r="Q4" s="4">
        <f t="shared" ref="Q4:Q31" si="2">ROUND((+K4-G4)*L4,2)</f>
        <v>-29537.34</v>
      </c>
      <c r="R4" s="282">
        <f t="shared" ref="R4:R31" si="3">+P4+Q4</f>
        <v>-29537.34</v>
      </c>
      <c r="S4" s="4">
        <f t="shared" ref="S4:S31" si="4">IF(J4&lt;O4,+Q4,0)</f>
        <v>-29537.34</v>
      </c>
      <c r="T4" s="4">
        <f>IF(Summary!$E$5&lt;'Daily Position'!B4,0,ROUND(+U4*(H4-IF(S4=0,0,L4)),2)+IF(S4=0,0,M4)-I4)</f>
        <v>-29537.339999999997</v>
      </c>
      <c r="U4" s="2">
        <f>+VLOOKUP(+Summary!$E$5,StkPrices,+'Stock Prices'!H$2)</f>
        <v>1.3101495982820808</v>
      </c>
      <c r="V4" s="2"/>
      <c r="W4" s="137">
        <f>+N4*(H4-L4)-'MPR Raptor'!U70</f>
        <v>0</v>
      </c>
      <c r="Z4" s="4">
        <v>-29537.34</v>
      </c>
      <c r="AA4" s="5">
        <v>-29537.34</v>
      </c>
      <c r="AB4" s="4">
        <f>+Q4-Z4</f>
        <v>0</v>
      </c>
      <c r="AC4" s="4">
        <f>ROUND(+R4-AA4,2)</f>
        <v>0</v>
      </c>
      <c r="AD4" s="137">
        <f>-AC4+'MPR Raptor'!AH70</f>
        <v>0</v>
      </c>
      <c r="AG4" s="292">
        <f>+N4*(H4-L4)</f>
        <v>0</v>
      </c>
      <c r="AK4" s="298"/>
      <c r="AL4" s="298"/>
    </row>
    <row r="5" spans="1:38" x14ac:dyDescent="0.3">
      <c r="A5" t="s">
        <v>164</v>
      </c>
      <c r="B5" s="262">
        <v>36741</v>
      </c>
      <c r="C5" s="262">
        <v>37836</v>
      </c>
      <c r="D5" s="75" t="s">
        <v>17</v>
      </c>
      <c r="E5" s="4">
        <v>0</v>
      </c>
      <c r="F5" s="75" t="s">
        <v>18</v>
      </c>
      <c r="G5" s="2">
        <f>67648299.25/1276383</f>
        <v>53.000000195865972</v>
      </c>
      <c r="H5" s="233">
        <f>1276383-SUM(H6:H12)-1</f>
        <v>324000</v>
      </c>
      <c r="I5" s="314">
        <f>ROUND(+G5*H5,2)</f>
        <v>17172000.059999999</v>
      </c>
      <c r="J5" s="256"/>
      <c r="K5" s="67"/>
      <c r="L5" s="3"/>
      <c r="N5" s="67">
        <f>VLOOKUP(+O5,StkPrices,+'Stock Prices'!D$2)</f>
        <v>5</v>
      </c>
      <c r="O5" s="256">
        <f>+Summary!$C$5</f>
        <v>37161</v>
      </c>
      <c r="P5" s="4">
        <f t="shared" si="1"/>
        <v>-15552000.059999999</v>
      </c>
      <c r="Q5" s="4">
        <f t="shared" si="2"/>
        <v>0</v>
      </c>
      <c r="R5" s="282">
        <f t="shared" si="3"/>
        <v>-15552000.059999999</v>
      </c>
      <c r="S5" s="4">
        <f t="shared" si="4"/>
        <v>0</v>
      </c>
      <c r="T5" s="4">
        <f>IF(Summary!$E$5&lt;'Daily Position'!B5,0,ROUND(+U5*(H5-IF(S5=0,0,L5)),2)+IF(S5=0,0,M5)-I5)</f>
        <v>-15458040.059999999</v>
      </c>
      <c r="U5" s="2">
        <f>+VLOOKUP(+Summary!$E$5,StkPrices,+'Stock Prices'!D$2)</f>
        <v>5.29</v>
      </c>
      <c r="V5" s="2"/>
      <c r="W5" s="137">
        <f>+N5*(H5-L5)-'MPR Raptor'!U26</f>
        <v>0</v>
      </c>
      <c r="X5" s="210"/>
      <c r="Z5" s="4">
        <v>0</v>
      </c>
      <c r="AA5" s="5">
        <v>-11767680.059999999</v>
      </c>
      <c r="AB5" s="4">
        <f>SUM(Q5:Q12)-SUM(Z5:Z12)</f>
        <v>0</v>
      </c>
      <c r="AC5" s="4">
        <f>ROUND(+SUM(R5:R12)-SUM(AA5:AA12),2)</f>
        <v>-3784320</v>
      </c>
      <c r="AD5" s="137">
        <f>-AC5+'MPR Raptor'!AH26</f>
        <v>0</v>
      </c>
      <c r="AG5" s="292">
        <f>+N5*(H5-L5)</f>
        <v>1620000</v>
      </c>
      <c r="AK5" s="298"/>
      <c r="AL5" s="298"/>
    </row>
    <row r="6" spans="1:38" x14ac:dyDescent="0.3">
      <c r="A6" t="s">
        <v>164</v>
      </c>
      <c r="B6" s="262">
        <v>36741</v>
      </c>
      <c r="G6" s="2">
        <f>+G5</f>
        <v>53.000000195865972</v>
      </c>
      <c r="H6" s="233">
        <f t="shared" ref="H6:H11" si="5">+L6</f>
        <v>255276</v>
      </c>
      <c r="I6" s="314">
        <f t="shared" si="0"/>
        <v>13529628.050000001</v>
      </c>
      <c r="J6" s="256">
        <v>36907</v>
      </c>
      <c r="K6" s="67">
        <f>6449767.11/255276</f>
        <v>25.265857777464394</v>
      </c>
      <c r="L6" s="3">
        <f>IF(J6&lt;O6+1,255276,0)</f>
        <v>255276</v>
      </c>
      <c r="M6" s="4">
        <v>6449767.1100000003</v>
      </c>
      <c r="N6" s="67">
        <f>+N5</f>
        <v>5</v>
      </c>
      <c r="O6" s="256">
        <f>+Summary!$C$5</f>
        <v>37161</v>
      </c>
      <c r="P6" s="4">
        <f t="shared" si="1"/>
        <v>0</v>
      </c>
      <c r="Q6" s="4">
        <f t="shared" si="2"/>
        <v>-7079860.9400000004</v>
      </c>
      <c r="R6" s="282">
        <f>+P6+Q6</f>
        <v>-7079860.9400000004</v>
      </c>
      <c r="S6" s="4">
        <f t="shared" si="4"/>
        <v>-7079860.9400000004</v>
      </c>
      <c r="T6" s="4">
        <f>IF(Summary!$E$5&lt;'Daily Position'!B6,0,ROUND(+U6*(H6-IF(S6=0,0,L6)),2)+IF(S6=0,0,M6)-I6)</f>
        <v>-7079860.9400000004</v>
      </c>
      <c r="U6" s="2">
        <f>+U5</f>
        <v>5.29</v>
      </c>
      <c r="V6" s="2"/>
      <c r="W6" s="137"/>
      <c r="X6" s="210"/>
      <c r="Z6" s="4">
        <v>-7079860.9400000004</v>
      </c>
      <c r="AA6" s="5">
        <v>-7079860.9400000004</v>
      </c>
      <c r="AC6" s="4"/>
      <c r="AD6" s="137"/>
      <c r="AG6" s="292"/>
      <c r="AK6" s="298"/>
      <c r="AL6" s="298"/>
    </row>
    <row r="7" spans="1:38" x14ac:dyDescent="0.3">
      <c r="A7" t="s">
        <v>164</v>
      </c>
      <c r="B7" s="262">
        <v>36741</v>
      </c>
      <c r="G7" s="2">
        <f>+G6</f>
        <v>53.000000195865972</v>
      </c>
      <c r="H7" s="233">
        <f t="shared" si="5"/>
        <v>165000</v>
      </c>
      <c r="I7" s="314">
        <f t="shared" si="0"/>
        <v>8745000.0299999993</v>
      </c>
      <c r="J7" s="256">
        <v>37001</v>
      </c>
      <c r="K7" s="67">
        <v>21.672999999999998</v>
      </c>
      <c r="L7" s="3">
        <f>IF(J7&lt;O7+1,165000,0)</f>
        <v>165000</v>
      </c>
      <c r="M7" s="4">
        <f t="shared" ref="M7:M12" si="6">L7*K7</f>
        <v>3576044.9999999995</v>
      </c>
      <c r="N7" s="67">
        <f>+N5</f>
        <v>5</v>
      </c>
      <c r="O7" s="256">
        <f>+Summary!$C$5</f>
        <v>37161</v>
      </c>
      <c r="P7" s="4">
        <f t="shared" si="1"/>
        <v>0</v>
      </c>
      <c r="Q7" s="4">
        <f t="shared" si="2"/>
        <v>-5168955.03</v>
      </c>
      <c r="R7" s="282">
        <f t="shared" si="3"/>
        <v>-5168955.03</v>
      </c>
      <c r="S7" s="4">
        <f t="shared" si="4"/>
        <v>-5168955.03</v>
      </c>
      <c r="T7" s="4">
        <f>IF(Summary!$E$5&lt;'Daily Position'!B7,0,ROUND(+U7*(H7-IF(S7=0,0,L7)),2)+IF(S7=0,0,M7)-I7)</f>
        <v>-5168955.0299999993</v>
      </c>
      <c r="U7" s="2">
        <f>+U6</f>
        <v>5.29</v>
      </c>
      <c r="V7" s="2"/>
      <c r="W7" s="137"/>
      <c r="X7" s="210"/>
      <c r="Z7" s="4">
        <v>-5168955.03</v>
      </c>
      <c r="AA7" s="5">
        <v>-5168955.03</v>
      </c>
      <c r="AC7" s="4"/>
      <c r="AD7" s="137"/>
      <c r="AG7" s="292"/>
      <c r="AK7" s="298"/>
      <c r="AL7" s="298"/>
    </row>
    <row r="8" spans="1:38" x14ac:dyDescent="0.3">
      <c r="A8" t="s">
        <v>164</v>
      </c>
      <c r="B8" s="262">
        <v>36741</v>
      </c>
      <c r="G8" s="2">
        <f>+G7</f>
        <v>53.000000195865972</v>
      </c>
      <c r="H8" s="233">
        <f t="shared" si="5"/>
        <v>100000</v>
      </c>
      <c r="I8" s="314">
        <f t="shared" si="0"/>
        <v>5300000.0199999996</v>
      </c>
      <c r="J8" s="256">
        <v>37004</v>
      </c>
      <c r="K8" s="67">
        <v>20.612500000000001</v>
      </c>
      <c r="L8" s="3">
        <f>IF(J8&lt;O8+1,100000,0)</f>
        <v>100000</v>
      </c>
      <c r="M8" s="4">
        <f t="shared" si="6"/>
        <v>2061250</v>
      </c>
      <c r="N8" s="67">
        <f>+N7</f>
        <v>5</v>
      </c>
      <c r="O8" s="256">
        <f>+Summary!$C$5</f>
        <v>37161</v>
      </c>
      <c r="P8" s="4">
        <f t="shared" si="1"/>
        <v>0</v>
      </c>
      <c r="Q8" s="4">
        <f t="shared" si="2"/>
        <v>-3238750.02</v>
      </c>
      <c r="R8" s="282">
        <f t="shared" si="3"/>
        <v>-3238750.02</v>
      </c>
      <c r="S8" s="4">
        <f t="shared" si="4"/>
        <v>-3238750.02</v>
      </c>
      <c r="T8" s="4">
        <f>IF(Summary!$E$5&lt;'Daily Position'!B8,0,ROUND(+U8*(H8-IF(S8=0,0,L8)),2)+IF(S8=0,0,M8)-I8)</f>
        <v>-3238750.0199999996</v>
      </c>
      <c r="U8" s="2">
        <f>+U7</f>
        <v>5.29</v>
      </c>
      <c r="V8" s="2"/>
      <c r="W8" s="137"/>
      <c r="X8" s="210"/>
      <c r="Z8" s="4">
        <v>-3238750.02</v>
      </c>
      <c r="AA8" s="5">
        <v>-3238750.02</v>
      </c>
      <c r="AC8" s="4"/>
      <c r="AD8" s="137"/>
      <c r="AG8" s="292"/>
      <c r="AK8" s="298"/>
      <c r="AL8" s="298"/>
    </row>
    <row r="9" spans="1:38" x14ac:dyDescent="0.3">
      <c r="A9" t="s">
        <v>164</v>
      </c>
      <c r="B9" s="262">
        <v>36741</v>
      </c>
      <c r="G9" s="2">
        <f>+G8</f>
        <v>53.000000195865972</v>
      </c>
      <c r="H9" s="233">
        <f t="shared" si="5"/>
        <v>35000</v>
      </c>
      <c r="I9" s="314">
        <f t="shared" si="0"/>
        <v>1855000.01</v>
      </c>
      <c r="J9" s="256">
        <v>37005</v>
      </c>
      <c r="K9" s="67">
        <v>20.404299999999999</v>
      </c>
      <c r="L9" s="3">
        <f>IF(J9&lt;O9+1,35000,0)</f>
        <v>35000</v>
      </c>
      <c r="M9" s="4">
        <f t="shared" si="6"/>
        <v>714150.5</v>
      </c>
      <c r="N9" s="67">
        <f>+N7</f>
        <v>5</v>
      </c>
      <c r="O9" s="256">
        <f>+Summary!$C$5</f>
        <v>37161</v>
      </c>
      <c r="P9" s="4">
        <f t="shared" si="1"/>
        <v>0</v>
      </c>
      <c r="Q9" s="4">
        <f t="shared" si="2"/>
        <v>-1140849.51</v>
      </c>
      <c r="R9" s="282">
        <f>+P9+Q9</f>
        <v>-1140849.51</v>
      </c>
      <c r="S9" s="4">
        <f t="shared" si="4"/>
        <v>-1140849.51</v>
      </c>
      <c r="T9" s="4">
        <f>IF(Summary!$E$5&lt;'Daily Position'!B9,0,ROUND(+U9*(H9-IF(S9=0,0,L9)),2)+IF(S9=0,0,M9)-I9)</f>
        <v>-1140849.51</v>
      </c>
      <c r="U9" s="2">
        <f>+U7</f>
        <v>5.29</v>
      </c>
      <c r="V9" s="2"/>
      <c r="W9" s="137"/>
      <c r="X9" s="210"/>
      <c r="Z9" s="4">
        <v>-1140849.51</v>
      </c>
      <c r="AA9" s="5">
        <v>-1140849.51</v>
      </c>
      <c r="AC9" s="4"/>
      <c r="AD9" s="137"/>
      <c r="AG9" s="292"/>
      <c r="AK9" s="298"/>
      <c r="AL9" s="298"/>
    </row>
    <row r="10" spans="1:38" x14ac:dyDescent="0.3">
      <c r="A10" t="s">
        <v>164</v>
      </c>
      <c r="B10" s="262">
        <v>36741</v>
      </c>
      <c r="G10" s="2">
        <f>+G8</f>
        <v>53.000000195865972</v>
      </c>
      <c r="H10" s="233">
        <f t="shared" si="5"/>
        <v>100000</v>
      </c>
      <c r="I10" s="314">
        <f t="shared" si="0"/>
        <v>5300000.0199999996</v>
      </c>
      <c r="J10" s="256">
        <v>37018</v>
      </c>
      <c r="K10" s="67">
        <v>24.6495</v>
      </c>
      <c r="L10" s="3">
        <f>IF(J10&lt;O10+1,100000,0)</f>
        <v>100000</v>
      </c>
      <c r="M10" s="4">
        <f t="shared" si="6"/>
        <v>2464950</v>
      </c>
      <c r="N10" s="67">
        <f>+N7</f>
        <v>5</v>
      </c>
      <c r="O10" s="256">
        <f>+Summary!$C$5</f>
        <v>37161</v>
      </c>
      <c r="P10" s="4">
        <f t="shared" si="1"/>
        <v>0</v>
      </c>
      <c r="Q10" s="4">
        <f t="shared" si="2"/>
        <v>-2835050.02</v>
      </c>
      <c r="R10" s="282">
        <f>+P10+Q10</f>
        <v>-2835050.02</v>
      </c>
      <c r="S10" s="4">
        <f t="shared" si="4"/>
        <v>-2835050.02</v>
      </c>
      <c r="T10" s="4">
        <f>IF(Summary!$E$5&lt;'Daily Position'!B10,0,ROUND(+U10*(H10-IF(S10=0,0,L10)),2)+IF(S10=0,0,M10)-I10)</f>
        <v>-2835050.0199999996</v>
      </c>
      <c r="U10" s="2">
        <f>+U7</f>
        <v>5.29</v>
      </c>
      <c r="V10" s="2"/>
      <c r="W10" s="137"/>
      <c r="X10" s="210"/>
      <c r="Z10" s="4">
        <v>-2835050.02</v>
      </c>
      <c r="AA10" s="5">
        <v>-2835050.02</v>
      </c>
      <c r="AC10" s="4"/>
      <c r="AD10" s="137"/>
      <c r="AG10" s="292"/>
      <c r="AK10" s="298"/>
      <c r="AL10" s="298"/>
    </row>
    <row r="11" spans="1:38" x14ac:dyDescent="0.3">
      <c r="A11" t="s">
        <v>164</v>
      </c>
      <c r="B11" s="262">
        <v>36741</v>
      </c>
      <c r="G11" s="2">
        <f>+G9</f>
        <v>53.000000195865972</v>
      </c>
      <c r="H11" s="233">
        <f t="shared" si="5"/>
        <v>150000</v>
      </c>
      <c r="I11" s="314">
        <f t="shared" si="0"/>
        <v>7950000.0300000003</v>
      </c>
      <c r="J11" s="256">
        <v>37019</v>
      </c>
      <c r="K11" s="67">
        <v>24.113199999999999</v>
      </c>
      <c r="L11" s="3">
        <f>IF(J11&lt;O11+1,150000,0)</f>
        <v>150000</v>
      </c>
      <c r="M11" s="4">
        <f t="shared" si="6"/>
        <v>3616980</v>
      </c>
      <c r="N11" s="67">
        <f>+N8</f>
        <v>5</v>
      </c>
      <c r="O11" s="256">
        <f>+Summary!$C$5</f>
        <v>37161</v>
      </c>
      <c r="P11" s="4">
        <f t="shared" si="1"/>
        <v>0</v>
      </c>
      <c r="Q11" s="4">
        <f t="shared" si="2"/>
        <v>-4333020.03</v>
      </c>
      <c r="R11" s="282">
        <f t="shared" si="3"/>
        <v>-4333020.03</v>
      </c>
      <c r="S11" s="4">
        <f t="shared" si="4"/>
        <v>-4333020.03</v>
      </c>
      <c r="T11" s="4">
        <f>IF(Summary!$E$5&lt;'Daily Position'!B11,0,ROUND(+U11*(H11-IF(S11=0,0,L11)),2)+IF(S11=0,0,M11)-I11)</f>
        <v>-4333020.03</v>
      </c>
      <c r="U11" s="2">
        <f>+U8</f>
        <v>5.29</v>
      </c>
      <c r="V11" s="2"/>
      <c r="W11" s="137"/>
      <c r="X11" s="210"/>
      <c r="Z11" s="4">
        <v>-4333020.03</v>
      </c>
      <c r="AA11" s="5">
        <v>-4333020.03</v>
      </c>
      <c r="AC11" s="4"/>
      <c r="AD11" s="137"/>
      <c r="AG11" s="292"/>
      <c r="AK11" s="298"/>
      <c r="AL11" s="298"/>
    </row>
    <row r="12" spans="1:38" x14ac:dyDescent="0.3">
      <c r="A12" t="s">
        <v>164</v>
      </c>
      <c r="B12" s="262">
        <v>36741</v>
      </c>
      <c r="G12" s="2">
        <f>+G10</f>
        <v>53.000000195865972</v>
      </c>
      <c r="H12" s="233">
        <f>+L12</f>
        <v>147106</v>
      </c>
      <c r="I12" s="314">
        <f t="shared" si="0"/>
        <v>7796618.0300000003</v>
      </c>
      <c r="J12" s="256">
        <v>37020</v>
      </c>
      <c r="K12" s="67">
        <v>25.049600000000002</v>
      </c>
      <c r="L12" s="3">
        <f>IF(J12&lt;O12+1,147106,0)</f>
        <v>147106</v>
      </c>
      <c r="M12" s="4">
        <f t="shared" si="6"/>
        <v>3684946.4576000003</v>
      </c>
      <c r="N12" s="67">
        <f>+N9</f>
        <v>5</v>
      </c>
      <c r="O12" s="256">
        <f>+Summary!$C$5</f>
        <v>37161</v>
      </c>
      <c r="P12" s="4">
        <f t="shared" si="1"/>
        <v>0</v>
      </c>
      <c r="Q12" s="4">
        <f t="shared" si="2"/>
        <v>-4111671.57</v>
      </c>
      <c r="R12" s="282">
        <f>+P12+Q12</f>
        <v>-4111671.57</v>
      </c>
      <c r="S12" s="4">
        <f t="shared" si="4"/>
        <v>-4111671.57</v>
      </c>
      <c r="T12" s="4">
        <f>IF(Summary!$E$5&lt;'Daily Position'!B12,0,ROUND(+U12*(H12-IF(S12=0,0,L12)),2)+IF(S12=0,0,M12)-I12)</f>
        <v>-4111671.5723999999</v>
      </c>
      <c r="U12" s="2">
        <f>+U9</f>
        <v>5.29</v>
      </c>
      <c r="V12" s="2"/>
      <c r="W12" s="137"/>
      <c r="X12" s="210"/>
      <c r="Z12" s="4">
        <v>-4111671.57</v>
      </c>
      <c r="AA12" s="5">
        <v>-4111671.57</v>
      </c>
      <c r="AC12" s="4"/>
      <c r="AD12" s="137"/>
      <c r="AG12" s="292"/>
      <c r="AK12" s="298"/>
      <c r="AL12" s="298"/>
    </row>
    <row r="13" spans="1:38" x14ac:dyDescent="0.3">
      <c r="A13" t="s">
        <v>13</v>
      </c>
      <c r="B13" s="262">
        <v>36741</v>
      </c>
      <c r="C13" s="262">
        <v>37836</v>
      </c>
      <c r="D13" s="75" t="s">
        <v>17</v>
      </c>
      <c r="E13" s="4">
        <v>0</v>
      </c>
      <c r="F13" s="75" t="s">
        <v>18</v>
      </c>
      <c r="G13" s="2">
        <v>162.5</v>
      </c>
      <c r="H13" s="3">
        <v>1093426</v>
      </c>
      <c r="I13" s="314">
        <f t="shared" si="0"/>
        <v>177681725</v>
      </c>
      <c r="J13" s="256">
        <v>36902</v>
      </c>
      <c r="K13" s="67">
        <f>30438.98/1000</f>
        <v>30.438980000000001</v>
      </c>
      <c r="L13" s="3">
        <f>IF(J13&lt;O13+1,1000,0)</f>
        <v>1000</v>
      </c>
      <c r="M13" s="4">
        <v>30438.98</v>
      </c>
      <c r="N13" s="67">
        <f>VLOOKUP(+O13,StkPrices,+'Stock Prices'!C$2)</f>
        <v>1.17</v>
      </c>
      <c r="O13" s="256">
        <f>+Summary!$C$5</f>
        <v>37161</v>
      </c>
      <c r="P13" s="4">
        <f t="shared" si="1"/>
        <v>-176241086.58000001</v>
      </c>
      <c r="Q13" s="4">
        <f t="shared" si="2"/>
        <v>-132061.01999999999</v>
      </c>
      <c r="R13" s="282">
        <f t="shared" si="3"/>
        <v>-176373147.60000002</v>
      </c>
      <c r="S13" s="4">
        <f t="shared" si="4"/>
        <v>-132061.01999999999</v>
      </c>
      <c r="T13" s="4">
        <f>IF(Summary!$E$5&lt;'Daily Position'!B13,0,ROUND(+U13*(H13-IF(S13=0,0,L13)),2)+IF(S13=0,0,M13)-I13)</f>
        <v>-176318526.30000001</v>
      </c>
      <c r="U13" s="2">
        <f>+VLOOKUP(+Summary!$E$5,StkPrices,+'Stock Prices'!C$2)</f>
        <v>1.22</v>
      </c>
      <c r="V13" s="2"/>
      <c r="W13" s="137">
        <f>+N13*(H13-L13)-'MPR Raptor'!U7</f>
        <v>0</v>
      </c>
      <c r="X13" s="210"/>
      <c r="Z13" s="4">
        <v>-132061.01999999999</v>
      </c>
      <c r="AA13" s="5">
        <v>-168289195.20000002</v>
      </c>
      <c r="AB13" s="4">
        <f>+Q13-Z13</f>
        <v>0</v>
      </c>
      <c r="AC13" s="4">
        <f>ROUND(+R13-AA13,2)</f>
        <v>-8083952.4000000004</v>
      </c>
      <c r="AD13" s="137">
        <f>-AC13+'MPR Raptor'!AH7</f>
        <v>0</v>
      </c>
      <c r="AG13" s="292">
        <f>+N13*(H13-L13)</f>
        <v>1278138.42</v>
      </c>
      <c r="AK13" s="298"/>
      <c r="AL13" s="298"/>
    </row>
    <row r="14" spans="1:38" x14ac:dyDescent="0.3">
      <c r="A14" t="s">
        <v>165</v>
      </c>
      <c r="B14" s="262">
        <v>36741</v>
      </c>
      <c r="C14" s="262">
        <v>37836</v>
      </c>
      <c r="D14" s="75" t="s">
        <v>17</v>
      </c>
      <c r="E14" s="4">
        <v>0</v>
      </c>
      <c r="F14" s="75" t="s">
        <v>18</v>
      </c>
      <c r="G14" s="2">
        <v>4.1954025145547202</v>
      </c>
      <c r="H14" s="3">
        <v>156250</v>
      </c>
      <c r="I14" s="314">
        <f t="shared" si="0"/>
        <v>655531.64</v>
      </c>
      <c r="J14" s="256">
        <v>37069</v>
      </c>
      <c r="K14" s="67">
        <v>3.4529999999999998</v>
      </c>
      <c r="L14" s="3">
        <f>IF(J14&lt;O14+1,156250,0)</f>
        <v>156250</v>
      </c>
      <c r="M14" s="4">
        <f>L14*K14</f>
        <v>539531.25</v>
      </c>
      <c r="N14" s="67">
        <f>VLOOKUP(+O14,StkPrices,+'Stock Prices'!G$2)</f>
        <v>2.9409419704735926</v>
      </c>
      <c r="O14" s="256">
        <f>+Summary!$C$5</f>
        <v>37161</v>
      </c>
      <c r="P14" s="4">
        <f t="shared" si="1"/>
        <v>0</v>
      </c>
      <c r="Q14" s="4">
        <f t="shared" si="2"/>
        <v>-116000.39</v>
      </c>
      <c r="R14" s="282">
        <f t="shared" si="3"/>
        <v>-116000.39</v>
      </c>
      <c r="S14" s="4">
        <f t="shared" si="4"/>
        <v>-116000.39</v>
      </c>
      <c r="T14" s="4">
        <f>IF(Summary!$E$5&lt;'Daily Position'!B14,0,ROUND(+U14*(H14-IF(S14=0,0,L14)),2)+IF(S14=0,0,M14)-I14)</f>
        <v>-116000.39000000001</v>
      </c>
      <c r="U14" s="2">
        <f>+VLOOKUP(+Summary!$E$5,StkPrices,+'Stock Prices'!G$2)</f>
        <v>2.9511008271957797</v>
      </c>
      <c r="V14" s="2"/>
      <c r="W14" s="137">
        <f>+N14*(H14-L14)-'MPR Raptor'!U69</f>
        <v>0</v>
      </c>
      <c r="X14" s="210"/>
      <c r="Z14" s="4">
        <v>-116000.39</v>
      </c>
      <c r="AA14" s="5">
        <v>-116000.39</v>
      </c>
      <c r="AB14" s="4">
        <f>+Q14-Z14</f>
        <v>0</v>
      </c>
      <c r="AC14" s="4">
        <f>ROUND(+R14-AA14,2)</f>
        <v>0</v>
      </c>
      <c r="AD14" s="137">
        <f>-AC14+'MPR Raptor'!AH69</f>
        <v>0</v>
      </c>
      <c r="AG14" s="292">
        <f>+N14*(H14-L14)</f>
        <v>0</v>
      </c>
      <c r="AK14" s="298"/>
      <c r="AL14" s="298"/>
    </row>
    <row r="15" spans="1:38" x14ac:dyDescent="0.3">
      <c r="A15" s="134" t="s">
        <v>443</v>
      </c>
      <c r="B15" s="262">
        <v>36741</v>
      </c>
      <c r="C15" s="262">
        <v>37836</v>
      </c>
      <c r="D15" s="75" t="s">
        <v>17</v>
      </c>
      <c r="E15" s="4">
        <v>0</v>
      </c>
      <c r="F15" s="75" t="s">
        <v>18</v>
      </c>
      <c r="G15" s="2">
        <f>IF(H15&gt;0,I15/H15,0)</f>
        <v>86.466565739982983</v>
      </c>
      <c r="H15" s="3">
        <f>1339286+3603</f>
        <v>1342889</v>
      </c>
      <c r="I15" s="314">
        <f>IF(O15&gt;(X15-1),116115000,0)</f>
        <v>116115000</v>
      </c>
      <c r="N15" s="67">
        <f>VLOOKUP(+O15,StkPrices,+'Stock Prices'!L$2)</f>
        <v>7.72</v>
      </c>
      <c r="O15" s="256">
        <f>+Summary!$C$5</f>
        <v>37161</v>
      </c>
      <c r="P15" s="4">
        <f t="shared" si="1"/>
        <v>-105747896.92</v>
      </c>
      <c r="Q15" s="4">
        <f t="shared" si="2"/>
        <v>0</v>
      </c>
      <c r="R15" s="282">
        <f t="shared" si="3"/>
        <v>-105747896.92</v>
      </c>
      <c r="S15" s="4">
        <f t="shared" si="4"/>
        <v>0</v>
      </c>
      <c r="T15" s="4">
        <f>IF(Summary!$E$5&lt;'Daily Position'!B15,0,ROUND(+U15*(H15-IF(S15=0,0,L15)),2)+IF(S15=0,0,M15)-I15)</f>
        <v>-106379054.75</v>
      </c>
      <c r="U15" s="2">
        <f>IF(O15&gt;X15-1,+VLOOKUP(+Summary!$E$5,StkPrices,'Stock Prices'!L2),0)</f>
        <v>7.25</v>
      </c>
      <c r="V15" s="2"/>
      <c r="W15" s="137">
        <f>+N15*H15-'MPR Raptor'!U51</f>
        <v>0</v>
      </c>
      <c r="X15" s="1">
        <v>36874</v>
      </c>
      <c r="Y15" t="s">
        <v>444</v>
      </c>
      <c r="Z15" s="4">
        <v>0</v>
      </c>
      <c r="AA15" s="5">
        <v>-86974308.700000003</v>
      </c>
      <c r="AB15" s="4">
        <f>+Q15-Z15</f>
        <v>0</v>
      </c>
      <c r="AC15" s="4">
        <f>ROUND(+R15-AA15,2)</f>
        <v>-18773588.219999999</v>
      </c>
      <c r="AD15" s="137">
        <f>-AC15+'MPR Raptor'!AH51</f>
        <v>0</v>
      </c>
      <c r="AG15" s="292">
        <f>+N15*(H15-L15)</f>
        <v>10367103.08</v>
      </c>
      <c r="AK15" s="298"/>
      <c r="AL15" s="298"/>
    </row>
    <row r="16" spans="1:38" x14ac:dyDescent="0.3">
      <c r="A16" t="s">
        <v>167</v>
      </c>
      <c r="B16" s="262">
        <v>36741</v>
      </c>
      <c r="C16" s="262">
        <v>37836</v>
      </c>
      <c r="D16" s="75" t="s">
        <v>17</v>
      </c>
      <c r="E16" s="4">
        <v>0</v>
      </c>
      <c r="F16" s="75" t="s">
        <v>18</v>
      </c>
      <c r="G16" s="2">
        <v>5.875</v>
      </c>
      <c r="H16" s="3">
        <f>59891-SUM(H17:H27)</f>
        <v>0</v>
      </c>
      <c r="I16" s="314">
        <f t="shared" ref="I16:I31" si="7">ROUND(+G16*H16,2)</f>
        <v>0</v>
      </c>
      <c r="J16" s="256"/>
      <c r="K16" s="67"/>
      <c r="L16" s="3"/>
      <c r="N16" s="67">
        <f>VLOOKUP(+O16,StkPrices,+'Stock Prices'!J$2)</f>
        <v>3.9</v>
      </c>
      <c r="O16" s="256">
        <f>+Summary!$C$5</f>
        <v>37161</v>
      </c>
      <c r="P16" s="4">
        <f t="shared" si="1"/>
        <v>0</v>
      </c>
      <c r="Q16" s="4">
        <f t="shared" si="2"/>
        <v>0</v>
      </c>
      <c r="R16" s="282">
        <f t="shared" si="3"/>
        <v>0</v>
      </c>
      <c r="S16" s="4">
        <f t="shared" si="4"/>
        <v>0</v>
      </c>
      <c r="T16" s="4">
        <f>IF(Summary!$E$5&lt;'Daily Position'!B16,0,ROUND(+U16*(H16-IF(S16=0,0,L16)),2)+IF(S16=0,0,M16)-I16)</f>
        <v>0</v>
      </c>
      <c r="U16" s="2">
        <f>+VLOOKUP(+Summary!$E$5,StkPrices,+'Stock Prices'!J$2)</f>
        <v>3.7</v>
      </c>
      <c r="V16" s="2"/>
      <c r="W16" s="137">
        <f>+N16*(H16-L16)-'MPR Raptor'!U49</f>
        <v>0</v>
      </c>
      <c r="X16" s="210"/>
      <c r="Z16" s="4">
        <v>0</v>
      </c>
      <c r="AA16" s="5">
        <v>0</v>
      </c>
      <c r="AB16" s="4">
        <f>+SUM(Q16:Q27)-SUM(Z16:Z27)</f>
        <v>0</v>
      </c>
      <c r="AC16" s="4">
        <f>ROUND(+SUM(R16:R27)-SUM(AA16:AA27),2)</f>
        <v>0</v>
      </c>
      <c r="AD16" s="137">
        <f>-AC16+'MPR Raptor'!AH49</f>
        <v>0</v>
      </c>
      <c r="AG16" s="292">
        <f>+N16*(H16-L16)</f>
        <v>0</v>
      </c>
      <c r="AK16" s="298"/>
      <c r="AL16" s="298"/>
    </row>
    <row r="17" spans="1:38" x14ac:dyDescent="0.3">
      <c r="A17" t="s">
        <v>167</v>
      </c>
      <c r="B17" s="262">
        <f>+B15</f>
        <v>36741</v>
      </c>
      <c r="G17" s="2">
        <f t="shared" ref="G17:G27" si="8">+G16</f>
        <v>5.875</v>
      </c>
      <c r="H17" s="233">
        <f t="shared" ref="H17:H27" si="9">+L17</f>
        <v>5500</v>
      </c>
      <c r="I17" s="314">
        <f t="shared" si="7"/>
        <v>32312.5</v>
      </c>
      <c r="J17" s="256">
        <v>37011</v>
      </c>
      <c r="K17" s="67">
        <f>IF(L17=0,0,+M17/L17)</f>
        <v>5.6375272727272732</v>
      </c>
      <c r="L17" s="3">
        <f>IF(J17&lt;O17+1,+(8000+3000)*0.5,0)</f>
        <v>5500</v>
      </c>
      <c r="M17" s="4">
        <f>(44591.3+17098.5+1.5+1.5+320)*0.5</f>
        <v>31006.400000000001</v>
      </c>
      <c r="N17" s="67">
        <f>+N16</f>
        <v>3.9</v>
      </c>
      <c r="O17" s="256">
        <f>+Summary!$C$5</f>
        <v>37161</v>
      </c>
      <c r="P17" s="4">
        <f t="shared" si="1"/>
        <v>0</v>
      </c>
      <c r="Q17" s="4">
        <f t="shared" si="2"/>
        <v>-1306.0999999999999</v>
      </c>
      <c r="R17" s="282">
        <f>+P17+Q17</f>
        <v>-1306.0999999999999</v>
      </c>
      <c r="S17" s="4">
        <f t="shared" si="4"/>
        <v>-1306.0999999999999</v>
      </c>
      <c r="T17" s="4">
        <f>IF(Summary!$E$5&lt;'Daily Position'!B17,0,ROUND(+U17*(H17-IF(S17=0,0,L17)),2)+IF(S17=0,0,M17)-I17)</f>
        <v>-1306.0999999999985</v>
      </c>
      <c r="U17" s="2">
        <f>+U16</f>
        <v>3.7</v>
      </c>
      <c r="V17" s="2"/>
      <c r="W17" s="137"/>
      <c r="X17" s="210"/>
      <c r="Z17" s="4">
        <v>-1306.0999999999999</v>
      </c>
      <c r="AA17" s="5">
        <v>-1306.0999999999999</v>
      </c>
      <c r="AC17" s="4"/>
      <c r="AD17" s="137"/>
      <c r="AG17" s="292"/>
      <c r="AK17" s="298"/>
      <c r="AL17" s="298"/>
    </row>
    <row r="18" spans="1:38" x14ac:dyDescent="0.3">
      <c r="A18" t="s">
        <v>167</v>
      </c>
      <c r="B18" s="262">
        <f>+B16</f>
        <v>36741</v>
      </c>
      <c r="G18" s="2">
        <f t="shared" si="8"/>
        <v>5.875</v>
      </c>
      <c r="H18" s="233">
        <f t="shared" si="9"/>
        <v>3950</v>
      </c>
      <c r="I18" s="314">
        <f t="shared" si="7"/>
        <v>23206.25</v>
      </c>
      <c r="J18" s="256">
        <v>37012</v>
      </c>
      <c r="K18" s="67">
        <f>IF(L18=0,0,+M18/L18)</f>
        <v>5.5100999999999996</v>
      </c>
      <c r="L18" s="3">
        <f>IF(J18&lt;O18+1,7900*0.5,0)</f>
        <v>3950</v>
      </c>
      <c r="M18" s="4">
        <f>(43212.34+1.45+316)*0.5</f>
        <v>21764.894999999997</v>
      </c>
      <c r="N18" s="67">
        <f>+N16</f>
        <v>3.9</v>
      </c>
      <c r="O18" s="256">
        <f>+Summary!$C$5</f>
        <v>37161</v>
      </c>
      <c r="P18" s="4">
        <f t="shared" si="1"/>
        <v>0</v>
      </c>
      <c r="Q18" s="4">
        <f t="shared" si="2"/>
        <v>-1441.36</v>
      </c>
      <c r="R18" s="282">
        <f t="shared" si="3"/>
        <v>-1441.36</v>
      </c>
      <c r="S18" s="4">
        <f t="shared" si="4"/>
        <v>-1441.36</v>
      </c>
      <c r="T18" s="4">
        <f>IF(Summary!$E$5&lt;'Daily Position'!B18,0,ROUND(+U18*(H18-IF(S18=0,0,L18)),2)+IF(S18=0,0,M18)-I18)</f>
        <v>-1441.3550000000032</v>
      </c>
      <c r="U18" s="2">
        <f>+U16</f>
        <v>3.7</v>
      </c>
      <c r="V18" s="2"/>
      <c r="W18" s="137"/>
      <c r="X18" s="210"/>
      <c r="Z18" s="4">
        <v>-1441.36</v>
      </c>
      <c r="AA18" s="5">
        <v>-1441.36</v>
      </c>
      <c r="AC18" s="4"/>
      <c r="AD18" s="137"/>
      <c r="AG18" s="292"/>
      <c r="AK18" s="298"/>
      <c r="AL18" s="298"/>
    </row>
    <row r="19" spans="1:38" x14ac:dyDescent="0.3">
      <c r="A19" t="s">
        <v>167</v>
      </c>
      <c r="B19" s="262">
        <f>+B17</f>
        <v>36741</v>
      </c>
      <c r="G19" s="2">
        <f t="shared" si="8"/>
        <v>5.875</v>
      </c>
      <c r="H19" s="233">
        <f t="shared" si="9"/>
        <v>2050</v>
      </c>
      <c r="I19" s="314">
        <f t="shared" si="7"/>
        <v>12043.75</v>
      </c>
      <c r="J19" s="256">
        <v>37013</v>
      </c>
      <c r="K19" s="67">
        <f>IF(L19=0,0,+M19/L19)</f>
        <v>5.6431999999999993</v>
      </c>
      <c r="L19" s="3">
        <f>IF(J19&lt;O19+1,4100*0.5,0)</f>
        <v>2050</v>
      </c>
      <c r="M19" s="4">
        <f>(22972.35+0.77+164)*0.5</f>
        <v>11568.56</v>
      </c>
      <c r="N19" s="67">
        <f>+N17</f>
        <v>3.9</v>
      </c>
      <c r="O19" s="256">
        <f>+Summary!$C$5</f>
        <v>37161</v>
      </c>
      <c r="P19" s="4">
        <f t="shared" si="1"/>
        <v>0</v>
      </c>
      <c r="Q19" s="4">
        <f t="shared" si="2"/>
        <v>-475.19</v>
      </c>
      <c r="R19" s="282">
        <f>+P19+Q19</f>
        <v>-475.19</v>
      </c>
      <c r="S19" s="4">
        <f t="shared" si="4"/>
        <v>-475.19</v>
      </c>
      <c r="T19" s="4">
        <f>IF(Summary!$E$5&lt;'Daily Position'!B19,0,ROUND(+U19*(H19-IF(S19=0,0,L19)),2)+IF(S19=0,0,M19)-I19)</f>
        <v>-475.19000000000051</v>
      </c>
      <c r="U19" s="2">
        <f>+U17</f>
        <v>3.7</v>
      </c>
      <c r="V19" s="2"/>
      <c r="W19" s="137"/>
      <c r="X19" s="210"/>
      <c r="Z19" s="4">
        <v>-475.19</v>
      </c>
      <c r="AA19" s="5">
        <v>-475.19</v>
      </c>
      <c r="AC19" s="4"/>
      <c r="AD19" s="137"/>
      <c r="AG19" s="292"/>
      <c r="AK19" s="298"/>
      <c r="AL19" s="298"/>
    </row>
    <row r="20" spans="1:38" x14ac:dyDescent="0.3">
      <c r="A20" t="s">
        <v>167</v>
      </c>
      <c r="B20" s="262">
        <f>+B18</f>
        <v>36741</v>
      </c>
      <c r="G20" s="2">
        <f t="shared" si="8"/>
        <v>5.875</v>
      </c>
      <c r="H20" s="233">
        <f t="shared" si="9"/>
        <v>3850</v>
      </c>
      <c r="I20" s="314">
        <f t="shared" si="7"/>
        <v>22618.75</v>
      </c>
      <c r="J20" s="256">
        <v>37018</v>
      </c>
      <c r="K20" s="67">
        <v>5.5712000000000002</v>
      </c>
      <c r="L20" s="3">
        <f>IF(J20&lt;O20+1,7700*0.5,0)</f>
        <v>3850</v>
      </c>
      <c r="M20" s="4">
        <f t="shared" ref="M20:M27" si="10">L20*K20</f>
        <v>21449.119999999999</v>
      </c>
      <c r="N20" s="67">
        <f>+N18</f>
        <v>3.9</v>
      </c>
      <c r="O20" s="256">
        <f>+Summary!$C$5</f>
        <v>37161</v>
      </c>
      <c r="P20" s="4">
        <f t="shared" si="1"/>
        <v>0</v>
      </c>
      <c r="Q20" s="4">
        <f t="shared" si="2"/>
        <v>-1169.6300000000001</v>
      </c>
      <c r="R20" s="282">
        <f t="shared" si="3"/>
        <v>-1169.6300000000001</v>
      </c>
      <c r="S20" s="4">
        <f t="shared" si="4"/>
        <v>-1169.6300000000001</v>
      </c>
      <c r="T20" s="4">
        <f>IF(Summary!$E$5&lt;'Daily Position'!B20,0,ROUND(+U20*(H20-IF(S20=0,0,L20)),2)+IF(S20=0,0,M20)-I20)</f>
        <v>-1169.630000000001</v>
      </c>
      <c r="U20" s="2">
        <f>+U18</f>
        <v>3.7</v>
      </c>
      <c r="V20" s="2"/>
      <c r="W20" s="137"/>
      <c r="X20" s="210"/>
      <c r="Z20" s="4">
        <v>-1169.6300000000001</v>
      </c>
      <c r="AA20" s="5">
        <v>-1169.6300000000001</v>
      </c>
      <c r="AC20" s="4"/>
      <c r="AD20" s="137"/>
      <c r="AG20" s="292"/>
      <c r="AK20" s="298"/>
      <c r="AL20" s="298"/>
    </row>
    <row r="21" spans="1:38" x14ac:dyDescent="0.3">
      <c r="A21" t="s">
        <v>167</v>
      </c>
      <c r="B21" s="262">
        <f>+B19</f>
        <v>36741</v>
      </c>
      <c r="G21" s="2">
        <f t="shared" si="8"/>
        <v>5.875</v>
      </c>
      <c r="H21" s="233">
        <f t="shared" si="9"/>
        <v>3600</v>
      </c>
      <c r="I21" s="314">
        <f t="shared" si="7"/>
        <v>21150</v>
      </c>
      <c r="J21" s="256">
        <v>37019</v>
      </c>
      <c r="K21" s="67">
        <v>5.6611000000000002</v>
      </c>
      <c r="L21" s="3">
        <f>IF(J21&lt;O21+1,7200*0.5,0)</f>
        <v>3600</v>
      </c>
      <c r="M21" s="4">
        <f t="shared" si="10"/>
        <v>20379.96</v>
      </c>
      <c r="N21" s="67">
        <f>+N19</f>
        <v>3.9</v>
      </c>
      <c r="O21" s="256">
        <f>+Summary!$C$5</f>
        <v>37161</v>
      </c>
      <c r="P21" s="4">
        <f t="shared" si="1"/>
        <v>0</v>
      </c>
      <c r="Q21" s="4">
        <f t="shared" si="2"/>
        <v>-770.04</v>
      </c>
      <c r="R21" s="282">
        <f t="shared" ref="R21:R27" si="11">+P21+Q21</f>
        <v>-770.04</v>
      </c>
      <c r="S21" s="4">
        <f t="shared" si="4"/>
        <v>-770.04</v>
      </c>
      <c r="T21" s="4">
        <f>IF(Summary!$E$5&lt;'Daily Position'!B21,0,ROUND(+U21*(H21-IF(S21=0,0,L21)),2)+IF(S21=0,0,M21)-I21)</f>
        <v>-770.04000000000087</v>
      </c>
      <c r="U21" s="2">
        <f>+U19</f>
        <v>3.7</v>
      </c>
      <c r="V21" s="2"/>
      <c r="W21" s="137"/>
      <c r="X21" s="210"/>
      <c r="Z21" s="4">
        <v>-770.04</v>
      </c>
      <c r="AA21" s="5">
        <v>-770.04</v>
      </c>
      <c r="AC21" s="4"/>
      <c r="AD21" s="137"/>
      <c r="AG21" s="292"/>
      <c r="AK21" s="298"/>
      <c r="AL21" s="298"/>
    </row>
    <row r="22" spans="1:38" x14ac:dyDescent="0.3">
      <c r="A22" t="s">
        <v>167</v>
      </c>
      <c r="B22" s="262">
        <f t="shared" ref="B22:B27" si="12">+B20</f>
        <v>36741</v>
      </c>
      <c r="G22" s="2">
        <f t="shared" si="8"/>
        <v>5.875</v>
      </c>
      <c r="H22" s="233">
        <f t="shared" si="9"/>
        <v>1500</v>
      </c>
      <c r="I22" s="314">
        <f t="shared" ref="I22:I27" si="13">ROUND(+G22*H22,2)</f>
        <v>8812.5</v>
      </c>
      <c r="J22" s="256">
        <v>37022</v>
      </c>
      <c r="K22" s="67">
        <v>5.55</v>
      </c>
      <c r="L22" s="3">
        <f>IF(J22&lt;O22+1,3000*0.5,0)</f>
        <v>1500</v>
      </c>
      <c r="M22" s="4">
        <f t="shared" si="10"/>
        <v>8325</v>
      </c>
      <c r="N22" s="67">
        <f t="shared" ref="N22:N27" si="14">+N20</f>
        <v>3.9</v>
      </c>
      <c r="O22" s="256">
        <f>+Summary!$C$5</f>
        <v>37161</v>
      </c>
      <c r="P22" s="4">
        <f t="shared" si="1"/>
        <v>0</v>
      </c>
      <c r="Q22" s="4">
        <f t="shared" si="2"/>
        <v>-487.5</v>
      </c>
      <c r="R22" s="282">
        <f t="shared" si="11"/>
        <v>-487.5</v>
      </c>
      <c r="S22" s="4">
        <f t="shared" ref="S22:S27" si="15">IF(J22&lt;O22,+Q22,0)</f>
        <v>-487.5</v>
      </c>
      <c r="T22" s="4">
        <f>IF(Summary!$E$5&lt;'Daily Position'!B22,0,ROUND(+U22*(H22-IF(S22=0,0,L22)),2)+IF(S22=0,0,M22)-I22)</f>
        <v>-487.5</v>
      </c>
      <c r="U22" s="2">
        <f t="shared" ref="U22:U27" si="16">+U20</f>
        <v>3.7</v>
      </c>
      <c r="V22" s="2"/>
      <c r="W22" s="137"/>
      <c r="X22" s="210"/>
      <c r="Z22" s="4">
        <v>-487.5</v>
      </c>
      <c r="AA22" s="5">
        <v>-487.5</v>
      </c>
      <c r="AC22" s="4"/>
      <c r="AD22" s="137"/>
      <c r="AG22" s="292"/>
      <c r="AK22" s="298"/>
      <c r="AL22" s="298"/>
    </row>
    <row r="23" spans="1:38" x14ac:dyDescent="0.3">
      <c r="A23" t="s">
        <v>167</v>
      </c>
      <c r="B23" s="262">
        <f t="shared" si="12"/>
        <v>36741</v>
      </c>
      <c r="G23" s="2">
        <f t="shared" si="8"/>
        <v>5.875</v>
      </c>
      <c r="H23" s="233">
        <f t="shared" si="9"/>
        <v>700</v>
      </c>
      <c r="I23" s="314">
        <f t="shared" si="13"/>
        <v>4112.5</v>
      </c>
      <c r="J23" s="256">
        <v>37028</v>
      </c>
      <c r="K23" s="67">
        <v>5.5121000000000002</v>
      </c>
      <c r="L23" s="3">
        <f>IF(J23&lt;O23+1,1400*0.5,0)</f>
        <v>700</v>
      </c>
      <c r="M23" s="4">
        <f t="shared" si="10"/>
        <v>3858.4700000000003</v>
      </c>
      <c r="N23" s="67">
        <f t="shared" si="14"/>
        <v>3.9</v>
      </c>
      <c r="O23" s="256">
        <f>+Summary!$C$5</f>
        <v>37161</v>
      </c>
      <c r="P23" s="4">
        <f t="shared" si="1"/>
        <v>0</v>
      </c>
      <c r="Q23" s="4">
        <f t="shared" si="2"/>
        <v>-254.03</v>
      </c>
      <c r="R23" s="282">
        <f t="shared" si="11"/>
        <v>-254.03</v>
      </c>
      <c r="S23" s="4">
        <f t="shared" si="15"/>
        <v>-254.03</v>
      </c>
      <c r="T23" s="4">
        <f>IF(Summary!$E$5&lt;'Daily Position'!B23,0,ROUND(+U23*(H23-IF(S23=0,0,L23)),2)+IF(S23=0,0,M23)-I23)</f>
        <v>-254.02999999999975</v>
      </c>
      <c r="U23" s="2">
        <f t="shared" si="16"/>
        <v>3.7</v>
      </c>
      <c r="V23" s="2"/>
      <c r="W23" s="137"/>
      <c r="X23" s="210"/>
      <c r="Z23" s="4">
        <v>-254.03</v>
      </c>
      <c r="AA23" s="5">
        <v>-254.03</v>
      </c>
      <c r="AC23" s="4"/>
      <c r="AD23" s="137"/>
      <c r="AG23" s="292"/>
      <c r="AK23" s="298"/>
      <c r="AL23" s="298"/>
    </row>
    <row r="24" spans="1:38" x14ac:dyDescent="0.3">
      <c r="A24" t="s">
        <v>167</v>
      </c>
      <c r="B24" s="262">
        <f t="shared" si="12"/>
        <v>36741</v>
      </c>
      <c r="G24" s="2">
        <f t="shared" si="8"/>
        <v>5.875</v>
      </c>
      <c r="H24" s="233">
        <f t="shared" si="9"/>
        <v>12925</v>
      </c>
      <c r="I24" s="314">
        <f t="shared" si="13"/>
        <v>75934.38</v>
      </c>
      <c r="J24" s="256">
        <v>37029</v>
      </c>
      <c r="K24" s="67">
        <v>5.6280999999999999</v>
      </c>
      <c r="L24" s="3">
        <f>IF(J24&lt;O24+1,25850*0.5,0)</f>
        <v>12925</v>
      </c>
      <c r="M24" s="4">
        <f t="shared" si="10"/>
        <v>72743.192500000005</v>
      </c>
      <c r="N24" s="67">
        <f t="shared" si="14"/>
        <v>3.9</v>
      </c>
      <c r="O24" s="256">
        <f>+Summary!$C$5</f>
        <v>37161</v>
      </c>
      <c r="P24" s="4">
        <f t="shared" si="1"/>
        <v>0</v>
      </c>
      <c r="Q24" s="4">
        <f t="shared" si="2"/>
        <v>-3191.18</v>
      </c>
      <c r="R24" s="282">
        <f t="shared" si="11"/>
        <v>-3191.18</v>
      </c>
      <c r="S24" s="4">
        <f t="shared" si="15"/>
        <v>-3191.18</v>
      </c>
      <c r="T24" s="4">
        <f>IF(Summary!$E$5&lt;'Daily Position'!B24,0,ROUND(+U24*(H24-IF(S24=0,0,L24)),2)+IF(S24=0,0,M24)-I24)</f>
        <v>-3191.1875</v>
      </c>
      <c r="U24" s="2">
        <f t="shared" si="16"/>
        <v>3.7</v>
      </c>
      <c r="V24" s="2"/>
      <c r="W24" s="137"/>
      <c r="X24" s="210"/>
      <c r="Z24" s="4">
        <v>-3191.18</v>
      </c>
      <c r="AA24" s="5">
        <v>-3191.18</v>
      </c>
      <c r="AC24" s="4"/>
      <c r="AD24" s="137"/>
      <c r="AG24" s="292"/>
      <c r="AK24" s="298"/>
      <c r="AL24" s="298"/>
    </row>
    <row r="25" spans="1:38" x14ac:dyDescent="0.3">
      <c r="A25" t="s">
        <v>167</v>
      </c>
      <c r="B25" s="262">
        <f t="shared" si="12"/>
        <v>36741</v>
      </c>
      <c r="G25" s="2">
        <f t="shared" si="8"/>
        <v>5.875</v>
      </c>
      <c r="H25" s="233">
        <f t="shared" si="9"/>
        <v>5950</v>
      </c>
      <c r="I25" s="314">
        <f t="shared" si="13"/>
        <v>34956.25</v>
      </c>
      <c r="J25" s="256">
        <v>37032</v>
      </c>
      <c r="K25" s="67">
        <v>5.5795599999999999</v>
      </c>
      <c r="L25" s="3">
        <f>IF(J25&lt;O25+1,11900*0.5,0)</f>
        <v>5950</v>
      </c>
      <c r="M25" s="4">
        <f t="shared" si="10"/>
        <v>33198.381999999998</v>
      </c>
      <c r="N25" s="67">
        <f t="shared" si="14"/>
        <v>3.9</v>
      </c>
      <c r="O25" s="256">
        <f>+Summary!$C$5</f>
        <v>37161</v>
      </c>
      <c r="P25" s="4">
        <f t="shared" si="1"/>
        <v>0</v>
      </c>
      <c r="Q25" s="4">
        <f t="shared" si="2"/>
        <v>-1757.87</v>
      </c>
      <c r="R25" s="282">
        <f t="shared" si="11"/>
        <v>-1757.87</v>
      </c>
      <c r="S25" s="4">
        <f t="shared" si="15"/>
        <v>-1757.87</v>
      </c>
      <c r="T25" s="4">
        <f>IF(Summary!$E$5&lt;'Daily Position'!B25,0,ROUND(+U25*(H25-IF(S25=0,0,L25)),2)+IF(S25=0,0,M25)-I25)</f>
        <v>-1757.8680000000022</v>
      </c>
      <c r="U25" s="2">
        <f t="shared" si="16"/>
        <v>3.7</v>
      </c>
      <c r="V25" s="2"/>
      <c r="W25" s="137"/>
      <c r="X25" s="210"/>
      <c r="Z25" s="4">
        <v>-1757.87</v>
      </c>
      <c r="AA25" s="5">
        <v>-1757.87</v>
      </c>
      <c r="AC25" s="4"/>
      <c r="AD25" s="137"/>
      <c r="AG25" s="292"/>
      <c r="AK25" s="298"/>
      <c r="AL25" s="298"/>
    </row>
    <row r="26" spans="1:38" x14ac:dyDescent="0.3">
      <c r="A26" t="s">
        <v>167</v>
      </c>
      <c r="B26" s="262">
        <f t="shared" si="12"/>
        <v>36741</v>
      </c>
      <c r="G26" s="2">
        <f t="shared" si="8"/>
        <v>5.875</v>
      </c>
      <c r="H26" s="233">
        <f t="shared" si="9"/>
        <v>18500</v>
      </c>
      <c r="I26" s="314">
        <f t="shared" si="13"/>
        <v>108687.5</v>
      </c>
      <c r="J26" s="256">
        <v>37033</v>
      </c>
      <c r="K26" s="67">
        <v>5.5511999999999997</v>
      </c>
      <c r="L26" s="3">
        <f>IF(J26&lt;O26+1,37000*0.5,0)</f>
        <v>18500</v>
      </c>
      <c r="M26" s="4">
        <f t="shared" si="10"/>
        <v>102697.2</v>
      </c>
      <c r="N26" s="67">
        <f t="shared" si="14"/>
        <v>3.9</v>
      </c>
      <c r="O26" s="256">
        <f>+Summary!$C$5</f>
        <v>37161</v>
      </c>
      <c r="P26" s="4">
        <f t="shared" si="1"/>
        <v>0</v>
      </c>
      <c r="Q26" s="4">
        <f t="shared" si="2"/>
        <v>-5990.3</v>
      </c>
      <c r="R26" s="282">
        <f t="shared" si="11"/>
        <v>-5990.3</v>
      </c>
      <c r="S26" s="4">
        <f t="shared" si="15"/>
        <v>-5990.3</v>
      </c>
      <c r="T26" s="4">
        <f>IF(Summary!$E$5&lt;'Daily Position'!B26,0,ROUND(+U26*(H26-IF(S26=0,0,L26)),2)+IF(S26=0,0,M26)-I26)</f>
        <v>-5990.3000000000029</v>
      </c>
      <c r="U26" s="2">
        <f t="shared" si="16"/>
        <v>3.7</v>
      </c>
      <c r="V26" s="2"/>
      <c r="W26" s="137"/>
      <c r="X26" s="210"/>
      <c r="Z26" s="4">
        <v>-5990.3</v>
      </c>
      <c r="AA26" s="5">
        <v>-5990.3</v>
      </c>
      <c r="AC26" s="4"/>
      <c r="AD26" s="137"/>
      <c r="AG26" s="292"/>
      <c r="AK26" s="298"/>
      <c r="AL26" s="298"/>
    </row>
    <row r="27" spans="1:38" x14ac:dyDescent="0.3">
      <c r="A27" t="s">
        <v>167</v>
      </c>
      <c r="B27" s="262">
        <f t="shared" si="12"/>
        <v>36741</v>
      </c>
      <c r="G27" s="2">
        <f t="shared" si="8"/>
        <v>5.875</v>
      </c>
      <c r="H27" s="233">
        <f t="shared" si="9"/>
        <v>1366</v>
      </c>
      <c r="I27" s="314">
        <f t="shared" si="13"/>
        <v>8025.25</v>
      </c>
      <c r="J27" s="256">
        <v>37034</v>
      </c>
      <c r="K27" s="67">
        <v>5.5296000000000003</v>
      </c>
      <c r="L27" s="3">
        <f>IF(J27&lt;O27+1,2732*0.5,0)</f>
        <v>1366</v>
      </c>
      <c r="M27" s="4">
        <f t="shared" si="10"/>
        <v>7553.4336000000003</v>
      </c>
      <c r="N27" s="67">
        <f t="shared" si="14"/>
        <v>3.9</v>
      </c>
      <c r="O27" s="256">
        <f>+Summary!$C$5</f>
        <v>37161</v>
      </c>
      <c r="P27" s="4">
        <f t="shared" si="1"/>
        <v>0</v>
      </c>
      <c r="Q27" s="4">
        <f t="shared" si="2"/>
        <v>-471.82</v>
      </c>
      <c r="R27" s="282">
        <f t="shared" si="11"/>
        <v>-471.82</v>
      </c>
      <c r="S27" s="4">
        <f t="shared" si="15"/>
        <v>-471.82</v>
      </c>
      <c r="T27" s="4">
        <f>IF(Summary!$E$5&lt;'Daily Position'!B27,0,ROUND(+U27*(H27-IF(S27=0,0,L27)),2)+IF(S27=0,0,M27)-I27)</f>
        <v>-471.8163999999997</v>
      </c>
      <c r="U27" s="2">
        <f t="shared" si="16"/>
        <v>3.7</v>
      </c>
      <c r="V27" s="2"/>
      <c r="W27" s="137"/>
      <c r="X27" s="210"/>
      <c r="Z27" s="4">
        <v>-471.82</v>
      </c>
      <c r="AA27" s="5">
        <v>-471.82</v>
      </c>
      <c r="AC27" s="4"/>
      <c r="AD27" s="137"/>
      <c r="AG27" s="292"/>
      <c r="AK27" s="298"/>
      <c r="AL27" s="298"/>
    </row>
    <row r="28" spans="1:38" x14ac:dyDescent="0.3">
      <c r="A28" t="s">
        <v>379</v>
      </c>
      <c r="B28" s="262">
        <v>36741</v>
      </c>
      <c r="C28" s="262">
        <v>37836</v>
      </c>
      <c r="D28" s="75" t="s">
        <v>17</v>
      </c>
      <c r="E28" s="4">
        <v>0</v>
      </c>
      <c r="F28" s="75" t="s">
        <v>18</v>
      </c>
      <c r="G28" s="2">
        <v>1.6839500000000001</v>
      </c>
      <c r="H28" s="3">
        <v>735000</v>
      </c>
      <c r="I28" s="314">
        <f t="shared" si="7"/>
        <v>1237703.25</v>
      </c>
      <c r="J28" s="256">
        <v>36839</v>
      </c>
      <c r="K28" s="67">
        <v>1.93798449612403</v>
      </c>
      <c r="L28" s="3">
        <f>IF(J28&lt;O28+1,+H28,0)</f>
        <v>735000</v>
      </c>
      <c r="M28" s="4">
        <f>+K28*L28</f>
        <v>1424418.6046511622</v>
      </c>
      <c r="N28" s="67">
        <f>VLOOKUP(+O28,StkPrices,+'Stock Prices'!E$2)</f>
        <v>0</v>
      </c>
      <c r="O28" s="256">
        <f>+Summary!$C$5</f>
        <v>37161</v>
      </c>
      <c r="P28" s="4">
        <f t="shared" si="1"/>
        <v>0</v>
      </c>
      <c r="Q28" s="4">
        <f t="shared" si="2"/>
        <v>186715.35</v>
      </c>
      <c r="R28" s="282">
        <f t="shared" si="3"/>
        <v>186715.35</v>
      </c>
      <c r="S28" s="4">
        <f t="shared" si="4"/>
        <v>186715.35</v>
      </c>
      <c r="T28" s="4">
        <f>IF(Summary!$E$5&lt;'Daily Position'!B28,0,ROUND(+U28*(H28-IF(S28=0,0,L28)),2)+IF(S28=0,0,M28)-I28)</f>
        <v>186715.35465116217</v>
      </c>
      <c r="U28" s="2">
        <f>IF(X28&gt;O16,+VLOOKUP(+Summary!$E$5,StkPrices,'Stock Prices'!E2),+'Stock Prices'!E76)</f>
        <v>1.9379844961240309</v>
      </c>
      <c r="V28" s="2"/>
      <c r="W28" s="137"/>
      <c r="X28" s="266"/>
      <c r="Z28" s="4">
        <v>186715.35</v>
      </c>
      <c r="AA28" s="5">
        <v>186715.35</v>
      </c>
      <c r="AB28" s="4">
        <f>+Q28-Z28</f>
        <v>0</v>
      </c>
      <c r="AC28" s="4">
        <f>ROUND(+R28-AA28,2)</f>
        <v>0</v>
      </c>
      <c r="AD28" s="137"/>
      <c r="AG28" s="292">
        <f>+N28*(H28-L28)</f>
        <v>0</v>
      </c>
      <c r="AK28" s="298"/>
      <c r="AL28" s="298"/>
    </row>
    <row r="29" spans="1:38" x14ac:dyDescent="0.3">
      <c r="A29" t="s">
        <v>449</v>
      </c>
      <c r="B29" s="262">
        <v>36741</v>
      </c>
      <c r="C29" s="262">
        <v>37836</v>
      </c>
      <c r="D29" s="75" t="s">
        <v>17</v>
      </c>
      <c r="E29" s="4">
        <v>0</v>
      </c>
      <c r="F29" s="75" t="s">
        <v>18</v>
      </c>
      <c r="G29" s="2">
        <f>IF(X29&lt;Summary!C5,0.09/(16891/2634952),0.09)</f>
        <v>14.039765555621337</v>
      </c>
      <c r="H29" s="3">
        <f>IF(X29&lt;Summary!C5,1580971.2*(16891/2634952),1580971.2)</f>
        <v>10134.6</v>
      </c>
      <c r="I29" s="314">
        <f t="shared" si="7"/>
        <v>142287.41</v>
      </c>
      <c r="J29" s="256">
        <v>36980</v>
      </c>
      <c r="K29" s="67">
        <f>IF(L29=0,0,+M29/L29)</f>
        <v>7.9992599609259365</v>
      </c>
      <c r="L29" s="3">
        <f>IF(J29&lt;O29+1,+H29,0)</f>
        <v>10134.6</v>
      </c>
      <c r="M29" s="4">
        <f>135115.5*0.6</f>
        <v>81069.3</v>
      </c>
      <c r="N29" s="67">
        <f>VLOOKUP(+O29,StkPrices,+'Stock Prices'!F$2)</f>
        <v>5.4</v>
      </c>
      <c r="O29" s="256">
        <f>+Summary!$C$5</f>
        <v>37161</v>
      </c>
      <c r="P29" s="4">
        <f t="shared" si="1"/>
        <v>0</v>
      </c>
      <c r="Q29" s="4">
        <f t="shared" si="2"/>
        <v>-61218.11</v>
      </c>
      <c r="R29" s="282">
        <f t="shared" si="3"/>
        <v>-61218.11</v>
      </c>
      <c r="S29" s="4">
        <f t="shared" si="4"/>
        <v>-61218.11</v>
      </c>
      <c r="T29" s="4">
        <f>IF(Summary!$E$5&lt;'Daily Position'!B29,0,ROUND(+U29*(H29-IF(S29=0,0,L29)),2)+IF(S29=0,0,M29)-I29)</f>
        <v>-61218.11</v>
      </c>
      <c r="U29" s="2">
        <f>IF(O29=(X29+1),+'Stock Prices'!F65/(229391/12234952),+VLOOKUP(+Summary!$E$5,StkPrices,'Stock Prices'!F2))</f>
        <v>5.25</v>
      </c>
      <c r="V29" s="2"/>
      <c r="W29" s="137">
        <f>+N29*(H29+H30-L29-L30)-'MPR Raptor'!U53</f>
        <v>0</v>
      </c>
      <c r="X29" s="266">
        <v>36824</v>
      </c>
      <c r="Y29" s="3" t="s">
        <v>448</v>
      </c>
      <c r="Z29" s="4">
        <v>-61218.11</v>
      </c>
      <c r="AA29" s="5">
        <v>-61218.11</v>
      </c>
      <c r="AB29" s="4">
        <f>+Q29-Z29</f>
        <v>0</v>
      </c>
      <c r="AC29" s="4">
        <f>ROUND(+R29-AA29,2)</f>
        <v>0</v>
      </c>
      <c r="AD29" s="137">
        <f>-AC29+'MPR Raptor'!AH53</f>
        <v>0</v>
      </c>
      <c r="AG29" s="292">
        <f>+N29*(H29-L29)</f>
        <v>0</v>
      </c>
      <c r="AK29" s="298"/>
      <c r="AL29" s="298"/>
    </row>
    <row r="30" spans="1:38" x14ac:dyDescent="0.3">
      <c r="A30" t="s">
        <v>450</v>
      </c>
      <c r="B30" s="262">
        <v>36741</v>
      </c>
      <c r="C30" s="262">
        <v>37836</v>
      </c>
      <c r="D30" s="75" t="s">
        <v>17</v>
      </c>
      <c r="E30" s="4">
        <v>0</v>
      </c>
      <c r="F30" s="75" t="s">
        <v>18</v>
      </c>
      <c r="G30" s="2">
        <f>IF(X29&lt;Summary!C5,0.09/(212500/9600000),0.09)</f>
        <v>4.0658823529411761</v>
      </c>
      <c r="H30" s="3">
        <f>IF(X29&lt;Summary!C5,5760000*(212500/9600000),5760000)</f>
        <v>127500</v>
      </c>
      <c r="I30" s="314">
        <f t="shared" si="7"/>
        <v>518400</v>
      </c>
      <c r="J30" s="256">
        <v>36874</v>
      </c>
      <c r="K30" s="67">
        <f>IF(L30=0,0,+M30/L30)</f>
        <v>6.9997647058823533</v>
      </c>
      <c r="L30" s="3">
        <f>IF(J30&lt;O30+1,+H30,0)</f>
        <v>127500</v>
      </c>
      <c r="M30" s="4">
        <v>892470</v>
      </c>
      <c r="N30" s="67">
        <f>VLOOKUP(+O30,StkPrices,+'Stock Prices'!F$2)</f>
        <v>5.4</v>
      </c>
      <c r="O30" s="256">
        <f>+Summary!$C$5</f>
        <v>37161</v>
      </c>
      <c r="P30" s="4">
        <f t="shared" si="1"/>
        <v>0</v>
      </c>
      <c r="Q30" s="4">
        <f t="shared" si="2"/>
        <v>374070</v>
      </c>
      <c r="R30" s="282">
        <f t="shared" si="3"/>
        <v>374070</v>
      </c>
      <c r="S30" s="4">
        <f t="shared" si="4"/>
        <v>374070</v>
      </c>
      <c r="T30" s="4">
        <f>IF(Summary!$E$5&lt;'Daily Position'!B30,0,ROUND(+U30*(H30-IF(S30=0,0,L30)),2)+IF(S30=0,0,M30)-I30)</f>
        <v>374070</v>
      </c>
      <c r="U30" s="2">
        <f>IF(O30=(X30+1),+'Stock Prices'!F66/(229391/12234952),+VLOOKUP(+Summary!$E$5,StkPrices,'Stock Prices'!F2))</f>
        <v>5.25</v>
      </c>
      <c r="V30" s="2"/>
      <c r="W30" s="137"/>
      <c r="X30" s="266">
        <v>36824</v>
      </c>
      <c r="Y30" s="3" t="s">
        <v>448</v>
      </c>
      <c r="Z30" s="4">
        <v>374070</v>
      </c>
      <c r="AA30" s="5">
        <v>374070</v>
      </c>
      <c r="AB30" s="4">
        <f>+Q30-Z30</f>
        <v>0</v>
      </c>
      <c r="AC30" s="4">
        <f>ROUND(+R30-AA30,2)</f>
        <v>0</v>
      </c>
      <c r="AD30" s="137"/>
      <c r="AG30" s="292">
        <f>+N30*(H30-L30)</f>
        <v>0</v>
      </c>
      <c r="AK30" s="298"/>
      <c r="AL30" s="298"/>
    </row>
    <row r="31" spans="1:38" x14ac:dyDescent="0.3">
      <c r="A31" t="s">
        <v>168</v>
      </c>
      <c r="B31" s="262">
        <v>36741</v>
      </c>
      <c r="C31" s="262">
        <v>37836</v>
      </c>
      <c r="D31" s="75" t="s">
        <v>17</v>
      </c>
      <c r="E31" s="4">
        <v>0</v>
      </c>
      <c r="F31" s="75" t="s">
        <v>18</v>
      </c>
      <c r="G31" s="2">
        <v>7.625</v>
      </c>
      <c r="H31" s="3">
        <v>804243</v>
      </c>
      <c r="I31" s="314">
        <f t="shared" si="7"/>
        <v>6132352.8799999999</v>
      </c>
      <c r="J31" s="256">
        <v>36868</v>
      </c>
      <c r="K31" s="67">
        <f>IF(L31=0,0,+M31/L31)</f>
        <v>6.7199995523740954</v>
      </c>
      <c r="L31" s="3">
        <f>IF(J31&lt;O31+1,+H31,0)</f>
        <v>804243</v>
      </c>
      <c r="M31" s="4">
        <v>5404512.5999999996</v>
      </c>
      <c r="N31" s="67">
        <f>VLOOKUP(+O31,StkPrices,+'Stock Prices'!K$2)</f>
        <v>0</v>
      </c>
      <c r="O31" s="256">
        <f>+Summary!$C$5</f>
        <v>37161</v>
      </c>
      <c r="P31" s="4">
        <f t="shared" si="1"/>
        <v>0</v>
      </c>
      <c r="Q31" s="4">
        <f t="shared" si="2"/>
        <v>-727840.28</v>
      </c>
      <c r="R31" s="282">
        <f t="shared" si="3"/>
        <v>-727840.28</v>
      </c>
      <c r="S31" s="4">
        <f t="shared" si="4"/>
        <v>-727840.28</v>
      </c>
      <c r="T31" s="4">
        <f>IF(Summary!$E$5&lt;'Daily Position'!B31,0,ROUND(+U31*(H31-IF(S31=0,0,L31)),2)+IF(S31=0,0,M31)-I31)</f>
        <v>-727840.28000000026</v>
      </c>
      <c r="U31" s="2">
        <f>+VLOOKUP(+Summary!$E$5,StkPrices,+'Stock Prices'!K$2)</f>
        <v>0</v>
      </c>
      <c r="V31" s="2"/>
      <c r="W31" s="137"/>
      <c r="X31" s="266"/>
      <c r="Z31" s="4">
        <v>-727840.28</v>
      </c>
      <c r="AA31" s="5">
        <v>-727840.28</v>
      </c>
      <c r="AB31" s="4">
        <f>+Q31-Z31</f>
        <v>0</v>
      </c>
      <c r="AC31" s="4">
        <f>ROUND(+R31-AA31,2)</f>
        <v>0</v>
      </c>
      <c r="AD31" s="137"/>
      <c r="AG31" s="292">
        <f>+N31*(H31-L31)</f>
        <v>0</v>
      </c>
      <c r="AK31" s="298"/>
      <c r="AL31" s="298"/>
    </row>
    <row r="32" spans="1:38" x14ac:dyDescent="0.3">
      <c r="I32" s="314"/>
      <c r="N32" s="2"/>
      <c r="P32" s="4"/>
      <c r="Q32" s="4"/>
      <c r="R32" s="282"/>
      <c r="T32" s="4"/>
      <c r="U32" s="4"/>
      <c r="V32" s="4"/>
      <c r="AA32" s="5"/>
      <c r="AC32" s="4"/>
      <c r="AG32" s="292"/>
      <c r="AK32" s="298"/>
      <c r="AL32" s="298"/>
    </row>
    <row r="33" spans="1:38" x14ac:dyDescent="0.3">
      <c r="A33" s="132" t="s">
        <v>177</v>
      </c>
      <c r="I33" s="314"/>
      <c r="N33" s="2"/>
      <c r="P33" s="4"/>
      <c r="Q33" s="4"/>
      <c r="R33" s="282"/>
      <c r="T33" s="4"/>
      <c r="U33" s="4"/>
      <c r="V33" s="4"/>
      <c r="AA33" s="5"/>
      <c r="AC33" s="4"/>
      <c r="AG33" s="293"/>
      <c r="AK33" s="298"/>
      <c r="AL33" s="298"/>
    </row>
    <row r="34" spans="1:38" x14ac:dyDescent="0.3">
      <c r="A34" s="211" t="s">
        <v>414</v>
      </c>
      <c r="B34" s="262">
        <v>36741</v>
      </c>
      <c r="C34" s="262">
        <v>37836</v>
      </c>
      <c r="D34" s="75" t="s">
        <v>17</v>
      </c>
      <c r="E34" s="4">
        <v>0</v>
      </c>
      <c r="F34" s="75" t="s">
        <v>18</v>
      </c>
      <c r="I34" s="314">
        <v>1250000</v>
      </c>
      <c r="N34" s="284">
        <f>VLOOKUP(+O34,Privates,V34)</f>
        <v>1250000</v>
      </c>
      <c r="O34" s="256">
        <f>+Summary!$C$5</f>
        <v>37161</v>
      </c>
      <c r="P34" s="4">
        <f>IF(O34&lt;B34,0,(+N34-I34-Q34))</f>
        <v>0</v>
      </c>
      <c r="Q34" s="4">
        <v>0</v>
      </c>
      <c r="R34" s="282">
        <f>+P34+Q34</f>
        <v>0</v>
      </c>
      <c r="S34" s="4">
        <v>0</v>
      </c>
      <c r="T34" s="4">
        <f t="shared" ref="T34:T66" si="17">+U34-I34</f>
        <v>0</v>
      </c>
      <c r="U34" s="4">
        <f>VLOOKUP(+Summary!$E$5,Privates,V34)</f>
        <v>1250000</v>
      </c>
      <c r="V34" s="228">
        <v>2</v>
      </c>
      <c r="W34" s="137">
        <f>+N34+'Private Cash'!B378-'MPR Raptor'!U40</f>
        <v>0</v>
      </c>
      <c r="Z34" s="4">
        <v>0</v>
      </c>
      <c r="AA34" s="5">
        <v>0</v>
      </c>
      <c r="AB34" s="4">
        <f>+Q34-Z34</f>
        <v>0</v>
      </c>
      <c r="AC34" s="4">
        <f>ROUND(+R34-AA34,2)</f>
        <v>0</v>
      </c>
      <c r="AD34" s="321">
        <f>-AC34+'MPR Raptor'!AH40</f>
        <v>0</v>
      </c>
      <c r="AG34" s="293"/>
      <c r="AK34" s="298"/>
      <c r="AL34" s="298"/>
    </row>
    <row r="35" spans="1:38" x14ac:dyDescent="0.3">
      <c r="A35" s="134" t="s">
        <v>214</v>
      </c>
      <c r="B35" s="262">
        <v>36741</v>
      </c>
      <c r="C35" s="262">
        <v>37836</v>
      </c>
      <c r="D35" s="75" t="s">
        <v>17</v>
      </c>
      <c r="E35" s="4">
        <v>0</v>
      </c>
      <c r="F35" s="75" t="s">
        <v>18</v>
      </c>
      <c r="I35" s="314">
        <v>4563600</v>
      </c>
      <c r="N35" s="284">
        <f t="shared" ref="N35:N64" si="18">VLOOKUP(+O35,Privates,V35)</f>
        <v>1209030.26</v>
      </c>
      <c r="O35" s="256">
        <f>+Summary!$C$5</f>
        <v>37161</v>
      </c>
      <c r="P35" s="4">
        <f>IF(O35&lt;B35,0,(+N35-I35-Q35))</f>
        <v>-3354569.74</v>
      </c>
      <c r="Q35" s="4">
        <v>0</v>
      </c>
      <c r="R35" s="282">
        <f t="shared" ref="R35:R64" si="19">+P35+Q35</f>
        <v>-3354569.74</v>
      </c>
      <c r="S35" s="4">
        <v>0</v>
      </c>
      <c r="T35" s="4">
        <f t="shared" si="17"/>
        <v>-3354569.74</v>
      </c>
      <c r="U35" s="4">
        <f>VLOOKUP(+Summary!$E$5,Privates,V35)</f>
        <v>1209030.26</v>
      </c>
      <c r="V35" s="228">
        <f>+V34+1</f>
        <v>3</v>
      </c>
      <c r="W35" s="137">
        <f>+N35+'Private Cash'!C378-'MPR Raptor'!U10</f>
        <v>0</v>
      </c>
      <c r="Z35" s="4">
        <v>0</v>
      </c>
      <c r="AA35" s="5">
        <v>-3354569.74</v>
      </c>
      <c r="AB35" s="4">
        <f t="shared" ref="AB35:AB65" si="20">+Q35-Z35</f>
        <v>0</v>
      </c>
      <c r="AC35" s="4">
        <f t="shared" ref="AC35:AC65" si="21">ROUND(+R35-AA35,2)</f>
        <v>0</v>
      </c>
      <c r="AD35" s="321">
        <f>-AC35+'MPR Raptor'!AH10</f>
        <v>0</v>
      </c>
      <c r="AG35" s="293"/>
      <c r="AK35" s="298"/>
      <c r="AL35" s="298"/>
    </row>
    <row r="36" spans="1:38" x14ac:dyDescent="0.3">
      <c r="A36" s="134" t="s">
        <v>389</v>
      </c>
      <c r="B36" s="262">
        <v>36741</v>
      </c>
      <c r="C36" s="262">
        <v>37836</v>
      </c>
      <c r="D36" s="75" t="s">
        <v>17</v>
      </c>
      <c r="E36" s="4">
        <v>0</v>
      </c>
      <c r="F36" s="75" t="s">
        <v>18</v>
      </c>
      <c r="I36" s="314">
        <v>2136334</v>
      </c>
      <c r="J36" s="256"/>
      <c r="K36" s="67"/>
      <c r="L36" s="3"/>
      <c r="N36" s="284">
        <f t="shared" si="18"/>
        <v>950000</v>
      </c>
      <c r="O36" s="256">
        <f>+Summary!$C$5</f>
        <v>37161</v>
      </c>
      <c r="P36" s="4">
        <f>IF(O36&lt;B36,0,(+N36-I36-Q36))</f>
        <v>-1186334</v>
      </c>
      <c r="Q36" s="4">
        <v>0</v>
      </c>
      <c r="R36" s="282">
        <f>+P36+Q36</f>
        <v>-1186334</v>
      </c>
      <c r="S36" s="4">
        <v>0</v>
      </c>
      <c r="T36" s="4">
        <f t="shared" si="17"/>
        <v>-236334</v>
      </c>
      <c r="U36" s="4">
        <f>VLOOKUP(+Summary!$E$5,Privates,V36)-'Private Cash'!D378</f>
        <v>1900000</v>
      </c>
      <c r="V36" s="228">
        <f t="shared" ref="V36:V65" si="22">+V35+1</f>
        <v>4</v>
      </c>
      <c r="W36" s="137">
        <f>+N36+'Private Cash'!D378-'MPR Raptor'!U46-'MPR Raptor'!U43</f>
        <v>0</v>
      </c>
      <c r="Z36" s="4">
        <v>0</v>
      </c>
      <c r="AA36" s="5">
        <v>-1366089.5</v>
      </c>
      <c r="AB36" s="4">
        <f t="shared" si="20"/>
        <v>0</v>
      </c>
      <c r="AC36" s="4">
        <f t="shared" si="21"/>
        <v>179755.5</v>
      </c>
      <c r="AD36" s="321">
        <f>-AC36+'MPR Raptor'!AH43+'MPR Raptor'!AH44</f>
        <v>0</v>
      </c>
      <c r="AG36" s="293"/>
      <c r="AK36" s="298"/>
      <c r="AL36" s="298"/>
    </row>
    <row r="37" spans="1:38" x14ac:dyDescent="0.3">
      <c r="A37" s="134" t="s">
        <v>215</v>
      </c>
      <c r="B37" s="262">
        <v>36741</v>
      </c>
      <c r="C37" s="262">
        <v>37836</v>
      </c>
      <c r="D37" s="75" t="s">
        <v>17</v>
      </c>
      <c r="E37" s="4">
        <v>0</v>
      </c>
      <c r="F37" s="75" t="s">
        <v>18</v>
      </c>
      <c r="I37" s="314">
        <v>429975</v>
      </c>
      <c r="J37" s="256">
        <v>36888</v>
      </c>
      <c r="K37" s="67" t="s">
        <v>446</v>
      </c>
      <c r="L37" s="3"/>
      <c r="M37" s="4">
        <v>372147.13</v>
      </c>
      <c r="N37" s="284">
        <f t="shared" si="18"/>
        <v>0</v>
      </c>
      <c r="O37" s="256">
        <f>+Summary!$C$5</f>
        <v>37161</v>
      </c>
      <c r="P37" s="4">
        <f>IF(O37&lt;B37,0,IF(O37+1&gt;J37,0,(+N37-I37-Q37)))</f>
        <v>0</v>
      </c>
      <c r="Q37" s="4">
        <f>IF(O37+1&gt;J37,+M37-I37,0)</f>
        <v>-57827.869999999995</v>
      </c>
      <c r="R37" s="282">
        <f t="shared" si="19"/>
        <v>-57827.869999999995</v>
      </c>
      <c r="S37" s="4">
        <f>IF(O37&gt;J37,+Q37,0)</f>
        <v>-57827.869999999995</v>
      </c>
      <c r="T37" s="4">
        <f t="shared" si="17"/>
        <v>-57827.869999999995</v>
      </c>
      <c r="U37" s="4">
        <f>VLOOKUP(+Summary!$E$5,Privates,V37)-'Private Cash'!E378</f>
        <v>372147.13</v>
      </c>
      <c r="V37" s="228">
        <f t="shared" si="22"/>
        <v>5</v>
      </c>
      <c r="W37" s="137"/>
      <c r="Z37" s="4">
        <v>-57827.87</v>
      </c>
      <c r="AA37" s="5">
        <v>-57827.87</v>
      </c>
      <c r="AB37" s="4">
        <f t="shared" si="20"/>
        <v>0</v>
      </c>
      <c r="AC37" s="4">
        <f t="shared" si="21"/>
        <v>0</v>
      </c>
      <c r="AD37" s="137"/>
      <c r="AG37" s="293"/>
      <c r="AK37" s="298"/>
      <c r="AL37" s="298"/>
    </row>
    <row r="38" spans="1:38" x14ac:dyDescent="0.3">
      <c r="A38" s="134" t="s">
        <v>216</v>
      </c>
      <c r="B38" s="262">
        <v>36741</v>
      </c>
      <c r="C38" s="262">
        <v>37836</v>
      </c>
      <c r="D38" s="75" t="s">
        <v>17</v>
      </c>
      <c r="E38" s="4">
        <v>0</v>
      </c>
      <c r="F38" s="75" t="s">
        <v>18</v>
      </c>
      <c r="I38" s="314">
        <f>12500000</f>
        <v>12500000</v>
      </c>
      <c r="J38" s="256">
        <v>36831</v>
      </c>
      <c r="K38" s="67" t="s">
        <v>446</v>
      </c>
      <c r="L38" s="3"/>
      <c r="M38" s="4">
        <f>12500000+65507.43+3.57</f>
        <v>12565511</v>
      </c>
      <c r="N38" s="284">
        <f t="shared" si="18"/>
        <v>0</v>
      </c>
      <c r="O38" s="256">
        <f>+Summary!$C$5</f>
        <v>37161</v>
      </c>
      <c r="P38" s="4">
        <f>IF(O38&lt;B38,0,IF(O38+1&gt;J38,0,(+N38-I38-Q38)))</f>
        <v>0</v>
      </c>
      <c r="Q38" s="4">
        <f>IF(O38+1&gt;J38,+M38-I38,0)</f>
        <v>65511</v>
      </c>
      <c r="R38" s="282">
        <f t="shared" si="19"/>
        <v>65511</v>
      </c>
      <c r="S38" s="4">
        <f>IF(O38&gt;J38,+Q38,0)</f>
        <v>65511</v>
      </c>
      <c r="T38" s="4">
        <f t="shared" si="17"/>
        <v>65511</v>
      </c>
      <c r="U38" s="4">
        <f>VLOOKUP(+Summary!$E$5,Privates,V38)-'Private Cash'!F378</f>
        <v>12565511</v>
      </c>
      <c r="V38" s="228">
        <f t="shared" si="22"/>
        <v>6</v>
      </c>
      <c r="W38" s="137"/>
      <c r="X38" s="1"/>
      <c r="Z38" s="4">
        <v>65511</v>
      </c>
      <c r="AA38" s="5">
        <v>65511</v>
      </c>
      <c r="AB38" s="4">
        <f t="shared" si="20"/>
        <v>0</v>
      </c>
      <c r="AC38" s="4">
        <f t="shared" si="21"/>
        <v>0</v>
      </c>
      <c r="AD38" s="137"/>
      <c r="AG38" s="293"/>
      <c r="AK38" s="298"/>
      <c r="AL38" s="298"/>
    </row>
    <row r="39" spans="1:38" x14ac:dyDescent="0.3">
      <c r="A39" s="134" t="s">
        <v>442</v>
      </c>
      <c r="B39" s="262">
        <v>36741</v>
      </c>
      <c r="C39" s="262">
        <v>37836</v>
      </c>
      <c r="D39" s="75" t="s">
        <v>17</v>
      </c>
      <c r="E39" s="4">
        <v>0</v>
      </c>
      <c r="F39" s="75" t="s">
        <v>18</v>
      </c>
      <c r="G39" s="2">
        <f>IF(O39&lt;X39,3870.5,0)</f>
        <v>0</v>
      </c>
      <c r="H39" s="3">
        <f>IF(O39&lt;X39,30000,0)</f>
        <v>0</v>
      </c>
      <c r="I39" s="314">
        <f>ROUND(+G39*H39,2)</f>
        <v>0</v>
      </c>
      <c r="N39" s="284">
        <f t="shared" si="18"/>
        <v>0</v>
      </c>
      <c r="O39" s="256">
        <f>+Summary!$C$5</f>
        <v>37161</v>
      </c>
      <c r="P39" s="4">
        <f>IF(O39&lt;B39,0,(+N39-I39-Q39))</f>
        <v>0</v>
      </c>
      <c r="Q39" s="4">
        <v>0</v>
      </c>
      <c r="R39" s="282">
        <f t="shared" si="19"/>
        <v>0</v>
      </c>
      <c r="S39" s="4">
        <v>0</v>
      </c>
      <c r="T39" s="4">
        <f t="shared" si="17"/>
        <v>0</v>
      </c>
      <c r="U39" s="4">
        <f>VLOOKUP(+Summary!$E$5,Privates,V39)</f>
        <v>0</v>
      </c>
      <c r="V39" s="228">
        <f t="shared" si="22"/>
        <v>7</v>
      </c>
      <c r="W39" s="137"/>
      <c r="X39" s="1">
        <v>36874</v>
      </c>
      <c r="Y39" t="s">
        <v>444</v>
      </c>
      <c r="Z39" s="4">
        <v>0</v>
      </c>
      <c r="AA39" s="5">
        <v>0</v>
      </c>
      <c r="AB39" s="4">
        <f t="shared" si="20"/>
        <v>0</v>
      </c>
      <c r="AC39" s="4">
        <f t="shared" si="21"/>
        <v>0</v>
      </c>
      <c r="AD39" s="137"/>
      <c r="AG39" s="293"/>
      <c r="AK39" s="298"/>
      <c r="AL39" s="298"/>
    </row>
    <row r="40" spans="1:38" x14ac:dyDescent="0.3">
      <c r="A40" s="134" t="s">
        <v>217</v>
      </c>
      <c r="B40" s="262">
        <v>36741</v>
      </c>
      <c r="C40" s="262">
        <v>37836</v>
      </c>
      <c r="D40" s="75" t="s">
        <v>17</v>
      </c>
      <c r="E40" s="4">
        <v>0</v>
      </c>
      <c r="F40" s="75" t="s">
        <v>18</v>
      </c>
      <c r="I40" s="314">
        <v>1663000</v>
      </c>
      <c r="N40" s="284">
        <f t="shared" si="18"/>
        <v>0</v>
      </c>
      <c r="O40" s="256">
        <f>+Summary!$C$5</f>
        <v>37161</v>
      </c>
      <c r="P40" s="4">
        <f>IF(O40&lt;B40,0,(+N40-I40-Q40))</f>
        <v>-1663000</v>
      </c>
      <c r="Q40" s="4">
        <v>0</v>
      </c>
      <c r="R40" s="282">
        <f t="shared" si="19"/>
        <v>-1663000</v>
      </c>
      <c r="S40" s="4">
        <v>0</v>
      </c>
      <c r="T40" s="4">
        <f t="shared" si="17"/>
        <v>-1663000</v>
      </c>
      <c r="U40" s="4">
        <f>VLOOKUP(+Summary!$E$5,Privates,V40)</f>
        <v>0</v>
      </c>
      <c r="V40" s="228">
        <f t="shared" si="22"/>
        <v>8</v>
      </c>
      <c r="W40" s="137">
        <f>+N40+'Private Cash'!H378-'MPR Raptor'!U44</f>
        <v>0</v>
      </c>
      <c r="Z40" s="4">
        <v>0</v>
      </c>
      <c r="AA40" s="5">
        <v>-1663000</v>
      </c>
      <c r="AB40" s="4">
        <f t="shared" si="20"/>
        <v>0</v>
      </c>
      <c r="AC40" s="4">
        <f t="shared" si="21"/>
        <v>0</v>
      </c>
      <c r="AD40" s="137">
        <f>-AC40+'MPR Raptor'!AH44</f>
        <v>0</v>
      </c>
      <c r="AG40" s="293"/>
      <c r="AK40" s="298"/>
      <c r="AL40" s="298"/>
    </row>
    <row r="41" spans="1:38" x14ac:dyDescent="0.3">
      <c r="A41" t="s">
        <v>412</v>
      </c>
      <c r="B41" s="262">
        <v>36741</v>
      </c>
      <c r="C41" s="262">
        <v>37836</v>
      </c>
      <c r="D41" s="75" t="s">
        <v>17</v>
      </c>
      <c r="E41" s="4">
        <v>0</v>
      </c>
      <c r="F41" s="75" t="s">
        <v>18</v>
      </c>
      <c r="I41" s="314">
        <f>12878050+0</f>
        <v>12878050</v>
      </c>
      <c r="N41" s="284">
        <f t="shared" si="18"/>
        <v>0</v>
      </c>
      <c r="O41" s="256">
        <f>+Summary!$C$5</f>
        <v>37161</v>
      </c>
      <c r="P41" s="4">
        <f>IF(O41&lt;B41,0,(+N41-I41-Q41))</f>
        <v>-12878050</v>
      </c>
      <c r="Q41" s="4">
        <v>0</v>
      </c>
      <c r="R41" s="282">
        <f t="shared" si="19"/>
        <v>-12878050</v>
      </c>
      <c r="S41" s="4">
        <v>0</v>
      </c>
      <c r="T41" s="4">
        <f t="shared" si="17"/>
        <v>-12878050</v>
      </c>
      <c r="U41" s="4">
        <f>VLOOKUP(+Summary!$E$5,Privates,V41)</f>
        <v>0</v>
      </c>
      <c r="V41" s="228">
        <f t="shared" si="22"/>
        <v>9</v>
      </c>
      <c r="W41" s="137">
        <f>+N41+'Private Cash'!I378-'MPR Raptor'!U56</f>
        <v>0</v>
      </c>
      <c r="Z41" s="4">
        <v>0</v>
      </c>
      <c r="AA41" s="5">
        <v>-12878050</v>
      </c>
      <c r="AB41" s="4">
        <f t="shared" si="20"/>
        <v>0</v>
      </c>
      <c r="AC41" s="4">
        <f t="shared" si="21"/>
        <v>0</v>
      </c>
      <c r="AD41" s="137">
        <f>-AC41+'MPR Raptor'!AH56</f>
        <v>0</v>
      </c>
      <c r="AG41" s="293"/>
      <c r="AK41" s="298"/>
      <c r="AL41" s="298"/>
    </row>
    <row r="42" spans="1:38" x14ac:dyDescent="0.3">
      <c r="A42" s="134" t="s">
        <v>218</v>
      </c>
      <c r="B42" s="262">
        <v>36741</v>
      </c>
      <c r="C42" s="262">
        <v>37836</v>
      </c>
      <c r="D42" s="75" t="s">
        <v>17</v>
      </c>
      <c r="E42" s="4">
        <v>0</v>
      </c>
      <c r="F42" s="75" t="s">
        <v>18</v>
      </c>
      <c r="I42" s="314">
        <v>1012500</v>
      </c>
      <c r="J42" s="256">
        <v>36889</v>
      </c>
      <c r="K42" s="67" t="s">
        <v>446</v>
      </c>
      <c r="L42" s="3"/>
      <c r="M42" s="4">
        <v>125000</v>
      </c>
      <c r="N42" s="284">
        <f t="shared" si="18"/>
        <v>0</v>
      </c>
      <c r="O42" s="256">
        <f>+Summary!$C$5</f>
        <v>37161</v>
      </c>
      <c r="P42" s="4">
        <f>IF(O42&lt;B42,0,IF(O42+1&gt;J42,0,(+N42-I42-Q42)))</f>
        <v>0</v>
      </c>
      <c r="Q42" s="4">
        <f>IF(O42+1&gt;J42,+M42-I42,0)</f>
        <v>-887500</v>
      </c>
      <c r="R42" s="282">
        <f t="shared" si="19"/>
        <v>-887500</v>
      </c>
      <c r="S42" s="4">
        <f>IF(O42&gt;J42,+Q42,0)</f>
        <v>-887500</v>
      </c>
      <c r="T42" s="4">
        <f t="shared" si="17"/>
        <v>-887500</v>
      </c>
      <c r="U42" s="4">
        <f>VLOOKUP(+Summary!$E$5,Privates,V42)-'Private Cash'!J378</f>
        <v>125000</v>
      </c>
      <c r="V42" s="228">
        <f t="shared" si="22"/>
        <v>10</v>
      </c>
      <c r="W42" s="137"/>
      <c r="Z42" s="4">
        <v>-887500</v>
      </c>
      <c r="AA42" s="5">
        <v>-887500</v>
      </c>
      <c r="AB42" s="4">
        <f t="shared" si="20"/>
        <v>0</v>
      </c>
      <c r="AC42" s="4">
        <f t="shared" si="21"/>
        <v>0</v>
      </c>
      <c r="AD42" s="137"/>
      <c r="AG42" s="293"/>
      <c r="AK42" s="298"/>
      <c r="AL42" s="298"/>
    </row>
    <row r="43" spans="1:38" x14ac:dyDescent="0.3">
      <c r="A43" s="134" t="s">
        <v>403</v>
      </c>
      <c r="B43" s="262">
        <v>36741</v>
      </c>
      <c r="C43" s="262">
        <v>37836</v>
      </c>
      <c r="D43" s="75" t="s">
        <v>17</v>
      </c>
      <c r="E43" s="4">
        <v>0</v>
      </c>
      <c r="F43" s="75" t="s">
        <v>18</v>
      </c>
      <c r="G43" s="2">
        <v>136.64929576646099</v>
      </c>
      <c r="H43" s="3">
        <v>172031</v>
      </c>
      <c r="I43" s="314">
        <f>ROUND(+G43*H43,2)</f>
        <v>23507915</v>
      </c>
      <c r="N43" s="284">
        <f t="shared" si="18"/>
        <v>2.8312206268310547E-7</v>
      </c>
      <c r="O43" s="256">
        <f>+Summary!$C$5</f>
        <v>37161</v>
      </c>
      <c r="P43" s="4">
        <f t="shared" ref="P43:P50" si="23">IF(O43&lt;B43,0,(+N43-I43-Q43))</f>
        <v>-23507914.999999717</v>
      </c>
      <c r="Q43" s="4">
        <v>0</v>
      </c>
      <c r="R43" s="282">
        <f t="shared" si="19"/>
        <v>-23507914.999999717</v>
      </c>
      <c r="S43" s="4">
        <v>0</v>
      </c>
      <c r="T43" s="4">
        <f t="shared" si="17"/>
        <v>-23507914.999999717</v>
      </c>
      <c r="U43" s="4">
        <f>VLOOKUP(+Summary!$E$5,Privates,V43)</f>
        <v>2.8312206268310547E-7</v>
      </c>
      <c r="V43" s="228">
        <f t="shared" si="22"/>
        <v>11</v>
      </c>
      <c r="W43" s="137">
        <f>+N43+'Private Cash'!K378-'MPR Raptor'!U49</f>
        <v>0</v>
      </c>
      <c r="Z43" s="4">
        <v>0</v>
      </c>
      <c r="AA43" s="5">
        <v>-23507914.999999717</v>
      </c>
      <c r="AB43" s="4">
        <f t="shared" si="20"/>
        <v>0</v>
      </c>
      <c r="AC43" s="4">
        <f t="shared" si="21"/>
        <v>0</v>
      </c>
      <c r="AD43" s="137">
        <f>-AC43+'MPR Raptor'!AH49</f>
        <v>0</v>
      </c>
      <c r="AG43" s="293"/>
      <c r="AK43" s="298"/>
      <c r="AL43" s="298"/>
    </row>
    <row r="44" spans="1:38" x14ac:dyDescent="0.3">
      <c r="A44" s="134" t="s">
        <v>381</v>
      </c>
      <c r="B44" s="262">
        <v>36741</v>
      </c>
      <c r="C44" s="262">
        <v>37836</v>
      </c>
      <c r="D44" s="75" t="s">
        <v>17</v>
      </c>
      <c r="E44" s="4">
        <v>0</v>
      </c>
      <c r="F44" s="75" t="s">
        <v>18</v>
      </c>
      <c r="I44" s="314">
        <v>10372212</v>
      </c>
      <c r="N44" s="284">
        <f t="shared" si="18"/>
        <v>0</v>
      </c>
      <c r="O44" s="256">
        <f>+Summary!$C$5</f>
        <v>37161</v>
      </c>
      <c r="P44" s="4">
        <f t="shared" si="23"/>
        <v>-10372212</v>
      </c>
      <c r="Q44" s="4">
        <v>0</v>
      </c>
      <c r="R44" s="282">
        <f>+P44+Q44</f>
        <v>-10372212</v>
      </c>
      <c r="S44" s="4">
        <v>0</v>
      </c>
      <c r="T44" s="4">
        <f t="shared" si="17"/>
        <v>-10372212</v>
      </c>
      <c r="U44" s="4">
        <f>VLOOKUP(+Summary!$E$5,Privates,V44)</f>
        <v>0</v>
      </c>
      <c r="V44" s="228">
        <f t="shared" si="22"/>
        <v>12</v>
      </c>
      <c r="W44" s="137">
        <f>+N44+'Private Cash'!L378-'MPR Raptor'!U50</f>
        <v>0</v>
      </c>
      <c r="Z44" s="4">
        <v>0</v>
      </c>
      <c r="AA44" s="5">
        <v>-10372212</v>
      </c>
      <c r="AB44" s="4">
        <f t="shared" si="20"/>
        <v>0</v>
      </c>
      <c r="AC44" s="4">
        <f t="shared" si="21"/>
        <v>0</v>
      </c>
      <c r="AD44" s="137">
        <f>-AC44+'MPR Raptor'!AH50</f>
        <v>0</v>
      </c>
      <c r="AG44" s="293"/>
      <c r="AK44" s="298"/>
      <c r="AL44" s="298"/>
    </row>
    <row r="45" spans="1:38" x14ac:dyDescent="0.3">
      <c r="A45" s="134" t="s">
        <v>404</v>
      </c>
      <c r="B45" s="262">
        <v>36741</v>
      </c>
      <c r="C45" s="262">
        <v>37836</v>
      </c>
      <c r="D45" s="75" t="s">
        <v>17</v>
      </c>
      <c r="E45" s="4">
        <v>0</v>
      </c>
      <c r="F45" s="75" t="s">
        <v>18</v>
      </c>
      <c r="I45" s="314">
        <v>1302980</v>
      </c>
      <c r="N45" s="284">
        <f t="shared" si="18"/>
        <v>137317.57</v>
      </c>
      <c r="O45" s="256">
        <f>+Summary!$C$5</f>
        <v>37161</v>
      </c>
      <c r="P45" s="4">
        <f t="shared" si="23"/>
        <v>-1165662.43</v>
      </c>
      <c r="Q45" s="4">
        <v>0</v>
      </c>
      <c r="R45" s="282">
        <f t="shared" si="19"/>
        <v>-1165662.43</v>
      </c>
      <c r="S45" s="4">
        <v>0</v>
      </c>
      <c r="T45" s="4">
        <f t="shared" si="17"/>
        <v>-1165662.43</v>
      </c>
      <c r="U45" s="4">
        <f>VLOOKUP(+Summary!$E$5,Privates,V45)</f>
        <v>137317.57</v>
      </c>
      <c r="V45" s="228">
        <f t="shared" si="22"/>
        <v>13</v>
      </c>
      <c r="W45" s="137">
        <f>+N45+'Private Cash'!M378-'MPR Raptor'!U57</f>
        <v>-1.1641532182693481E-10</v>
      </c>
      <c r="Z45" s="4">
        <v>0</v>
      </c>
      <c r="AA45" s="5">
        <v>-1165662.43</v>
      </c>
      <c r="AB45" s="4">
        <f t="shared" si="20"/>
        <v>0</v>
      </c>
      <c r="AC45" s="4">
        <f t="shared" si="21"/>
        <v>0</v>
      </c>
      <c r="AD45" s="137">
        <f>-AC45+'MPR Raptor'!AH60</f>
        <v>0</v>
      </c>
      <c r="AG45" s="293"/>
      <c r="AK45" s="298"/>
      <c r="AL45" s="298"/>
    </row>
    <row r="46" spans="1:38" x14ac:dyDescent="0.3">
      <c r="A46" s="134" t="s">
        <v>405</v>
      </c>
      <c r="B46" s="262">
        <v>36741</v>
      </c>
      <c r="C46" s="262">
        <v>37836</v>
      </c>
      <c r="D46" s="75" t="s">
        <v>17</v>
      </c>
      <c r="E46" s="4">
        <v>0</v>
      </c>
      <c r="F46" s="75" t="s">
        <v>18</v>
      </c>
      <c r="I46" s="314">
        <v>3486752</v>
      </c>
      <c r="N46" s="284">
        <f t="shared" si="18"/>
        <v>0</v>
      </c>
      <c r="O46" s="256">
        <f>+Summary!$C$5</f>
        <v>37161</v>
      </c>
      <c r="P46" s="4">
        <f t="shared" si="23"/>
        <v>-3486752</v>
      </c>
      <c r="Q46" s="4">
        <v>0</v>
      </c>
      <c r="R46" s="282">
        <f t="shared" si="19"/>
        <v>-3486752</v>
      </c>
      <c r="S46" s="4">
        <v>0</v>
      </c>
      <c r="T46" s="4">
        <f t="shared" si="17"/>
        <v>-3486752</v>
      </c>
      <c r="U46" s="4">
        <f>VLOOKUP(+Summary!$E$5,Privates,V46)</f>
        <v>0</v>
      </c>
      <c r="V46" s="228">
        <f t="shared" si="22"/>
        <v>14</v>
      </c>
      <c r="W46" s="137">
        <f>+N46+'Private Cash'!N378-'MPR Raptor'!U66</f>
        <v>-4.5952247698069581E-7</v>
      </c>
      <c r="Z46" s="4">
        <v>0</v>
      </c>
      <c r="AA46" s="5">
        <v>-3486752</v>
      </c>
      <c r="AB46" s="4">
        <f t="shared" si="20"/>
        <v>0</v>
      </c>
      <c r="AC46" s="4">
        <f t="shared" si="21"/>
        <v>0</v>
      </c>
      <c r="AD46" s="137">
        <f>-AC46+'MPR Raptor'!AH66</f>
        <v>-2.7202007575233845E-8</v>
      </c>
      <c r="AG46" s="293"/>
      <c r="AK46" s="298"/>
      <c r="AL46" s="298"/>
    </row>
    <row r="47" spans="1:38" x14ac:dyDescent="0.3">
      <c r="A47" s="134" t="s">
        <v>219</v>
      </c>
      <c r="B47" s="262">
        <v>36741</v>
      </c>
      <c r="C47" s="262">
        <v>37836</v>
      </c>
      <c r="D47" s="75" t="s">
        <v>17</v>
      </c>
      <c r="E47" s="4">
        <v>0</v>
      </c>
      <c r="F47" s="75" t="s">
        <v>18</v>
      </c>
      <c r="I47" s="314">
        <v>429210</v>
      </c>
      <c r="N47" s="284">
        <f t="shared" si="18"/>
        <v>1100000</v>
      </c>
      <c r="O47" s="256">
        <f>+Summary!$C$5</f>
        <v>37161</v>
      </c>
      <c r="P47" s="4">
        <f t="shared" si="23"/>
        <v>670790</v>
      </c>
      <c r="Q47" s="4">
        <v>0</v>
      </c>
      <c r="R47" s="282">
        <f t="shared" si="19"/>
        <v>670790</v>
      </c>
      <c r="S47" s="4">
        <v>0</v>
      </c>
      <c r="T47" s="4">
        <f t="shared" si="17"/>
        <v>670790</v>
      </c>
      <c r="U47" s="4">
        <f>VLOOKUP(+Summary!$E$5,Privates,V47)</f>
        <v>1100000</v>
      </c>
      <c r="V47" s="228">
        <f t="shared" si="22"/>
        <v>15</v>
      </c>
      <c r="W47" s="137">
        <f>+N47+'Private Cash'!O378-'MPR Raptor'!U58</f>
        <v>0</v>
      </c>
      <c r="Z47" s="4">
        <v>0</v>
      </c>
      <c r="AA47" s="5">
        <v>670790</v>
      </c>
      <c r="AB47" s="4">
        <f t="shared" si="20"/>
        <v>0</v>
      </c>
      <c r="AC47" s="4">
        <f t="shared" si="21"/>
        <v>0</v>
      </c>
      <c r="AD47" s="137">
        <f>-AC47+'MPR Raptor'!AH61</f>
        <v>0</v>
      </c>
      <c r="AG47" s="293"/>
      <c r="AK47" s="298"/>
      <c r="AL47" s="298"/>
    </row>
    <row r="48" spans="1:38" x14ac:dyDescent="0.3">
      <c r="A48" s="134" t="s">
        <v>220</v>
      </c>
      <c r="B48" s="262">
        <v>36741</v>
      </c>
      <c r="C48" s="262">
        <v>37836</v>
      </c>
      <c r="D48" s="75" t="s">
        <v>17</v>
      </c>
      <c r="E48" s="4">
        <v>0</v>
      </c>
      <c r="F48" s="75" t="s">
        <v>18</v>
      </c>
      <c r="I48" s="314">
        <v>470790</v>
      </c>
      <c r="N48" s="284">
        <f t="shared" si="18"/>
        <v>0</v>
      </c>
      <c r="O48" s="256">
        <f>+Summary!$C$5</f>
        <v>37161</v>
      </c>
      <c r="P48" s="4">
        <f t="shared" si="23"/>
        <v>-470790</v>
      </c>
      <c r="Q48" s="4">
        <v>0</v>
      </c>
      <c r="R48" s="282">
        <f t="shared" si="19"/>
        <v>-470790</v>
      </c>
      <c r="S48" s="4">
        <v>0</v>
      </c>
      <c r="T48" s="4">
        <f t="shared" si="17"/>
        <v>-470790</v>
      </c>
      <c r="U48" s="4">
        <f>VLOOKUP(+Summary!$E$5,Privates,V48)</f>
        <v>0</v>
      </c>
      <c r="V48" s="228">
        <f t="shared" si="22"/>
        <v>16</v>
      </c>
      <c r="W48" s="137">
        <f>+N48+'Private Cash'!P378-'MPR Raptor'!U59</f>
        <v>0</v>
      </c>
      <c r="Z48" s="4">
        <v>0</v>
      </c>
      <c r="AA48" s="5">
        <v>-470790</v>
      </c>
      <c r="AB48" s="4">
        <f t="shared" si="20"/>
        <v>0</v>
      </c>
      <c r="AC48" s="4">
        <f t="shared" si="21"/>
        <v>0</v>
      </c>
      <c r="AD48" s="137">
        <f>-AC48+'MPR Raptor'!AH62</f>
        <v>0</v>
      </c>
      <c r="AG48" s="293"/>
      <c r="AK48" s="298"/>
      <c r="AL48" s="298"/>
    </row>
    <row r="49" spans="1:38" x14ac:dyDescent="0.3">
      <c r="A49" s="134" t="s">
        <v>180</v>
      </c>
      <c r="B49" s="262">
        <v>36741</v>
      </c>
      <c r="C49" s="262">
        <v>37836</v>
      </c>
      <c r="D49" s="75" t="s">
        <v>17</v>
      </c>
      <c r="E49" s="4">
        <v>0</v>
      </c>
      <c r="F49" s="75" t="s">
        <v>18</v>
      </c>
      <c r="I49" s="314">
        <v>27082500</v>
      </c>
      <c r="N49" s="284">
        <f t="shared" si="18"/>
        <v>10125000</v>
      </c>
      <c r="O49" s="256">
        <f>+Summary!$C$5</f>
        <v>37161</v>
      </c>
      <c r="P49" s="4">
        <f t="shared" si="23"/>
        <v>-16957500</v>
      </c>
      <c r="Q49" s="4">
        <v>0</v>
      </c>
      <c r="R49" s="282">
        <f t="shared" si="19"/>
        <v>-16957500</v>
      </c>
      <c r="S49" s="4">
        <v>0</v>
      </c>
      <c r="T49" s="4">
        <f t="shared" si="17"/>
        <v>-16957500</v>
      </c>
      <c r="U49" s="4">
        <f>VLOOKUP(+Summary!$E$5,Privates,V49)</f>
        <v>10125000</v>
      </c>
      <c r="V49" s="228">
        <f t="shared" si="22"/>
        <v>17</v>
      </c>
      <c r="W49" s="137">
        <f>+N49+'Private Cash'!Q378-'MPR Raptor'!U65</f>
        <v>0</v>
      </c>
      <c r="X49" s="5"/>
      <c r="Z49" s="4">
        <v>0</v>
      </c>
      <c r="AA49" s="5">
        <v>-16957500</v>
      </c>
      <c r="AB49" s="4">
        <f t="shared" si="20"/>
        <v>0</v>
      </c>
      <c r="AC49" s="4">
        <f t="shared" si="21"/>
        <v>0</v>
      </c>
      <c r="AD49" s="137">
        <f>-AC49+'MPR Raptor'!AH65</f>
        <v>0</v>
      </c>
      <c r="AG49" s="293"/>
      <c r="AK49" s="298"/>
      <c r="AL49" s="298"/>
    </row>
    <row r="50" spans="1:38" x14ac:dyDescent="0.3">
      <c r="A50" s="134" t="s">
        <v>221</v>
      </c>
      <c r="B50" s="262">
        <v>36741</v>
      </c>
      <c r="C50" s="262">
        <v>37836</v>
      </c>
      <c r="D50" s="75" t="s">
        <v>17</v>
      </c>
      <c r="E50" s="4">
        <v>0</v>
      </c>
      <c r="F50" s="75" t="s">
        <v>18</v>
      </c>
      <c r="I50" s="314">
        <v>7121810</v>
      </c>
      <c r="N50" s="284">
        <f t="shared" si="18"/>
        <v>7121810</v>
      </c>
      <c r="O50" s="256">
        <f>+Summary!$C$5</f>
        <v>37161</v>
      </c>
      <c r="P50" s="4">
        <f t="shared" si="23"/>
        <v>0</v>
      </c>
      <c r="Q50" s="4">
        <v>0</v>
      </c>
      <c r="R50" s="282">
        <f t="shared" si="19"/>
        <v>0</v>
      </c>
      <c r="S50" s="4">
        <v>0</v>
      </c>
      <c r="T50" s="4">
        <f t="shared" si="17"/>
        <v>0</v>
      </c>
      <c r="U50" s="4">
        <f>VLOOKUP(+Summary!$E$5,Privates,V50)</f>
        <v>7121810</v>
      </c>
      <c r="V50" s="228">
        <f t="shared" si="22"/>
        <v>18</v>
      </c>
      <c r="W50" s="137">
        <f>+N50+'Private Cash'!R378-'MPR Raptor'!U60</f>
        <v>0</v>
      </c>
      <c r="Z50" s="4">
        <v>0</v>
      </c>
      <c r="AA50" s="5">
        <v>0</v>
      </c>
      <c r="AB50" s="4">
        <f t="shared" si="20"/>
        <v>0</v>
      </c>
      <c r="AC50" s="4">
        <f t="shared" si="21"/>
        <v>0</v>
      </c>
      <c r="AD50" s="137">
        <f>-AC50+'MPR Raptor'!AH63</f>
        <v>0</v>
      </c>
      <c r="AG50" s="293"/>
      <c r="AK50" s="298"/>
      <c r="AL50" s="298"/>
    </row>
    <row r="51" spans="1:38" x14ac:dyDescent="0.3">
      <c r="A51" s="134" t="s">
        <v>179</v>
      </c>
      <c r="B51" s="262">
        <v>36741</v>
      </c>
      <c r="C51" s="262">
        <v>37836</v>
      </c>
      <c r="D51" s="75" t="s">
        <v>17</v>
      </c>
      <c r="E51" s="4">
        <v>0</v>
      </c>
      <c r="F51" s="75" t="s">
        <v>18</v>
      </c>
      <c r="I51" s="314">
        <v>5644007</v>
      </c>
      <c r="J51" s="256">
        <v>36980</v>
      </c>
      <c r="K51" s="67" t="s">
        <v>446</v>
      </c>
      <c r="L51" s="3"/>
      <c r="M51" s="4">
        <v>5644007</v>
      </c>
      <c r="N51" s="284">
        <f>VLOOKUP(+O51,Privates,V51)</f>
        <v>5644007</v>
      </c>
      <c r="O51" s="256">
        <f>+Summary!$C$5</f>
        <v>37161</v>
      </c>
      <c r="P51" s="4">
        <f>IF(O51&lt;B51,0,IF(O51+1&gt;J51,0,(+N51-I51-Q51)))</f>
        <v>0</v>
      </c>
      <c r="Q51" s="4">
        <f>IF(O51+1&gt;J51,+M51-I51,0)</f>
        <v>0</v>
      </c>
      <c r="R51" s="282">
        <f t="shared" si="19"/>
        <v>0</v>
      </c>
      <c r="S51" s="4">
        <f>IF(O51&gt;J51,+Q51,0)</f>
        <v>0</v>
      </c>
      <c r="T51" s="4">
        <f t="shared" si="17"/>
        <v>0</v>
      </c>
      <c r="U51" s="4">
        <f>VLOOKUP(+Summary!$E$5,Privates,V51)-'Private Cash'!S376</f>
        <v>5644007</v>
      </c>
      <c r="V51" s="228">
        <f t="shared" si="22"/>
        <v>19</v>
      </c>
      <c r="W51" s="137">
        <f>+N51+'Private Cash'!S378-'MPR Raptor'!U4</f>
        <v>0</v>
      </c>
      <c r="Z51" s="4">
        <v>0</v>
      </c>
      <c r="AA51" s="5">
        <v>0</v>
      </c>
      <c r="AB51" s="4">
        <f t="shared" si="20"/>
        <v>0</v>
      </c>
      <c r="AC51" s="4">
        <f t="shared" si="21"/>
        <v>0</v>
      </c>
      <c r="AD51" s="137">
        <f>-AC51+'MPR Raptor'!AH4</f>
        <v>0</v>
      </c>
      <c r="AG51" s="293"/>
      <c r="AK51" s="298"/>
      <c r="AL51" s="298"/>
    </row>
    <row r="52" spans="1:38" x14ac:dyDescent="0.3">
      <c r="A52" s="134" t="s">
        <v>222</v>
      </c>
      <c r="B52" s="262">
        <v>36741</v>
      </c>
      <c r="C52" s="262">
        <v>37836</v>
      </c>
      <c r="D52" s="75" t="s">
        <v>17</v>
      </c>
      <c r="E52" s="4">
        <v>0</v>
      </c>
      <c r="F52" s="75" t="s">
        <v>18</v>
      </c>
      <c r="I52" s="314">
        <v>20916875</v>
      </c>
      <c r="N52" s="284">
        <f t="shared" si="18"/>
        <v>20887594.859999999</v>
      </c>
      <c r="O52" s="256">
        <f>+Summary!$C$5</f>
        <v>37161</v>
      </c>
      <c r="P52" s="4">
        <f>IF(O52&lt;B52,0,(+N52-I52-Q52))</f>
        <v>-29280.140000000596</v>
      </c>
      <c r="Q52" s="4">
        <v>0</v>
      </c>
      <c r="R52" s="282">
        <f t="shared" si="19"/>
        <v>-29280.140000000596</v>
      </c>
      <c r="S52" s="4">
        <v>0</v>
      </c>
      <c r="T52" s="4">
        <f t="shared" si="17"/>
        <v>-29280.140000000596</v>
      </c>
      <c r="U52" s="4">
        <f>VLOOKUP(+Summary!$E$5,Privates,V52)</f>
        <v>20887594.859999999</v>
      </c>
      <c r="V52" s="228">
        <f t="shared" si="22"/>
        <v>20</v>
      </c>
      <c r="W52" s="137">
        <f>+N52+'Private Cash'!T378-'MPR Raptor'!U11</f>
        <v>0</v>
      </c>
      <c r="Z52" s="4">
        <v>0</v>
      </c>
      <c r="AA52" s="5">
        <v>-29280.139999996871</v>
      </c>
      <c r="AB52" s="4">
        <f t="shared" si="20"/>
        <v>0</v>
      </c>
      <c r="AC52" s="4">
        <f t="shared" si="21"/>
        <v>0</v>
      </c>
      <c r="AD52" s="321">
        <f>-AC52+'MPR Raptor'!AH11</f>
        <v>0</v>
      </c>
      <c r="AG52" s="293"/>
      <c r="AK52" s="298"/>
      <c r="AL52" s="298"/>
    </row>
    <row r="53" spans="1:38" x14ac:dyDescent="0.3">
      <c r="A53" s="134" t="s">
        <v>229</v>
      </c>
      <c r="B53" s="262">
        <v>36741</v>
      </c>
      <c r="C53" s="262">
        <v>37836</v>
      </c>
      <c r="D53" s="75" t="s">
        <v>17</v>
      </c>
      <c r="E53" s="4">
        <v>0</v>
      </c>
      <c r="F53" s="75" t="s">
        <v>18</v>
      </c>
      <c r="I53" s="314">
        <v>2560525</v>
      </c>
      <c r="N53" s="284">
        <f t="shared" si="18"/>
        <v>2560525</v>
      </c>
      <c r="O53" s="256">
        <f>+Summary!$C$5</f>
        <v>37161</v>
      </c>
      <c r="P53" s="4">
        <f>IF(O53&lt;B53,0,(+N53-I53-Q53))</f>
        <v>0</v>
      </c>
      <c r="Q53" s="4">
        <v>0</v>
      </c>
      <c r="R53" s="282">
        <f>+P53+Q53</f>
        <v>0</v>
      </c>
      <c r="S53" s="4">
        <v>0</v>
      </c>
      <c r="T53" s="4">
        <f t="shared" si="17"/>
        <v>0</v>
      </c>
      <c r="U53" s="4">
        <f>VLOOKUP(+Summary!$E$5,Privates,V53)</f>
        <v>2560525</v>
      </c>
      <c r="V53" s="228">
        <f t="shared" si="22"/>
        <v>21</v>
      </c>
      <c r="W53" s="137">
        <f>+N53+'Private Cash'!U378-'MPR Raptor'!U12</f>
        <v>0</v>
      </c>
      <c r="Z53" s="4">
        <v>0</v>
      </c>
      <c r="AA53" s="5">
        <v>0</v>
      </c>
      <c r="AB53" s="4">
        <f t="shared" si="20"/>
        <v>0</v>
      </c>
      <c r="AC53" s="4">
        <f t="shared" si="21"/>
        <v>0</v>
      </c>
      <c r="AD53" s="137">
        <f>-AC53+'MPR Raptor'!AH12</f>
        <v>0</v>
      </c>
      <c r="AG53" s="293"/>
      <c r="AK53" s="298"/>
      <c r="AL53" s="298"/>
    </row>
    <row r="54" spans="1:38" x14ac:dyDescent="0.3">
      <c r="A54" s="134" t="s">
        <v>223</v>
      </c>
      <c r="B54" s="262">
        <v>36741</v>
      </c>
      <c r="C54" s="262">
        <v>37836</v>
      </c>
      <c r="D54" s="75" t="s">
        <v>17</v>
      </c>
      <c r="E54" s="4">
        <v>0</v>
      </c>
      <c r="F54" s="75" t="s">
        <v>18</v>
      </c>
      <c r="I54" s="314">
        <v>4774950</v>
      </c>
      <c r="J54" s="256">
        <v>36888</v>
      </c>
      <c r="K54" s="67" t="s">
        <v>446</v>
      </c>
      <c r="L54" s="3"/>
      <c r="M54" s="4">
        <v>2415598.88</v>
      </c>
      <c r="N54" s="284">
        <f t="shared" si="18"/>
        <v>0</v>
      </c>
      <c r="O54" s="256">
        <f>+Summary!$C$5</f>
        <v>37161</v>
      </c>
      <c r="P54" s="4">
        <f>IF(O54&lt;B54,0,IF(O54+1&gt;J54,0,(+N54-I54-Q54)))</f>
        <v>0</v>
      </c>
      <c r="Q54" s="4">
        <f>IF(O54+1&gt;J54,+M54-I54,0)</f>
        <v>-2359351.12</v>
      </c>
      <c r="R54" s="282">
        <f t="shared" si="19"/>
        <v>-2359351.12</v>
      </c>
      <c r="S54" s="4">
        <f>IF(O54&gt;J54,+Q54,0)</f>
        <v>-2359351.12</v>
      </c>
      <c r="T54" s="4">
        <f t="shared" si="17"/>
        <v>-2359351.12</v>
      </c>
      <c r="U54" s="4">
        <f>VLOOKUP(+Summary!$E$5,Privates,V54)-'Private Cash'!V378</f>
        <v>2415598.88</v>
      </c>
      <c r="V54" s="228">
        <f t="shared" si="22"/>
        <v>22</v>
      </c>
      <c r="W54" s="137"/>
      <c r="X54" s="5"/>
      <c r="Z54" s="4">
        <v>-2359351.12</v>
      </c>
      <c r="AA54" s="5">
        <v>-2359351.12</v>
      </c>
      <c r="AB54" s="4">
        <f t="shared" si="20"/>
        <v>0</v>
      </c>
      <c r="AC54" s="4">
        <f t="shared" si="21"/>
        <v>0</v>
      </c>
      <c r="AD54" s="137"/>
      <c r="AG54" s="293"/>
      <c r="AK54" s="298"/>
      <c r="AL54" s="298"/>
    </row>
    <row r="55" spans="1:38" x14ac:dyDescent="0.3">
      <c r="A55" s="134" t="s">
        <v>224</v>
      </c>
      <c r="B55" s="262">
        <v>36741</v>
      </c>
      <c r="C55" s="262">
        <v>37836</v>
      </c>
      <c r="D55" s="75" t="s">
        <v>17</v>
      </c>
      <c r="E55" s="4">
        <v>0</v>
      </c>
      <c r="F55" s="75" t="s">
        <v>18</v>
      </c>
      <c r="I55" s="314">
        <v>1822363</v>
      </c>
      <c r="N55" s="284">
        <f t="shared" si="18"/>
        <v>0</v>
      </c>
      <c r="O55" s="256">
        <f>+Summary!$C$5</f>
        <v>37161</v>
      </c>
      <c r="P55" s="4">
        <f t="shared" ref="P55:P66" si="24">IF(O55&lt;B55,0,(+N55-I55-Q55))</f>
        <v>-1822363</v>
      </c>
      <c r="Q55" s="4">
        <v>0</v>
      </c>
      <c r="R55" s="282">
        <f t="shared" si="19"/>
        <v>-1822363</v>
      </c>
      <c r="S55" s="4">
        <v>0</v>
      </c>
      <c r="T55" s="4">
        <f t="shared" si="17"/>
        <v>-1822363</v>
      </c>
      <c r="U55" s="4">
        <f>VLOOKUP(+Summary!$E$5,Privates,V55)</f>
        <v>0</v>
      </c>
      <c r="V55" s="228">
        <f t="shared" si="22"/>
        <v>23</v>
      </c>
      <c r="W55" s="137">
        <f>+N55+'Private Cash'!W378-'MPR Raptor'!U57</f>
        <v>0</v>
      </c>
      <c r="Z55" s="4">
        <v>0</v>
      </c>
      <c r="AA55" s="5">
        <v>-1822363</v>
      </c>
      <c r="AB55" s="4">
        <f t="shared" si="20"/>
        <v>0</v>
      </c>
      <c r="AC55" s="4">
        <f t="shared" si="21"/>
        <v>0</v>
      </c>
      <c r="AD55" s="137">
        <f>-AC55+'MPR Raptor'!AH57</f>
        <v>0</v>
      </c>
      <c r="AG55" s="293"/>
      <c r="AK55" s="298"/>
      <c r="AL55" s="298"/>
    </row>
    <row r="56" spans="1:38" x14ac:dyDescent="0.3">
      <c r="A56" s="134" t="s">
        <v>225</v>
      </c>
      <c r="B56" s="262">
        <v>36741</v>
      </c>
      <c r="C56" s="262">
        <v>37836</v>
      </c>
      <c r="D56" s="75" t="s">
        <v>17</v>
      </c>
      <c r="E56" s="4">
        <v>0</v>
      </c>
      <c r="F56" s="75" t="s">
        <v>18</v>
      </c>
      <c r="I56" s="314">
        <v>1374750</v>
      </c>
      <c r="N56" s="284">
        <f t="shared" si="18"/>
        <v>0</v>
      </c>
      <c r="O56" s="256">
        <f>+Summary!$C$5</f>
        <v>37161</v>
      </c>
      <c r="P56" s="4">
        <f t="shared" si="24"/>
        <v>-1374750</v>
      </c>
      <c r="Q56" s="4">
        <v>0</v>
      </c>
      <c r="R56" s="282">
        <f t="shared" si="19"/>
        <v>-1374750</v>
      </c>
      <c r="S56" s="4">
        <v>0</v>
      </c>
      <c r="T56" s="4">
        <f t="shared" si="17"/>
        <v>-1374750</v>
      </c>
      <c r="U56" s="4">
        <f>VLOOKUP(+Summary!$E$5,Privates,V56)</f>
        <v>0</v>
      </c>
      <c r="V56" s="228">
        <f t="shared" si="22"/>
        <v>24</v>
      </c>
      <c r="W56" s="137">
        <f>+N56+'Private Cash'!X378-'MPR Raptor'!U67</f>
        <v>-1.0168831443954394E-14</v>
      </c>
      <c r="Z56" s="4">
        <v>0</v>
      </c>
      <c r="AA56" s="5">
        <v>-1374750</v>
      </c>
      <c r="AB56" s="4">
        <f t="shared" si="20"/>
        <v>0</v>
      </c>
      <c r="AC56" s="4">
        <f t="shared" si="21"/>
        <v>0</v>
      </c>
      <c r="AD56" s="137">
        <f>-AC56+'MPR Raptor'!AH67</f>
        <v>-2.6508227499537225E-15</v>
      </c>
      <c r="AG56" s="293"/>
      <c r="AK56" s="298"/>
      <c r="AL56" s="298"/>
    </row>
    <row r="57" spans="1:38" x14ac:dyDescent="0.3">
      <c r="A57" s="134" t="s">
        <v>226</v>
      </c>
      <c r="B57" s="262">
        <v>36741</v>
      </c>
      <c r="C57" s="262">
        <v>37836</v>
      </c>
      <c r="D57" s="75" t="s">
        <v>17</v>
      </c>
      <c r="E57" s="4">
        <v>0</v>
      </c>
      <c r="F57" s="75" t="s">
        <v>18</v>
      </c>
      <c r="I57" s="314">
        <v>1803840</v>
      </c>
      <c r="N57" s="284">
        <f t="shared" si="18"/>
        <v>1803840</v>
      </c>
      <c r="O57" s="256">
        <f>+Summary!$C$5</f>
        <v>37161</v>
      </c>
      <c r="P57" s="4">
        <f t="shared" si="24"/>
        <v>0</v>
      </c>
      <c r="Q57" s="4">
        <v>0</v>
      </c>
      <c r="R57" s="282">
        <f t="shared" si="19"/>
        <v>0</v>
      </c>
      <c r="S57" s="4">
        <v>0</v>
      </c>
      <c r="T57" s="4">
        <f t="shared" si="17"/>
        <v>0</v>
      </c>
      <c r="U57" s="4">
        <f>VLOOKUP(+Summary!$E$5,Privates,V57)</f>
        <v>1803840</v>
      </c>
      <c r="V57" s="228">
        <f t="shared" si="22"/>
        <v>25</v>
      </c>
      <c r="W57" s="137">
        <f>+N57+'Private Cash'!Y378-'MPR Raptor'!U22</f>
        <v>0</v>
      </c>
      <c r="Z57" s="4">
        <v>0</v>
      </c>
      <c r="AA57" s="5">
        <v>0</v>
      </c>
      <c r="AB57" s="4">
        <f t="shared" si="20"/>
        <v>0</v>
      </c>
      <c r="AC57" s="4">
        <f t="shared" si="21"/>
        <v>0</v>
      </c>
      <c r="AD57" s="137">
        <f>-AC57+'MPR Raptor'!AH22</f>
        <v>0</v>
      </c>
      <c r="AG57" s="293"/>
      <c r="AK57" s="298"/>
      <c r="AL57" s="298"/>
    </row>
    <row r="58" spans="1:38" x14ac:dyDescent="0.3">
      <c r="A58" s="134" t="s">
        <v>413</v>
      </c>
      <c r="B58" s="262">
        <v>36741</v>
      </c>
      <c r="C58" s="262">
        <v>37836</v>
      </c>
      <c r="D58" s="75" t="s">
        <v>17</v>
      </c>
      <c r="E58" s="4">
        <v>0</v>
      </c>
      <c r="F58" s="75" t="s">
        <v>18</v>
      </c>
      <c r="I58" s="314">
        <v>2300803</v>
      </c>
      <c r="N58" s="284">
        <f t="shared" si="18"/>
        <v>2300803</v>
      </c>
      <c r="O58" s="256">
        <f>+Summary!$C$5</f>
        <v>37161</v>
      </c>
      <c r="P58" s="4">
        <f t="shared" si="24"/>
        <v>0</v>
      </c>
      <c r="Q58" s="4">
        <v>0</v>
      </c>
      <c r="R58" s="282">
        <f>+P58+Q58</f>
        <v>0</v>
      </c>
      <c r="S58" s="4">
        <v>0</v>
      </c>
      <c r="T58" s="4">
        <f t="shared" si="17"/>
        <v>0</v>
      </c>
      <c r="U58" s="4">
        <f>VLOOKUP(+Summary!$E$5,Privates,V58)</f>
        <v>2300803</v>
      </c>
      <c r="V58" s="228">
        <f t="shared" si="22"/>
        <v>26</v>
      </c>
      <c r="W58" s="137">
        <f>+N58+'Private Cash'!Z378-'MPR Raptor'!U23</f>
        <v>0</v>
      </c>
      <c r="Z58" s="4">
        <v>0</v>
      </c>
      <c r="AA58" s="5">
        <v>0</v>
      </c>
      <c r="AB58" s="4">
        <f t="shared" si="20"/>
        <v>0</v>
      </c>
      <c r="AC58" s="4">
        <f t="shared" si="21"/>
        <v>0</v>
      </c>
      <c r="AD58" s="137">
        <f>-AC58+'MPR Raptor'!AH23</f>
        <v>0</v>
      </c>
      <c r="AG58" s="293"/>
      <c r="AK58" s="298"/>
      <c r="AL58" s="298"/>
    </row>
    <row r="59" spans="1:38" x14ac:dyDescent="0.3">
      <c r="A59" s="134" t="s">
        <v>227</v>
      </c>
      <c r="B59" s="262">
        <v>36741</v>
      </c>
      <c r="C59" s="262">
        <v>37836</v>
      </c>
      <c r="D59" s="75" t="s">
        <v>17</v>
      </c>
      <c r="E59" s="4">
        <v>0</v>
      </c>
      <c r="F59" s="75" t="s">
        <v>18</v>
      </c>
      <c r="I59" s="314">
        <v>7483750</v>
      </c>
      <c r="N59" s="284">
        <f t="shared" si="18"/>
        <v>8971988.3399999999</v>
      </c>
      <c r="O59" s="256">
        <f>+Summary!$C$5</f>
        <v>37161</v>
      </c>
      <c r="P59" s="4">
        <f t="shared" si="24"/>
        <v>1488238.3399999999</v>
      </c>
      <c r="Q59" s="4">
        <v>0</v>
      </c>
      <c r="R59" s="282">
        <f t="shared" si="19"/>
        <v>1488238.3399999999</v>
      </c>
      <c r="S59" s="4">
        <v>0</v>
      </c>
      <c r="T59" s="4">
        <f t="shared" si="17"/>
        <v>1488238.3399999999</v>
      </c>
      <c r="U59" s="4">
        <f>VLOOKUP(+Summary!$E$5,Privates,V59)</f>
        <v>8971988.3399999999</v>
      </c>
      <c r="V59" s="228">
        <f t="shared" si="22"/>
        <v>27</v>
      </c>
      <c r="W59" s="137">
        <f>+N59+'Private Cash'!AA378-'MPR Raptor'!U13</f>
        <v>0</v>
      </c>
      <c r="Z59" s="4">
        <v>0</v>
      </c>
      <c r="AA59" s="5">
        <v>1488238.34</v>
      </c>
      <c r="AB59" s="4">
        <f t="shared" si="20"/>
        <v>0</v>
      </c>
      <c r="AC59" s="4">
        <f t="shared" si="21"/>
        <v>0</v>
      </c>
      <c r="AD59" s="137">
        <f>-AC59+'MPR Raptor'!AH13</f>
        <v>0</v>
      </c>
      <c r="AG59" s="293"/>
      <c r="AK59" s="298"/>
      <c r="AL59" s="298"/>
    </row>
    <row r="60" spans="1:38" x14ac:dyDescent="0.3">
      <c r="A60" s="134" t="s">
        <v>230</v>
      </c>
      <c r="B60" s="262">
        <v>36741</v>
      </c>
      <c r="C60" s="262">
        <v>37836</v>
      </c>
      <c r="D60" s="75" t="s">
        <v>17</v>
      </c>
      <c r="E60" s="4">
        <v>0</v>
      </c>
      <c r="F60" s="75" t="s">
        <v>18</v>
      </c>
      <c r="I60" s="314">
        <v>2343750</v>
      </c>
      <c r="N60" s="284">
        <f t="shared" si="18"/>
        <v>2343750</v>
      </c>
      <c r="O60" s="256">
        <f>+Summary!$C$5</f>
        <v>37161</v>
      </c>
      <c r="P60" s="4">
        <f t="shared" si="24"/>
        <v>0</v>
      </c>
      <c r="Q60" s="4">
        <v>0</v>
      </c>
      <c r="R60" s="282">
        <f>+P60+Q60</f>
        <v>0</v>
      </c>
      <c r="S60" s="4">
        <v>0</v>
      </c>
      <c r="T60" s="4">
        <f t="shared" si="17"/>
        <v>0</v>
      </c>
      <c r="U60" s="4">
        <f>VLOOKUP(+Summary!$E$5,Privates,V60)</f>
        <v>2343750</v>
      </c>
      <c r="V60" s="228">
        <f t="shared" si="22"/>
        <v>28</v>
      </c>
      <c r="W60" s="137">
        <f>+N60+'Private Cash'!AB378-'MPR Raptor'!U14</f>
        <v>0</v>
      </c>
      <c r="Z60" s="4">
        <v>0</v>
      </c>
      <c r="AA60" s="5">
        <v>0</v>
      </c>
      <c r="AB60" s="4">
        <f t="shared" si="20"/>
        <v>0</v>
      </c>
      <c r="AC60" s="4">
        <f t="shared" si="21"/>
        <v>0</v>
      </c>
      <c r="AD60" s="137">
        <f>-AC60+'MPR Raptor'!AH14</f>
        <v>0</v>
      </c>
      <c r="AG60" s="293"/>
      <c r="AK60" s="298"/>
      <c r="AL60" s="298"/>
    </row>
    <row r="61" spans="1:38" x14ac:dyDescent="0.3">
      <c r="A61" t="s">
        <v>406</v>
      </c>
      <c r="B61" s="262">
        <v>36741</v>
      </c>
      <c r="C61" s="262">
        <v>37836</v>
      </c>
      <c r="D61" s="75" t="s">
        <v>17</v>
      </c>
      <c r="E61" s="4">
        <v>0</v>
      </c>
      <c r="F61" s="75" t="s">
        <v>18</v>
      </c>
      <c r="I61" s="314">
        <v>16316247</v>
      </c>
      <c r="N61" s="284">
        <f t="shared" si="18"/>
        <v>16316247</v>
      </c>
      <c r="O61" s="256">
        <f>+Summary!$C$5</f>
        <v>37161</v>
      </c>
      <c r="P61" s="4">
        <f t="shared" si="24"/>
        <v>0</v>
      </c>
      <c r="Q61" s="4">
        <v>0</v>
      </c>
      <c r="R61" s="282">
        <f>+P61+Q61</f>
        <v>0</v>
      </c>
      <c r="S61" s="4">
        <v>0</v>
      </c>
      <c r="T61" s="4">
        <f t="shared" si="17"/>
        <v>0</v>
      </c>
      <c r="U61" s="4">
        <f>VLOOKUP(+Summary!$E$5,Privates,V61)</f>
        <v>16316247</v>
      </c>
      <c r="V61" s="228">
        <f t="shared" si="22"/>
        <v>29</v>
      </c>
      <c r="W61" s="137">
        <f>+N61+'Private Cash'!AC378-'MPR Raptor'!U15</f>
        <v>0</v>
      </c>
      <c r="Z61" s="4">
        <v>0</v>
      </c>
      <c r="AA61" s="5">
        <v>0</v>
      </c>
      <c r="AB61" s="4">
        <f t="shared" si="20"/>
        <v>0</v>
      </c>
      <c r="AC61" s="4">
        <f t="shared" si="21"/>
        <v>0</v>
      </c>
      <c r="AD61" s="137">
        <f>-AC61+'MPR Raptor'!AH15</f>
        <v>0</v>
      </c>
      <c r="AG61" s="293"/>
      <c r="AK61" s="298"/>
      <c r="AL61" s="298"/>
    </row>
    <row r="62" spans="1:38" x14ac:dyDescent="0.3">
      <c r="A62" t="s">
        <v>407</v>
      </c>
      <c r="B62" s="262">
        <v>36741</v>
      </c>
      <c r="C62" s="262">
        <v>37836</v>
      </c>
      <c r="D62" s="75" t="s">
        <v>17</v>
      </c>
      <c r="E62" s="4">
        <v>0</v>
      </c>
      <c r="F62" s="75" t="s">
        <v>18</v>
      </c>
      <c r="I62" s="314">
        <v>1050000</v>
      </c>
      <c r="N62" s="284">
        <f t="shared" si="18"/>
        <v>1050000</v>
      </c>
      <c r="O62" s="256">
        <f>+Summary!$C$5</f>
        <v>37161</v>
      </c>
      <c r="P62" s="4">
        <f t="shared" si="24"/>
        <v>0</v>
      </c>
      <c r="Q62" s="4">
        <v>0</v>
      </c>
      <c r="R62" s="282">
        <f>+P62+Q62</f>
        <v>0</v>
      </c>
      <c r="S62" s="4">
        <v>0</v>
      </c>
      <c r="T62" s="4">
        <f t="shared" si="17"/>
        <v>0</v>
      </c>
      <c r="U62" s="4">
        <f>VLOOKUP(+Summary!$E$5,Privates,V62)</f>
        <v>1050000</v>
      </c>
      <c r="V62" s="228">
        <f t="shared" si="22"/>
        <v>30</v>
      </c>
      <c r="W62" s="137">
        <f>+N62+'Private Cash'!AD378-'MPR Raptor'!U16</f>
        <v>0</v>
      </c>
      <c r="Z62" s="4">
        <v>0</v>
      </c>
      <c r="AA62" s="5">
        <v>0</v>
      </c>
      <c r="AB62" s="4">
        <f t="shared" si="20"/>
        <v>0</v>
      </c>
      <c r="AC62" s="4">
        <f t="shared" si="21"/>
        <v>0</v>
      </c>
      <c r="AD62" s="137">
        <f>-AC62+'MPR Raptor'!AH16</f>
        <v>0</v>
      </c>
      <c r="AG62" s="293"/>
      <c r="AK62" s="298"/>
      <c r="AL62" s="298"/>
    </row>
    <row r="63" spans="1:38" x14ac:dyDescent="0.3">
      <c r="A63" s="134" t="s">
        <v>383</v>
      </c>
      <c r="B63" s="262">
        <v>36741</v>
      </c>
      <c r="C63" s="262">
        <v>37836</v>
      </c>
      <c r="D63" s="75" t="s">
        <v>17</v>
      </c>
      <c r="E63" s="4">
        <v>0</v>
      </c>
      <c r="F63" s="75" t="s">
        <v>18</v>
      </c>
      <c r="G63" s="2">
        <v>217.28</v>
      </c>
      <c r="H63" s="3">
        <v>375000</v>
      </c>
      <c r="I63" s="314">
        <f>ROUND(+G63*H63,2)</f>
        <v>81480000</v>
      </c>
      <c r="N63" s="284">
        <f t="shared" si="18"/>
        <v>44836040.100000001</v>
      </c>
      <c r="O63" s="256">
        <f>+Summary!$C$5</f>
        <v>37161</v>
      </c>
      <c r="P63" s="4">
        <f t="shared" si="24"/>
        <v>-36643959.899999999</v>
      </c>
      <c r="Q63" s="4">
        <v>0</v>
      </c>
      <c r="R63" s="282">
        <f t="shared" si="19"/>
        <v>-36643959.899999999</v>
      </c>
      <c r="S63" s="4">
        <v>0</v>
      </c>
      <c r="T63" s="4">
        <f t="shared" si="17"/>
        <v>-36643959.899999999</v>
      </c>
      <c r="U63" s="4">
        <f>VLOOKUP(+Summary!$E$5,Privates,V63)</f>
        <v>44836040.100000001</v>
      </c>
      <c r="V63" s="228">
        <f t="shared" si="22"/>
        <v>31</v>
      </c>
      <c r="W63" s="137">
        <f>+N63+'Private Cash'!AE378-'MPR Raptor'!U38</f>
        <v>0</v>
      </c>
      <c r="X63" s="5"/>
      <c r="Z63" s="4">
        <v>0</v>
      </c>
      <c r="AA63" s="5">
        <v>-36643959.899999999</v>
      </c>
      <c r="AB63" s="4">
        <f t="shared" si="20"/>
        <v>0</v>
      </c>
      <c r="AC63" s="4">
        <f t="shared" si="21"/>
        <v>0</v>
      </c>
      <c r="AD63" s="137">
        <f>-AC63+'MPR Raptor'!AH41</f>
        <v>0</v>
      </c>
      <c r="AG63" s="293"/>
      <c r="AK63" s="298"/>
      <c r="AL63" s="298"/>
    </row>
    <row r="64" spans="1:38" x14ac:dyDescent="0.3">
      <c r="A64" s="134" t="s">
        <v>382</v>
      </c>
      <c r="B64" s="262">
        <v>36741</v>
      </c>
      <c r="C64" s="262">
        <v>37836</v>
      </c>
      <c r="D64" s="75" t="s">
        <v>17</v>
      </c>
      <c r="E64" s="4">
        <v>0</v>
      </c>
      <c r="F64" s="75" t="s">
        <v>18</v>
      </c>
      <c r="G64" s="2">
        <v>1360</v>
      </c>
      <c r="H64" s="3">
        <v>1000</v>
      </c>
      <c r="I64" s="314">
        <f>ROUND(+G64*H64,2)</f>
        <v>1360000</v>
      </c>
      <c r="J64" s="256">
        <v>37078</v>
      </c>
      <c r="K64" s="67" t="s">
        <v>446</v>
      </c>
      <c r="L64" s="3"/>
      <c r="M64" s="4">
        <v>0</v>
      </c>
      <c r="N64" s="284">
        <f t="shared" si="18"/>
        <v>0</v>
      </c>
      <c r="O64" s="256">
        <f>+Summary!$C$5</f>
        <v>37161</v>
      </c>
      <c r="P64" s="4">
        <f>IF(O64&lt;B64,0,IF(O64+1&gt;J64,0,(+N64-I64-Q64)))</f>
        <v>0</v>
      </c>
      <c r="Q64" s="4">
        <f>IF(O64+1&gt;J64,+M64-I64,0)</f>
        <v>-1360000</v>
      </c>
      <c r="R64" s="282">
        <f t="shared" si="19"/>
        <v>-1360000</v>
      </c>
      <c r="S64" s="4">
        <f>IF(O64&gt;J64,+Q64,0)</f>
        <v>-1360000</v>
      </c>
      <c r="T64" s="4">
        <f t="shared" si="17"/>
        <v>-1360000</v>
      </c>
      <c r="U64" s="4">
        <f>VLOOKUP(+Summary!$E$5,Privates,V64)</f>
        <v>0</v>
      </c>
      <c r="V64" s="228">
        <f t="shared" si="22"/>
        <v>32</v>
      </c>
      <c r="W64" s="137">
        <f>+N64+'Private Cash'!AF378-'MPR Raptor'!U45</f>
        <v>0</v>
      </c>
      <c r="Z64" s="4">
        <v>0</v>
      </c>
      <c r="AA64" s="5">
        <v>-1360000</v>
      </c>
      <c r="AB64" s="4">
        <f t="shared" si="20"/>
        <v>-1360000</v>
      </c>
      <c r="AC64" s="4">
        <f t="shared" si="21"/>
        <v>0</v>
      </c>
      <c r="AD64" s="321">
        <f>-AC64+'MPR Raptor'!AH45</f>
        <v>0</v>
      </c>
      <c r="AG64" s="293"/>
      <c r="AK64" s="298"/>
      <c r="AL64" s="298"/>
    </row>
    <row r="65" spans="1:38" x14ac:dyDescent="0.3">
      <c r="A65" s="134" t="s">
        <v>181</v>
      </c>
      <c r="B65" s="262">
        <v>36741</v>
      </c>
      <c r="C65" s="262">
        <v>37836</v>
      </c>
      <c r="D65" s="75" t="s">
        <v>419</v>
      </c>
      <c r="E65" s="4">
        <v>36066314</v>
      </c>
      <c r="F65" s="75" t="s">
        <v>467</v>
      </c>
      <c r="I65" s="314">
        <f>93746590-I66</f>
        <v>63109023.640000001</v>
      </c>
      <c r="J65" s="256">
        <v>36910</v>
      </c>
      <c r="K65" s="67" t="s">
        <v>487</v>
      </c>
      <c r="L65" s="3"/>
      <c r="M65" s="4">
        <v>63109023.640000001</v>
      </c>
      <c r="N65" s="284">
        <f>IF(O65&gt;(J65-1),0,VLOOKUP(+O65,Privates,V65))</f>
        <v>0</v>
      </c>
      <c r="O65" s="256">
        <f>+Summary!$C$5</f>
        <v>37161</v>
      </c>
      <c r="P65" s="4">
        <f t="shared" si="24"/>
        <v>0</v>
      </c>
      <c r="Q65" s="4">
        <f>IF(O65&gt;(J65-1),-M65,0)</f>
        <v>-63109023.640000001</v>
      </c>
      <c r="R65" s="282">
        <f>+P65+Q65</f>
        <v>-63109023.640000001</v>
      </c>
      <c r="S65" s="4">
        <f>IF((O65-1)&gt;(J65-1),-M65,0)</f>
        <v>-63109023.640000001</v>
      </c>
      <c r="T65" s="4">
        <f t="shared" si="17"/>
        <v>-63109023.640000001</v>
      </c>
      <c r="U65" s="4">
        <f>VLOOKUP(+Summary!$E$5,Privates,V65)</f>
        <v>0</v>
      </c>
      <c r="V65" s="228">
        <f t="shared" si="22"/>
        <v>33</v>
      </c>
      <c r="W65" s="137">
        <f>+N65+'Private Cash'!AG378-'MPR Raptor'!U58</f>
        <v>0</v>
      </c>
      <c r="Z65" s="4">
        <v>-63109023.640000001</v>
      </c>
      <c r="AA65" s="5">
        <v>-63109023.640000001</v>
      </c>
      <c r="AB65" s="4">
        <f t="shared" si="20"/>
        <v>0</v>
      </c>
      <c r="AC65" s="4">
        <f t="shared" si="21"/>
        <v>0</v>
      </c>
      <c r="AD65" s="137">
        <f>-AC65+'MPR Raptor'!AH58</f>
        <v>0</v>
      </c>
      <c r="AG65" s="293"/>
      <c r="AK65" s="298"/>
      <c r="AL65" s="298"/>
    </row>
    <row r="66" spans="1:38" x14ac:dyDescent="0.3">
      <c r="A66" s="134" t="s">
        <v>181</v>
      </c>
      <c r="F66" s="75" t="s">
        <v>467</v>
      </c>
      <c r="I66" s="314">
        <f>93746590-M65</f>
        <v>30637566.359999999</v>
      </c>
      <c r="J66" s="256">
        <v>37071</v>
      </c>
      <c r="K66" s="67" t="s">
        <v>487</v>
      </c>
      <c r="L66" s="3"/>
      <c r="M66" s="4">
        <f>+I66</f>
        <v>30637566.359999999</v>
      </c>
      <c r="N66" s="284">
        <f>IF(N65=0,VLOOKUP(+O65,Privates,V65),0)</f>
        <v>0</v>
      </c>
      <c r="O66" s="256">
        <f>+Summary!$C$5</f>
        <v>37161</v>
      </c>
      <c r="P66" s="4">
        <f t="shared" si="24"/>
        <v>0</v>
      </c>
      <c r="Q66" s="4">
        <f>IF(O66&gt;(J66-1),-M66,0)</f>
        <v>-30637566.359999999</v>
      </c>
      <c r="R66" s="282">
        <f>+P66+Q66</f>
        <v>-30637566.359999999</v>
      </c>
      <c r="S66" s="4">
        <f>IF((O66-1)&gt;(J66-1),-M66,0)</f>
        <v>-30637566.359999999</v>
      </c>
      <c r="T66" s="4">
        <f t="shared" si="17"/>
        <v>-30637566.359999999</v>
      </c>
      <c r="U66" s="4"/>
      <c r="V66" s="228"/>
      <c r="W66" s="137"/>
      <c r="Z66" s="4">
        <v>-30637566.359999999</v>
      </c>
      <c r="AA66" s="5">
        <v>-30637566.359999999</v>
      </c>
      <c r="AB66" s="4">
        <f>+Q66-Z66</f>
        <v>0</v>
      </c>
      <c r="AC66" s="4">
        <f>ROUND(+R66-AA66,2)</f>
        <v>0</v>
      </c>
      <c r="AD66" s="137"/>
      <c r="AG66" s="293"/>
      <c r="AK66" s="298"/>
      <c r="AL66" s="298"/>
    </row>
    <row r="67" spans="1:38" x14ac:dyDescent="0.3">
      <c r="A67" s="134"/>
      <c r="I67" s="314"/>
      <c r="N67" s="284"/>
      <c r="P67" s="4"/>
      <c r="Q67" s="4"/>
      <c r="R67" s="282"/>
      <c r="T67" s="4"/>
      <c r="U67" s="4"/>
      <c r="V67" s="228"/>
      <c r="W67" s="137"/>
      <c r="AA67" s="5"/>
      <c r="AC67" s="4"/>
      <c r="AD67" s="137"/>
      <c r="AG67" s="293"/>
      <c r="AK67" s="298"/>
      <c r="AL67" s="298"/>
    </row>
    <row r="68" spans="1:38" x14ac:dyDescent="0.3">
      <c r="A68" s="134" t="s">
        <v>231</v>
      </c>
      <c r="I68" s="314"/>
      <c r="N68" s="284"/>
      <c r="P68" s="4"/>
      <c r="Q68" s="4"/>
      <c r="R68" s="282"/>
      <c r="T68" s="4"/>
      <c r="U68" s="4"/>
      <c r="V68" s="228"/>
      <c r="W68" s="137"/>
      <c r="AA68" s="5"/>
      <c r="AC68" s="4"/>
      <c r="AD68" s="137"/>
      <c r="AG68" s="293"/>
      <c r="AK68" s="298"/>
      <c r="AL68" s="298"/>
    </row>
    <row r="69" spans="1:38" x14ac:dyDescent="0.3">
      <c r="A69" t="s">
        <v>166</v>
      </c>
      <c r="B69" s="262">
        <v>36741</v>
      </c>
      <c r="C69" s="262">
        <v>37836</v>
      </c>
      <c r="D69" s="75" t="s">
        <v>17</v>
      </c>
      <c r="E69" s="4">
        <v>0</v>
      </c>
      <c r="F69" s="75" t="s">
        <v>18</v>
      </c>
      <c r="G69" s="2">
        <f>+G4</f>
        <v>1.17868389193476</v>
      </c>
      <c r="H69" s="3">
        <f>ROUND(+H4/0.6*0.3612,2)</f>
        <v>46956</v>
      </c>
      <c r="I69" s="314">
        <f>ROUND(+G69*H69,2)</f>
        <v>55346.28</v>
      </c>
      <c r="J69" s="256">
        <v>37069</v>
      </c>
      <c r="K69" s="67">
        <f>104000/130000</f>
        <v>0.8</v>
      </c>
      <c r="L69" s="3">
        <f>ROUND(+L4/0.6*0.3612,2)</f>
        <v>46956</v>
      </c>
      <c r="M69" s="4">
        <f>L69*K69</f>
        <v>37564.800000000003</v>
      </c>
      <c r="N69" s="291">
        <f>+N4</f>
        <v>1.3036963389685119</v>
      </c>
      <c r="O69" s="256">
        <f>+Summary!$C$5</f>
        <v>37161</v>
      </c>
      <c r="P69" s="4">
        <f>IF(O69&lt;B69,0,ROUND((+N69*(H69-IF(J69&gt;O69,0,L69))),2)-ROUND(((H69-IF(J69&gt;O69,0,L69))*G69),2))</f>
        <v>0</v>
      </c>
      <c r="Q69" s="4">
        <f>ROUND((+K69-G69)*L69,2)</f>
        <v>-17781.48</v>
      </c>
      <c r="R69" s="282">
        <f>+P69+Q69</f>
        <v>-17781.48</v>
      </c>
      <c r="S69" s="4">
        <f>IF(J69&lt;O69,+Q69,0)</f>
        <v>-17781.48</v>
      </c>
      <c r="T69" s="4">
        <f>IF(Summary!$E$5&lt;'Daily Position'!B69,0,ROUND(+U69*(H69-IF(S69=0,0,L69)),2)+IF(S69=0,0,M69)-I69)</f>
        <v>-17781.479999999996</v>
      </c>
      <c r="U69" s="67">
        <f>+U4</f>
        <v>1.3101495982820808</v>
      </c>
      <c r="V69" s="2"/>
      <c r="W69" s="137">
        <f>+N69*(H69-L69)-'MPR Raptor'!U19</f>
        <v>0</v>
      </c>
      <c r="Z69" s="4">
        <v>-17781.48</v>
      </c>
      <c r="AA69" s="5">
        <v>-17781.48</v>
      </c>
      <c r="AB69" s="4">
        <f>+Q69-Z69</f>
        <v>0</v>
      </c>
      <c r="AC69" s="4">
        <f>ROUND(+R69-AA69,2)</f>
        <v>0</v>
      </c>
      <c r="AD69" s="137">
        <f>-AC69+'MPR Raptor'!AH19</f>
        <v>0</v>
      </c>
      <c r="AG69" s="292">
        <f>+N69*(H69-L69)</f>
        <v>0</v>
      </c>
      <c r="AK69" s="298"/>
      <c r="AL69" s="298"/>
    </row>
    <row r="70" spans="1:38" x14ac:dyDescent="0.3">
      <c r="A70" t="s">
        <v>379</v>
      </c>
      <c r="B70" s="262">
        <v>36741</v>
      </c>
      <c r="C70" s="262">
        <v>37836</v>
      </c>
      <c r="D70" s="75" t="s">
        <v>17</v>
      </c>
      <c r="E70" s="4">
        <v>0</v>
      </c>
      <c r="F70" s="75" t="s">
        <v>18</v>
      </c>
      <c r="G70" s="2">
        <f>+G28</f>
        <v>1.6839500000000001</v>
      </c>
      <c r="H70" s="3">
        <f>ROUND(+H28/0.6*0.3612,2)</f>
        <v>442470</v>
      </c>
      <c r="I70" s="314">
        <f>ROUND(+G70*H70,2)-2</f>
        <v>745095.36</v>
      </c>
      <c r="J70" s="256">
        <f t="shared" ref="J70:K73" si="25">+J28</f>
        <v>36839</v>
      </c>
      <c r="K70" s="2">
        <f t="shared" si="25"/>
        <v>1.93798449612403</v>
      </c>
      <c r="L70" s="3">
        <f>ROUND(+L28/0.6*0.3612,2)</f>
        <v>442470</v>
      </c>
      <c r="M70" s="4">
        <f>ROUND(+K70*L70,2)-2</f>
        <v>857498</v>
      </c>
      <c r="N70" s="291">
        <f>+N28</f>
        <v>0</v>
      </c>
      <c r="O70" s="256">
        <f>+Summary!$C$5</f>
        <v>37161</v>
      </c>
      <c r="P70" s="4">
        <f>IF(O70&lt;B70,0,ROUND((+N70*(H70-L70)),2)-ROUND(((H70-L70)*G70),2))</f>
        <v>0</v>
      </c>
      <c r="Q70" s="4">
        <f>IF(J70&lt;(O70+1),(+K70-G70)*L70,0)</f>
        <v>112402.64349999953</v>
      </c>
      <c r="R70" s="282">
        <f t="shared" ref="R70:R75" si="26">+P70+Q70</f>
        <v>112402.64349999953</v>
      </c>
      <c r="S70" s="4">
        <f>IF(J70&lt;O70,+Q70,0)</f>
        <v>112402.64349999953</v>
      </c>
      <c r="T70" s="4">
        <f>IF(Summary!$E$5&lt;'Daily Position'!B70,0,ROUND(+U70*(H70-L70),2)+M70-I70)</f>
        <v>112402.64000000001</v>
      </c>
      <c r="U70" s="67">
        <f>+U28</f>
        <v>1.9379844961240309</v>
      </c>
      <c r="V70" s="2"/>
      <c r="W70" s="137"/>
      <c r="X70" s="210"/>
      <c r="Z70" s="4">
        <v>112402.64349999953</v>
      </c>
      <c r="AA70" s="5">
        <v>112402.64349999953</v>
      </c>
      <c r="AB70" s="4">
        <f t="shared" ref="AB70:AB75" si="27">+Q70-Z70</f>
        <v>0</v>
      </c>
      <c r="AC70" s="4">
        <f t="shared" ref="AC70:AC75" si="28">ROUND(+R70-AA70,2)</f>
        <v>0</v>
      </c>
      <c r="AD70" s="137"/>
      <c r="AG70" s="292">
        <f>+N70*(H70-L70)</f>
        <v>0</v>
      </c>
      <c r="AK70" s="298"/>
      <c r="AL70" s="298"/>
    </row>
    <row r="71" spans="1:38" x14ac:dyDescent="0.3">
      <c r="A71" t="str">
        <f>+A29</f>
        <v>DevX Energy Common</v>
      </c>
      <c r="B71" s="262">
        <v>36741</v>
      </c>
      <c r="C71" s="262">
        <v>37836</v>
      </c>
      <c r="D71" s="75" t="s">
        <v>17</v>
      </c>
      <c r="E71" s="4">
        <v>0</v>
      </c>
      <c r="F71" s="75" t="s">
        <v>18</v>
      </c>
      <c r="G71" s="2">
        <f>+G29</f>
        <v>14.039765555621337</v>
      </c>
      <c r="H71" s="3">
        <f>ROUND(+H29/0.6*0.3612,4)</f>
        <v>6101.0291999999999</v>
      </c>
      <c r="I71" s="314">
        <f>ROUND(+G71*H71,2)</f>
        <v>85657.02</v>
      </c>
      <c r="J71" s="256">
        <f t="shared" si="25"/>
        <v>36980</v>
      </c>
      <c r="K71" s="2">
        <f t="shared" si="25"/>
        <v>7.9992599609259365</v>
      </c>
      <c r="L71" s="3">
        <f>ROUND(+L29/0.6*0.3612,4)</f>
        <v>6101.0291999999999</v>
      </c>
      <c r="M71" s="4">
        <f>ROUND(+K71*L71,2)</f>
        <v>48803.72</v>
      </c>
      <c r="N71" s="291">
        <f>+N29</f>
        <v>5.4</v>
      </c>
      <c r="O71" s="256">
        <f>+Summary!$C$5</f>
        <v>37161</v>
      </c>
      <c r="P71" s="4">
        <f>IF(O71&lt;B71,0,ROUND((+N71*(H71-L71)),2)-ROUND(((H71-L71)*G71),2))</f>
        <v>0</v>
      </c>
      <c r="Q71" s="4">
        <f>IF(J71&lt;(O71+1),(+K71-G71)*L71,0)</f>
        <v>-36853.301015999998</v>
      </c>
      <c r="R71" s="282">
        <f t="shared" si="26"/>
        <v>-36853.301015999998</v>
      </c>
      <c r="S71" s="4">
        <f>IF(J71&lt;O71,+Q71,0)</f>
        <v>-36853.301015999998</v>
      </c>
      <c r="T71" s="4">
        <f>IF(Summary!$E$5&lt;'Daily Position'!B71,0,ROUND(+U71*(H71-L71),2)+M71-I71)</f>
        <v>-36853.300000000003</v>
      </c>
      <c r="U71" s="67">
        <f>+U29</f>
        <v>5.25</v>
      </c>
      <c r="V71" s="2"/>
      <c r="W71" s="137">
        <f>+N71*(H71+H72-L71-L72)-'MPR Raptor'!U31</f>
        <v>0</v>
      </c>
      <c r="X71" s="210"/>
      <c r="Z71" s="4">
        <v>-36853.301015999998</v>
      </c>
      <c r="AA71" s="5">
        <v>-36853.301015999998</v>
      </c>
      <c r="AB71" s="4">
        <f t="shared" si="27"/>
        <v>0</v>
      </c>
      <c r="AC71" s="4">
        <f t="shared" si="28"/>
        <v>0</v>
      </c>
      <c r="AD71" s="137">
        <f>-AC71+'MPR Raptor'!AH31</f>
        <v>0</v>
      </c>
      <c r="AG71" s="292">
        <f>+N71*(H71-L71)</f>
        <v>0</v>
      </c>
      <c r="AK71" s="298"/>
      <c r="AL71" s="298"/>
    </row>
    <row r="72" spans="1:38" x14ac:dyDescent="0.3">
      <c r="A72" t="str">
        <f>+A30</f>
        <v>DevX Energy Pref</v>
      </c>
      <c r="B72" s="262">
        <v>36741</v>
      </c>
      <c r="C72" s="262">
        <v>37836</v>
      </c>
      <c r="D72" s="75" t="s">
        <v>17</v>
      </c>
      <c r="E72" s="4">
        <v>0</v>
      </c>
      <c r="F72" s="75" t="s">
        <v>18</v>
      </c>
      <c r="G72" s="2">
        <f>+G30</f>
        <v>4.0658823529411761</v>
      </c>
      <c r="H72" s="3">
        <f>ROUND(+H30/0.6*0.3612,4)</f>
        <v>76755</v>
      </c>
      <c r="I72" s="314">
        <f>ROUND(+G72*H72,2)</f>
        <v>312076.79999999999</v>
      </c>
      <c r="J72" s="256">
        <f t="shared" si="25"/>
        <v>36874</v>
      </c>
      <c r="K72" s="2">
        <f t="shared" si="25"/>
        <v>6.9997647058823533</v>
      </c>
      <c r="L72" s="3">
        <f>ROUND(+L30/0.6*0.3612,4)</f>
        <v>76755</v>
      </c>
      <c r="M72" s="4">
        <f>ROUND(+K72*L72,2)</f>
        <v>537266.93999999994</v>
      </c>
      <c r="N72" s="291">
        <f>+N30</f>
        <v>5.4</v>
      </c>
      <c r="O72" s="256">
        <f>+Summary!$C$5</f>
        <v>37161</v>
      </c>
      <c r="P72" s="4">
        <f>IF(O72&lt;B72,0,ROUND((+N72*(H72-L72)),2)-ROUND(((H72-L72)*G72),2))</f>
        <v>0</v>
      </c>
      <c r="Q72" s="4">
        <f>IF(J72&lt;(O72+1),(+K72-G72)*L72,0)</f>
        <v>225190.14000000007</v>
      </c>
      <c r="R72" s="282">
        <f>+P72+Q72</f>
        <v>225190.14000000007</v>
      </c>
      <c r="S72" s="4">
        <f>IF(J72&lt;O72,+Q72,0)</f>
        <v>225190.14000000007</v>
      </c>
      <c r="T72" s="4">
        <f>IF(Summary!$E$5&lt;'Daily Position'!B72,0,ROUND(+U72*(H72-L72),2)+M72-I72)</f>
        <v>225190.13999999996</v>
      </c>
      <c r="U72" s="67">
        <f>+U30</f>
        <v>5.25</v>
      </c>
      <c r="V72" s="2"/>
      <c r="W72" s="137"/>
      <c r="X72" s="210"/>
      <c r="Z72" s="4">
        <v>225190.14</v>
      </c>
      <c r="AA72" s="5">
        <v>225190.14</v>
      </c>
      <c r="AB72" s="4">
        <f t="shared" si="27"/>
        <v>0</v>
      </c>
      <c r="AC72" s="4">
        <f t="shared" si="28"/>
        <v>0</v>
      </c>
      <c r="AD72" s="137"/>
      <c r="AG72" s="292">
        <f>+N72*(H72-L72)</f>
        <v>0</v>
      </c>
      <c r="AK72" s="298"/>
      <c r="AL72" s="298"/>
    </row>
    <row r="73" spans="1:38" x14ac:dyDescent="0.3">
      <c r="A73" t="s">
        <v>168</v>
      </c>
      <c r="B73" s="262">
        <v>36741</v>
      </c>
      <c r="C73" s="262">
        <v>37836</v>
      </c>
      <c r="D73" s="75" t="s">
        <v>17</v>
      </c>
      <c r="E73" s="4">
        <v>0</v>
      </c>
      <c r="F73" s="75" t="s">
        <v>18</v>
      </c>
      <c r="G73" s="2">
        <f>+G31</f>
        <v>7.625</v>
      </c>
      <c r="H73" s="3">
        <f>ROUND(+H31/0.6*0.3612,3)</f>
        <v>484154.28600000002</v>
      </c>
      <c r="I73" s="314">
        <f>ROUND(+G73*H73,2)</f>
        <v>3691676.43</v>
      </c>
      <c r="J73" s="256">
        <f t="shared" si="25"/>
        <v>36868</v>
      </c>
      <c r="K73" s="2">
        <f t="shared" si="25"/>
        <v>6.7199995523740954</v>
      </c>
      <c r="L73" s="3">
        <f>ROUND(+L31/0.6*0.3612,3)</f>
        <v>484154.28600000002</v>
      </c>
      <c r="M73" s="4">
        <f>ROUND(+K73*L73,2)</f>
        <v>3253516.59</v>
      </c>
      <c r="N73" s="291">
        <f>+N31</f>
        <v>0</v>
      </c>
      <c r="O73" s="256">
        <f>+Summary!$C$5</f>
        <v>37161</v>
      </c>
      <c r="P73" s="4">
        <f>IF(O73&lt;B73,0,ROUND((+N73*(H73-L73)),2)-ROUND(((H73-L73)*G73),2))</f>
        <v>0</v>
      </c>
      <c r="Q73" s="4">
        <f>IF(J73&lt;(O73+1),(+K73-G73)*L73,0)</f>
        <v>-438159.84555000026</v>
      </c>
      <c r="R73" s="282">
        <f t="shared" si="26"/>
        <v>-438159.84555000026</v>
      </c>
      <c r="S73" s="4">
        <f>IF(J73&lt;O73,+Q73,0)</f>
        <v>-438159.84555000026</v>
      </c>
      <c r="T73" s="4">
        <f>IF(Summary!$E$5&lt;'Daily Position'!B73,0,ROUND(+U73*(H73-L73),2)+M73-I73)</f>
        <v>-438159.84000000032</v>
      </c>
      <c r="U73" s="67">
        <f>+U31</f>
        <v>0</v>
      </c>
      <c r="V73" s="2"/>
      <c r="W73" s="137"/>
      <c r="X73" s="210"/>
      <c r="Z73" s="4">
        <v>-438159.84555000026</v>
      </c>
      <c r="AA73" s="5">
        <v>-438159.84555000026</v>
      </c>
      <c r="AB73" s="4">
        <f t="shared" si="27"/>
        <v>0</v>
      </c>
      <c r="AC73" s="4">
        <f t="shared" si="28"/>
        <v>0</v>
      </c>
      <c r="AD73" s="137"/>
      <c r="AK73" s="298"/>
      <c r="AL73" s="298"/>
    </row>
    <row r="74" spans="1:38" x14ac:dyDescent="0.3">
      <c r="A74" s="134" t="s">
        <v>214</v>
      </c>
      <c r="B74" s="262">
        <v>36741</v>
      </c>
      <c r="C74" s="262">
        <v>37836</v>
      </c>
      <c r="D74" s="75" t="s">
        <v>17</v>
      </c>
      <c r="E74" s="4">
        <v>0</v>
      </c>
      <c r="F74" s="75" t="s">
        <v>18</v>
      </c>
      <c r="I74" s="314">
        <f>ROUND(+I35/0.6*0.3612,2)</f>
        <v>2747287.2</v>
      </c>
      <c r="M74" s="4">
        <f>ROUND(+M35/0.6*0.3612,2)</f>
        <v>0</v>
      </c>
      <c r="N74" s="284">
        <f>ROUND(+N35/0.6*0.3612,2)</f>
        <v>727836.22</v>
      </c>
      <c r="O74" s="256">
        <f>+Summary!$C$5</f>
        <v>37161</v>
      </c>
      <c r="P74" s="4">
        <f>IF(O74&lt;B74,0,(+N74-I74-Q74))</f>
        <v>-2019450.9800000002</v>
      </c>
      <c r="Q74" s="4">
        <v>0</v>
      </c>
      <c r="R74" s="282">
        <f t="shared" si="26"/>
        <v>-2019450.9800000002</v>
      </c>
      <c r="S74" s="4">
        <v>0</v>
      </c>
      <c r="T74" s="4">
        <f>+U74-I74</f>
        <v>-2019450.9800000002</v>
      </c>
      <c r="U74" s="4">
        <f>ROUND(+U35/0.6*0.3612,2)</f>
        <v>727836.22</v>
      </c>
      <c r="V74" s="228"/>
      <c r="W74" s="319">
        <f>+N74+'Private Cash'!C378/0.6*0.3612-'MPR Raptor'!U29</f>
        <v>115320.87791999965</v>
      </c>
      <c r="Z74" s="4">
        <v>0</v>
      </c>
      <c r="AA74" s="5">
        <v>-2019450.98</v>
      </c>
      <c r="AB74" s="4">
        <f t="shared" si="27"/>
        <v>0</v>
      </c>
      <c r="AC74" s="4">
        <f t="shared" si="28"/>
        <v>0</v>
      </c>
      <c r="AD74" s="137">
        <f>-AC74+'MPR Raptor'!AH29</f>
        <v>0</v>
      </c>
      <c r="AK74" s="298"/>
      <c r="AL74" s="298"/>
    </row>
    <row r="75" spans="1:38" x14ac:dyDescent="0.3">
      <c r="A75" s="134" t="s">
        <v>220</v>
      </c>
      <c r="B75" s="262">
        <v>36741</v>
      </c>
      <c r="C75" s="262">
        <v>37836</v>
      </c>
      <c r="D75" s="75" t="s">
        <v>17</v>
      </c>
      <c r="E75" s="4">
        <v>0</v>
      </c>
      <c r="F75" s="75" t="s">
        <v>18</v>
      </c>
      <c r="I75" s="314">
        <f>ROUND(+I48/0.6*0.3612,2)</f>
        <v>283415.58</v>
      </c>
      <c r="M75" s="4">
        <f>ROUND(+M48/0.6*0.3612,2)</f>
        <v>0</v>
      </c>
      <c r="N75" s="284">
        <f>ROUND(+N48/0.6*0.3612,2)</f>
        <v>0</v>
      </c>
      <c r="O75" s="256">
        <f>+Summary!$C$5</f>
        <v>37161</v>
      </c>
      <c r="P75" s="4">
        <f>IF(O75&lt;B75,0,(+N75-I75-Q75))</f>
        <v>-283415.58</v>
      </c>
      <c r="Q75" s="4">
        <v>0</v>
      </c>
      <c r="R75" s="282">
        <f t="shared" si="26"/>
        <v>-283415.58</v>
      </c>
      <c r="S75" s="4">
        <v>0</v>
      </c>
      <c r="T75" s="4">
        <f>+U75-I75</f>
        <v>-283415.58</v>
      </c>
      <c r="U75" s="4">
        <f>ROUND(+U48/0.6*0.3612,2)</f>
        <v>0</v>
      </c>
      <c r="V75" s="228"/>
      <c r="W75" s="137">
        <f>+N75+'Private Cash'!P378/0.6*0.3612-'MPR Raptor'!U33</f>
        <v>0</v>
      </c>
      <c r="Z75" s="4">
        <v>0</v>
      </c>
      <c r="AA75" s="5">
        <v>-283415.58</v>
      </c>
      <c r="AB75" s="4">
        <f t="shared" si="27"/>
        <v>0</v>
      </c>
      <c r="AC75" s="4">
        <f t="shared" si="28"/>
        <v>0</v>
      </c>
      <c r="AD75" s="137">
        <f>-AC75+'MPR Raptor'!AH33</f>
        <v>0</v>
      </c>
      <c r="AK75" s="298"/>
      <c r="AL75" s="298"/>
    </row>
    <row r="76" spans="1:38" x14ac:dyDescent="0.3">
      <c r="A76" s="134"/>
      <c r="I76" s="314"/>
      <c r="N76" s="4"/>
      <c r="P76" s="4"/>
      <c r="Q76" s="4"/>
      <c r="R76" s="282"/>
      <c r="T76" s="4"/>
      <c r="U76" s="4"/>
      <c r="V76" s="228"/>
      <c r="W76" s="137"/>
      <c r="AA76" s="4"/>
      <c r="AC76" s="4"/>
      <c r="AK76" s="298"/>
      <c r="AL76" s="298"/>
    </row>
    <row r="77" spans="1:38" x14ac:dyDescent="0.3">
      <c r="I77" s="314"/>
      <c r="R77" s="293"/>
      <c r="AK77" s="298"/>
      <c r="AL77" s="298"/>
    </row>
    <row r="78" spans="1:38" ht="16.2" thickBot="1" x14ac:dyDescent="0.35">
      <c r="B78" s="263" t="s">
        <v>19</v>
      </c>
      <c r="E78" s="76">
        <f>SUM(E4:E77)</f>
        <v>36066314</v>
      </c>
      <c r="I78" s="315">
        <f>SUM(I3:I77)</f>
        <v>733681676.07000005</v>
      </c>
      <c r="J78" s="69"/>
      <c r="K78" s="69"/>
      <c r="L78" s="69"/>
      <c r="M78" s="69"/>
      <c r="P78" s="76">
        <f>SUM(P3:P77)</f>
        <v>-412597959.98999971</v>
      </c>
      <c r="Q78" s="76">
        <f>SUM(Q3:Q77)</f>
        <v>-126932303.76306601</v>
      </c>
      <c r="R78" s="297">
        <f>SUM(R3:R77)</f>
        <v>-539530263.75306571</v>
      </c>
      <c r="S78" s="235">
        <f>SUM(S3:S77)</f>
        <v>-126932303.76306601</v>
      </c>
      <c r="T78" s="76">
        <f>SUM(T3:T77)</f>
        <v>-539062840.27464867</v>
      </c>
      <c r="U78" s="212"/>
      <c r="V78" s="212"/>
      <c r="W78" s="76">
        <f>SUM(W3:W77)</f>
        <v>115320.87791954001</v>
      </c>
      <c r="Z78" s="235">
        <v>-125572303.76306601</v>
      </c>
      <c r="AA78" s="76">
        <v>-509068158.63306576</v>
      </c>
      <c r="AB78" s="235">
        <f>SUM(AB3:AB77)</f>
        <v>-1360000</v>
      </c>
      <c r="AC78" s="76">
        <f>SUM(AC3:AC77)</f>
        <v>-30462105.119999997</v>
      </c>
      <c r="AD78" s="297">
        <f>SUM(AD3:AD77)</f>
        <v>-2.7202010226056594E-8</v>
      </c>
      <c r="AK78" s="298"/>
      <c r="AL78" s="298"/>
    </row>
    <row r="79" spans="1:38" ht="16.2" thickTop="1" x14ac:dyDescent="0.3">
      <c r="AK79" s="62"/>
      <c r="AL79" s="62"/>
    </row>
    <row r="80" spans="1:38" x14ac:dyDescent="0.3">
      <c r="G80" s="2" t="s">
        <v>445</v>
      </c>
      <c r="P80" s="5">
        <f>+I84+P78</f>
        <v>136957023.85283452</v>
      </c>
      <c r="Q80" s="2">
        <f>SUMIF(Q3:Q77,"&lt;0",Q3:Q77)</f>
        <v>-127896192.89656602</v>
      </c>
      <c r="R80" t="s">
        <v>458</v>
      </c>
      <c r="T80" s="320">
        <f>I84+P78</f>
        <v>136957023.85283452</v>
      </c>
      <c r="W80" s="5"/>
      <c r="Z80" s="4">
        <v>-126536192.89656602</v>
      </c>
      <c r="AA80" s="5" t="s">
        <v>458</v>
      </c>
      <c r="AC80" s="282">
        <f>+AC78+AD78-'MPR Raptor'!AH79+'MPR Raptor'!AH72+'MPR Raptor'!AH71+'MPR Raptor'!AH69+'MPR Raptor'!AH35+'MPR Raptor'!AH75</f>
        <v>1.1175870895385742E-8</v>
      </c>
      <c r="AD80" t="s">
        <v>460</v>
      </c>
      <c r="AK80" s="62"/>
      <c r="AL80" s="299"/>
    </row>
    <row r="81" spans="7:27" x14ac:dyDescent="0.3">
      <c r="G81" s="2" t="s">
        <v>317</v>
      </c>
      <c r="I81" s="314">
        <f>+L4*G4+SUM(I6:I12)+L13*G13+L14*G14+SUM(I17:I27)+L28*G28+L29*G29+L30*G30+L31*G31+L69*G69+L70*G70-2+L71*G71+L72*G72+L73*G73</f>
        <v>64658670.227165774</v>
      </c>
      <c r="Q81" s="2">
        <f>SUMIF(Q3:Q77,"&gt;0",Q3:Q77)</f>
        <v>963889.13349999953</v>
      </c>
      <c r="R81" t="s">
        <v>459</v>
      </c>
      <c r="T81" s="296" t="s">
        <v>532</v>
      </c>
      <c r="W81" s="5"/>
      <c r="Z81" s="4">
        <v>963889.13349999953</v>
      </c>
      <c r="AA81" s="3" t="s">
        <v>459</v>
      </c>
    </row>
    <row r="82" spans="7:27" x14ac:dyDescent="0.3">
      <c r="G82" s="2" t="s">
        <v>312</v>
      </c>
      <c r="I82" s="317">
        <f>+I37+I38+I42+I51+I54+I64+I65+I66</f>
        <v>119468022</v>
      </c>
      <c r="Q82" s="216">
        <f>+Q80+Q81-Q78</f>
        <v>0</v>
      </c>
      <c r="R82" t="s">
        <v>460</v>
      </c>
      <c r="W82" s="5"/>
      <c r="Z82" s="4">
        <v>0</v>
      </c>
      <c r="AA82" s="5" t="s">
        <v>460</v>
      </c>
    </row>
    <row r="83" spans="7:27" x14ac:dyDescent="0.3">
      <c r="W83" s="216"/>
    </row>
    <row r="84" spans="7:27" x14ac:dyDescent="0.3">
      <c r="G84" s="2" t="s">
        <v>447</v>
      </c>
      <c r="I84" s="316">
        <f>+I78-I81-I82</f>
        <v>549554983.84283423</v>
      </c>
      <c r="W84" s="223"/>
    </row>
  </sheetData>
  <mergeCells count="5">
    <mergeCell ref="AB1:AC1"/>
    <mergeCell ref="S1:T1"/>
    <mergeCell ref="H1:I1"/>
    <mergeCell ref="J1:M1"/>
    <mergeCell ref="Z1:AA1"/>
  </mergeCells>
  <phoneticPr fontId="0" type="noConversion"/>
  <pageMargins left="0.75" right="0.75" top="1" bottom="1" header="0.5" footer="0.5"/>
  <pageSetup paperSize="5" scale="35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20"/>
  <sheetViews>
    <sheetView workbookViewId="0">
      <pane ySplit="4" topLeftCell="A285" activePane="bottomLeft" state="frozen"/>
      <selection activeCell="B35" sqref="B35"/>
      <selection pane="bottomLeft" activeCell="A292" sqref="A292"/>
    </sheetView>
  </sheetViews>
  <sheetFormatPr defaultRowHeight="15.6" x14ac:dyDescent="0.3"/>
  <cols>
    <col min="1" max="1" width="10" style="1" bestFit="1" customWidth="1"/>
    <col min="2" max="2" width="14.69921875" style="126" bestFit="1" customWidth="1"/>
    <col min="3" max="3" width="9.69921875" style="126" bestFit="1" customWidth="1"/>
    <col min="4" max="4" width="9.09765625" style="126" bestFit="1" customWidth="1"/>
    <col min="5" max="5" width="11.19921875" style="126" customWidth="1"/>
    <col min="6" max="8" width="9.09765625" style="126" bestFit="1" customWidth="1"/>
    <col min="9" max="9" width="9.69921875" style="126" bestFit="1" customWidth="1"/>
    <col min="10" max="11" width="9.09765625" style="126" bestFit="1" customWidth="1"/>
    <col min="12" max="12" width="9.09765625" style="126" customWidth="1"/>
  </cols>
  <sheetData>
    <row r="1" spans="1:15" x14ac:dyDescent="0.3">
      <c r="A1" s="257" t="s">
        <v>159</v>
      </c>
      <c r="B1" s="122"/>
      <c r="C1" s="125"/>
    </row>
    <row r="2" spans="1:15" x14ac:dyDescent="0.3">
      <c r="B2" s="272">
        <v>2</v>
      </c>
      <c r="C2" s="272">
        <f t="shared" ref="C2:L2" si="0">+B2+1</f>
        <v>3</v>
      </c>
      <c r="D2" s="272">
        <f t="shared" si="0"/>
        <v>4</v>
      </c>
      <c r="E2" s="272">
        <f t="shared" si="0"/>
        <v>5</v>
      </c>
      <c r="F2" s="272">
        <f t="shared" si="0"/>
        <v>6</v>
      </c>
      <c r="G2" s="272">
        <f t="shared" si="0"/>
        <v>7</v>
      </c>
      <c r="H2" s="272">
        <f t="shared" si="0"/>
        <v>8</v>
      </c>
      <c r="I2" s="272">
        <f t="shared" si="0"/>
        <v>9</v>
      </c>
      <c r="J2" s="272">
        <f t="shared" si="0"/>
        <v>10</v>
      </c>
      <c r="K2" s="272">
        <f t="shared" si="0"/>
        <v>11</v>
      </c>
      <c r="L2" s="272">
        <f t="shared" si="0"/>
        <v>12</v>
      </c>
    </row>
    <row r="3" spans="1:15" s="271" customFormat="1" ht="46.8" x14ac:dyDescent="0.3">
      <c r="A3" s="269"/>
      <c r="B3" s="270" t="s">
        <v>4</v>
      </c>
      <c r="C3" s="270" t="s">
        <v>13</v>
      </c>
      <c r="D3" s="270" t="s">
        <v>164</v>
      </c>
      <c r="E3" s="270" t="s">
        <v>457</v>
      </c>
      <c r="F3" s="270" t="s">
        <v>468</v>
      </c>
      <c r="G3" s="270" t="s">
        <v>165</v>
      </c>
      <c r="H3" s="270" t="s">
        <v>166</v>
      </c>
      <c r="I3" s="270" t="s">
        <v>401</v>
      </c>
      <c r="J3" s="270" t="s">
        <v>167</v>
      </c>
      <c r="K3" s="270" t="s">
        <v>168</v>
      </c>
      <c r="L3" s="270" t="s">
        <v>178</v>
      </c>
    </row>
    <row r="4" spans="1:15" x14ac:dyDescent="0.3">
      <c r="A4" s="258" t="s">
        <v>1</v>
      </c>
      <c r="B4" s="124" t="s">
        <v>12</v>
      </c>
      <c r="C4" s="124" t="s">
        <v>14</v>
      </c>
      <c r="D4" s="124" t="s">
        <v>170</v>
      </c>
      <c r="E4" s="124" t="s">
        <v>380</v>
      </c>
      <c r="F4" s="124" t="s">
        <v>468</v>
      </c>
      <c r="G4" s="124" t="s">
        <v>171</v>
      </c>
      <c r="H4" s="124" t="s">
        <v>172</v>
      </c>
      <c r="I4" s="124" t="s">
        <v>402</v>
      </c>
      <c r="J4" s="124" t="s">
        <v>174</v>
      </c>
      <c r="K4" s="124" t="s">
        <v>169</v>
      </c>
      <c r="L4" s="124" t="s">
        <v>451</v>
      </c>
    </row>
    <row r="5" spans="1:15" x14ac:dyDescent="0.3">
      <c r="A5" s="1">
        <v>36739</v>
      </c>
      <c r="B5" s="123">
        <v>76</v>
      </c>
      <c r="C5" s="125">
        <v>107.5</v>
      </c>
      <c r="D5" s="126">
        <v>51.766671915874781</v>
      </c>
      <c r="E5" s="126">
        <v>1.7470770057787932</v>
      </c>
      <c r="F5" s="126">
        <v>9.4E-2</v>
      </c>
      <c r="G5" s="126">
        <v>3.3478813829999998</v>
      </c>
      <c r="H5" s="126">
        <v>1.091023692</v>
      </c>
      <c r="I5" s="126">
        <v>1.091023692</v>
      </c>
      <c r="J5" s="126">
        <v>6</v>
      </c>
      <c r="K5" s="126">
        <v>7.125</v>
      </c>
      <c r="N5" s="136"/>
      <c r="O5" s="138"/>
    </row>
    <row r="6" spans="1:15" x14ac:dyDescent="0.3">
      <c r="A6" s="1">
        <v>36740</v>
      </c>
      <c r="B6" s="123">
        <v>77.625</v>
      </c>
      <c r="C6" s="125">
        <v>132</v>
      </c>
      <c r="D6" s="126">
        <v>51.766671915874781</v>
      </c>
      <c r="E6" s="126">
        <v>1.7555705604321403</v>
      </c>
      <c r="F6" s="126">
        <v>7.8E-2</v>
      </c>
      <c r="G6" s="126">
        <v>3.3473850440000001</v>
      </c>
      <c r="H6" s="126">
        <v>1.195439165</v>
      </c>
      <c r="I6" s="126">
        <v>1.195439165</v>
      </c>
      <c r="J6" s="126">
        <v>6</v>
      </c>
      <c r="K6" s="126">
        <v>7.3129999999999997</v>
      </c>
      <c r="N6" s="136"/>
      <c r="O6" s="138"/>
    </row>
    <row r="7" spans="1:15" x14ac:dyDescent="0.3">
      <c r="A7" s="1">
        <v>36741</v>
      </c>
      <c r="B7" s="123">
        <v>78.016000000000005</v>
      </c>
      <c r="C7" s="125">
        <v>163.5</v>
      </c>
      <c r="D7" s="126">
        <v>51.766671915874781</v>
      </c>
      <c r="E7" s="126">
        <v>1.6839552741479187</v>
      </c>
      <c r="F7" s="126">
        <v>9.4E-2</v>
      </c>
      <c r="G7" s="126">
        <v>4.1954025149999996</v>
      </c>
      <c r="H7" s="126">
        <v>1.178683892</v>
      </c>
      <c r="I7" s="126">
        <v>1.178683892</v>
      </c>
      <c r="J7" s="126">
        <v>5.875</v>
      </c>
      <c r="K7" s="126">
        <v>7.625</v>
      </c>
      <c r="N7" s="136"/>
      <c r="O7" s="138"/>
    </row>
    <row r="8" spans="1:15" x14ac:dyDescent="0.3">
      <c r="A8" s="1">
        <v>36742</v>
      </c>
      <c r="B8" s="123">
        <v>78</v>
      </c>
      <c r="C8" s="125">
        <v>156</v>
      </c>
      <c r="D8" s="126">
        <v>51.766671915874781</v>
      </c>
      <c r="E8" s="126">
        <v>1.6784155756965424</v>
      </c>
      <c r="F8" s="126">
        <v>6.3E-2</v>
      </c>
      <c r="G8" s="126">
        <v>4.2172622339999997</v>
      </c>
      <c r="H8" s="126">
        <v>1.1355365209999999</v>
      </c>
      <c r="I8" s="126">
        <v>1.1355365209999999</v>
      </c>
      <c r="J8" s="126">
        <v>5.625</v>
      </c>
      <c r="K8" s="126">
        <v>7.5</v>
      </c>
      <c r="N8" s="136"/>
      <c r="O8" s="138"/>
    </row>
    <row r="9" spans="1:15" x14ac:dyDescent="0.3">
      <c r="A9" s="1">
        <v>36745</v>
      </c>
      <c r="B9" s="123">
        <v>80.266000000000005</v>
      </c>
      <c r="C9" s="125">
        <v>140.625</v>
      </c>
      <c r="D9" s="126">
        <v>51.766671915874781</v>
      </c>
      <c r="E9" s="126">
        <v>1.6812373907195695</v>
      </c>
      <c r="F9" s="126">
        <v>6.3E-2</v>
      </c>
      <c r="G9" s="126">
        <v>4.4795166740000001</v>
      </c>
      <c r="H9" s="126">
        <v>1.0992201509999999</v>
      </c>
      <c r="I9" s="126">
        <v>1.0992201509999999</v>
      </c>
      <c r="J9" s="126">
        <v>5.75</v>
      </c>
      <c r="K9" s="126">
        <v>7.75</v>
      </c>
      <c r="N9" s="136"/>
      <c r="O9" s="138"/>
    </row>
    <row r="10" spans="1:15" x14ac:dyDescent="0.3">
      <c r="A10" s="1">
        <v>36746</v>
      </c>
      <c r="B10" s="123">
        <v>82.438000000000002</v>
      </c>
      <c r="C10" s="125">
        <v>125.672</v>
      </c>
      <c r="D10" s="126">
        <v>52.75</v>
      </c>
      <c r="E10" s="126">
        <v>1.680672268907563</v>
      </c>
      <c r="F10" s="126">
        <v>7.8E-2</v>
      </c>
      <c r="G10" s="126">
        <v>5.058480426</v>
      </c>
      <c r="H10" s="126">
        <v>1.1132443359999999</v>
      </c>
      <c r="I10" s="126">
        <v>1.1132443359999999</v>
      </c>
      <c r="J10" s="126">
        <v>5.75</v>
      </c>
      <c r="K10" s="126">
        <v>7.6879999999999997</v>
      </c>
      <c r="N10" s="136"/>
      <c r="O10" s="138"/>
    </row>
    <row r="11" spans="1:15" x14ac:dyDescent="0.3">
      <c r="A11" s="1">
        <v>36747</v>
      </c>
      <c r="B11" s="123">
        <v>82.296999999999997</v>
      </c>
      <c r="C11" s="125">
        <v>138.375</v>
      </c>
      <c r="D11" s="126">
        <v>52</v>
      </c>
      <c r="E11" s="126">
        <v>1.6185594820609659</v>
      </c>
      <c r="F11" s="126">
        <v>6.3E-2</v>
      </c>
      <c r="G11" s="126">
        <v>4.9983845010000003</v>
      </c>
      <c r="H11" s="126">
        <v>1.256169847</v>
      </c>
      <c r="I11" s="126">
        <v>1.256169847</v>
      </c>
      <c r="J11" s="126">
        <v>6.0625</v>
      </c>
      <c r="K11" s="126">
        <v>7.75</v>
      </c>
      <c r="N11" s="136"/>
      <c r="O11" s="138"/>
    </row>
    <row r="12" spans="1:15" x14ac:dyDescent="0.3">
      <c r="A12" s="1">
        <v>36748</v>
      </c>
      <c r="B12" s="123">
        <v>80.766000000000005</v>
      </c>
      <c r="C12" s="125">
        <v>132.875</v>
      </c>
      <c r="D12" s="126">
        <v>42.625</v>
      </c>
      <c r="E12" s="126">
        <v>1.6863406408094437</v>
      </c>
      <c r="F12" s="126">
        <v>7.8E-2</v>
      </c>
      <c r="G12" s="126">
        <v>5.0553505640000003</v>
      </c>
      <c r="H12" s="126">
        <v>1.2723610510000001</v>
      </c>
      <c r="I12" s="126">
        <v>1.2723610510000001</v>
      </c>
      <c r="J12" s="126">
        <v>5.75</v>
      </c>
      <c r="K12" s="126">
        <v>7.75</v>
      </c>
      <c r="N12" s="136"/>
      <c r="O12" s="138"/>
    </row>
    <row r="13" spans="1:15" x14ac:dyDescent="0.3">
      <c r="A13" s="1">
        <v>36749</v>
      </c>
      <c r="B13" s="123">
        <v>80.25</v>
      </c>
      <c r="C13" s="125">
        <v>130.5</v>
      </c>
      <c r="D13" s="126">
        <v>44.813000000000002</v>
      </c>
      <c r="E13" s="126">
        <v>1.6250842886041807</v>
      </c>
      <c r="F13" s="126">
        <v>6.3E-2</v>
      </c>
      <c r="G13" s="126">
        <v>4.8279226250000002</v>
      </c>
      <c r="H13" s="126">
        <v>1.3152734960000001</v>
      </c>
      <c r="I13" s="126">
        <v>1.3152734960000001</v>
      </c>
      <c r="J13" s="126">
        <v>6</v>
      </c>
      <c r="K13" s="126">
        <v>7.875</v>
      </c>
      <c r="N13" s="136"/>
      <c r="O13" s="138"/>
    </row>
    <row r="14" spans="1:15" x14ac:dyDescent="0.3">
      <c r="A14" s="1">
        <v>36752</v>
      </c>
      <c r="B14" s="123">
        <v>84.25</v>
      </c>
      <c r="C14" s="125">
        <v>128.25</v>
      </c>
      <c r="D14" s="126">
        <v>47.75</v>
      </c>
      <c r="E14" s="126">
        <v>1.5820654369193483</v>
      </c>
      <c r="F14" s="126">
        <v>6.3E-2</v>
      </c>
      <c r="G14" s="126">
        <v>5.2071843949999996</v>
      </c>
      <c r="H14" s="126">
        <v>1.4879492990000001</v>
      </c>
      <c r="I14" s="126">
        <v>1.4879492990000001</v>
      </c>
      <c r="J14" s="126">
        <v>6</v>
      </c>
      <c r="K14" s="126">
        <v>8.1880000000000006</v>
      </c>
      <c r="N14" s="136"/>
      <c r="O14" s="138"/>
    </row>
    <row r="15" spans="1:15" x14ac:dyDescent="0.3">
      <c r="A15" s="1">
        <v>36753</v>
      </c>
      <c r="B15" s="123">
        <v>82.125</v>
      </c>
      <c r="C15" s="125">
        <v>128.46899999999999</v>
      </c>
      <c r="D15" s="126">
        <v>45.75</v>
      </c>
      <c r="E15" s="126">
        <v>1.6177957532861476</v>
      </c>
      <c r="F15" s="126">
        <v>6.3E-2</v>
      </c>
      <c r="G15" s="126">
        <v>5.8325034799999997</v>
      </c>
      <c r="H15" s="126">
        <v>1.7454882570000001</v>
      </c>
      <c r="I15" s="126">
        <v>1.7454882570000001</v>
      </c>
      <c r="J15" s="126">
        <v>6.0625</v>
      </c>
      <c r="K15" s="126">
        <v>7.9379999999999997</v>
      </c>
      <c r="N15" s="136"/>
      <c r="O15" s="138"/>
    </row>
    <row r="16" spans="1:15" x14ac:dyDescent="0.3">
      <c r="A16" s="1">
        <v>36754</v>
      </c>
      <c r="B16" s="126">
        <v>84.016000000000005</v>
      </c>
      <c r="C16" s="126">
        <v>137.75</v>
      </c>
      <c r="D16" s="126">
        <v>46.813000000000002</v>
      </c>
      <c r="E16" s="126">
        <v>1.6374585560592732</v>
      </c>
      <c r="F16" s="126">
        <v>6.3E-2</v>
      </c>
      <c r="G16" s="126">
        <v>5.4186674110000004</v>
      </c>
      <c r="H16" s="126">
        <v>1.7456441</v>
      </c>
      <c r="I16" s="126">
        <v>1.7456441</v>
      </c>
      <c r="J16" s="126">
        <v>5.8125</v>
      </c>
      <c r="K16" s="126">
        <v>7.75</v>
      </c>
      <c r="N16" s="136"/>
      <c r="O16" s="138"/>
    </row>
    <row r="17" spans="1:15" x14ac:dyDescent="0.3">
      <c r="A17" s="1">
        <v>36755</v>
      </c>
      <c r="B17" s="126">
        <v>90</v>
      </c>
      <c r="C17" s="126">
        <v>153.93799999999999</v>
      </c>
      <c r="D17" s="126">
        <v>50.719000000000001</v>
      </c>
      <c r="E17" s="126">
        <v>1.8379111563241777</v>
      </c>
      <c r="F17" s="126">
        <v>7.8E-2</v>
      </c>
      <c r="G17" s="126">
        <v>5.714406672</v>
      </c>
      <c r="H17" s="126">
        <v>1.743570252</v>
      </c>
      <c r="I17" s="126">
        <v>1.743570252</v>
      </c>
      <c r="J17" s="126">
        <v>5.75</v>
      </c>
      <c r="K17" s="126">
        <v>7.75</v>
      </c>
      <c r="N17" s="136"/>
      <c r="O17" s="138"/>
    </row>
    <row r="18" spans="1:15" x14ac:dyDescent="0.3">
      <c r="A18" s="1">
        <v>36756</v>
      </c>
      <c r="B18" s="126">
        <v>86.938000000000002</v>
      </c>
      <c r="C18" s="126">
        <v>152</v>
      </c>
      <c r="D18" s="126">
        <v>49.125</v>
      </c>
      <c r="E18" s="126">
        <v>1.8428184281842821</v>
      </c>
      <c r="F18" s="126">
        <v>7.9000000000000001E-2</v>
      </c>
      <c r="G18" s="126">
        <v>5.2978747479999999</v>
      </c>
      <c r="H18" s="126">
        <v>1.7220509530000001</v>
      </c>
      <c r="I18" s="126">
        <v>1.7220509530000001</v>
      </c>
      <c r="J18" s="126">
        <v>5.75</v>
      </c>
      <c r="K18" s="126">
        <v>7.75</v>
      </c>
      <c r="N18" s="136"/>
      <c r="O18" s="138"/>
    </row>
    <row r="19" spans="1:15" x14ac:dyDescent="0.3">
      <c r="A19" s="1">
        <v>36759</v>
      </c>
      <c r="B19" s="126">
        <v>87.875</v>
      </c>
      <c r="C19" s="126">
        <v>142</v>
      </c>
      <c r="D19" s="126">
        <v>48.25</v>
      </c>
      <c r="E19" s="126">
        <v>1.8101694915254236</v>
      </c>
      <c r="F19" s="126">
        <v>7.9000000000000001E-2</v>
      </c>
      <c r="G19" s="126">
        <v>6.0969663010000001</v>
      </c>
      <c r="H19" s="126">
        <v>1.8724089479999999</v>
      </c>
      <c r="I19" s="126">
        <v>1.8724089479999999</v>
      </c>
      <c r="J19" s="126">
        <v>5.5625</v>
      </c>
      <c r="K19" s="126">
        <v>8.1875</v>
      </c>
      <c r="N19" s="136"/>
      <c r="O19" s="138"/>
    </row>
    <row r="20" spans="1:15" x14ac:dyDescent="0.3">
      <c r="A20" s="1">
        <v>36760</v>
      </c>
      <c r="B20" s="126">
        <v>87.5</v>
      </c>
      <c r="C20" s="126">
        <v>131.25</v>
      </c>
      <c r="D20" s="126">
        <v>45.125</v>
      </c>
      <c r="E20" s="126">
        <v>1.8286488316965799</v>
      </c>
      <c r="F20" s="126">
        <v>6.3E-2</v>
      </c>
      <c r="G20" s="126">
        <v>7.9353524090000001</v>
      </c>
      <c r="H20" s="126">
        <v>1.7781008840000001</v>
      </c>
      <c r="I20" s="126">
        <v>1.7781008840000001</v>
      </c>
      <c r="J20" s="126">
        <v>5.5625</v>
      </c>
      <c r="K20" s="126">
        <v>8.375</v>
      </c>
    </row>
    <row r="21" spans="1:15" x14ac:dyDescent="0.3">
      <c r="A21" s="1">
        <v>36761</v>
      </c>
      <c r="B21" s="126">
        <v>90</v>
      </c>
      <c r="C21" s="126">
        <v>137.875</v>
      </c>
      <c r="D21" s="126">
        <v>49.609000000000002</v>
      </c>
      <c r="E21" s="126">
        <v>1.852475581003705</v>
      </c>
      <c r="F21" s="126">
        <v>6.3E-2</v>
      </c>
      <c r="G21" s="126">
        <v>7.564614422</v>
      </c>
      <c r="H21" s="126">
        <v>1.8840527970000001</v>
      </c>
      <c r="I21" s="126">
        <v>1.8840527970000001</v>
      </c>
      <c r="J21" s="126">
        <v>5.9690000000000003</v>
      </c>
      <c r="K21" s="126">
        <v>8.3130000000000006</v>
      </c>
    </row>
    <row r="22" spans="1:15" x14ac:dyDescent="0.3">
      <c r="A22" s="1">
        <v>36762</v>
      </c>
      <c r="B22" s="126">
        <v>86</v>
      </c>
      <c r="C22" s="126">
        <v>131</v>
      </c>
      <c r="D22" s="126">
        <v>49.625</v>
      </c>
      <c r="E22" s="126">
        <v>1.7888365837256219</v>
      </c>
      <c r="F22" s="126">
        <v>7.0000000000000007E-2</v>
      </c>
      <c r="G22" s="126">
        <v>7.3167034531508568</v>
      </c>
      <c r="H22" s="126">
        <v>1.9692292968718779</v>
      </c>
      <c r="I22" s="126">
        <v>1.9692292968718779</v>
      </c>
      <c r="J22" s="126">
        <v>5.96875</v>
      </c>
      <c r="K22" s="126">
        <v>8.3125</v>
      </c>
    </row>
    <row r="23" spans="1:15" x14ac:dyDescent="0.3">
      <c r="A23" s="1">
        <v>36763</v>
      </c>
      <c r="B23" s="126">
        <v>84.875</v>
      </c>
      <c r="C23" s="126">
        <v>133</v>
      </c>
      <c r="D23" s="126">
        <v>47.75</v>
      </c>
      <c r="E23" s="126">
        <v>1.7845117845117844</v>
      </c>
      <c r="F23" s="126">
        <v>0.08</v>
      </c>
      <c r="G23" s="126">
        <v>7.1953257961566939</v>
      </c>
      <c r="H23" s="126">
        <v>2.1106960388386247</v>
      </c>
      <c r="I23" s="126">
        <v>2.1106960388386247</v>
      </c>
      <c r="J23" s="126">
        <v>5.875</v>
      </c>
      <c r="K23" s="126">
        <v>8.25</v>
      </c>
    </row>
    <row r="24" spans="1:15" x14ac:dyDescent="0.3">
      <c r="A24" s="1">
        <v>36766</v>
      </c>
      <c r="B24" s="126">
        <v>86.625</v>
      </c>
      <c r="C24" s="126">
        <v>133</v>
      </c>
      <c r="D24" s="126">
        <v>52.75</v>
      </c>
      <c r="E24" s="126">
        <v>1.6936572199730093</v>
      </c>
      <c r="F24" s="126">
        <v>7.0000000000000007E-2</v>
      </c>
      <c r="G24" s="126">
        <v>8.047342388567607</v>
      </c>
      <c r="H24" s="126">
        <v>2.4858920891218497</v>
      </c>
      <c r="I24" s="126">
        <v>2.4858920891218497</v>
      </c>
      <c r="J24" s="126">
        <v>6.25</v>
      </c>
      <c r="K24" s="126">
        <v>8.5</v>
      </c>
    </row>
    <row r="25" spans="1:15" x14ac:dyDescent="0.3">
      <c r="A25" s="1">
        <v>36767</v>
      </c>
      <c r="B25" s="126">
        <v>86.25</v>
      </c>
      <c r="C25" s="126">
        <v>131</v>
      </c>
      <c r="D25" s="126">
        <v>61.875</v>
      </c>
      <c r="E25" s="126">
        <v>1.7703284868066773</v>
      </c>
      <c r="F25" s="126">
        <v>7.0000000000000007E-2</v>
      </c>
      <c r="G25" s="126">
        <v>8.4774343890087049</v>
      </c>
      <c r="H25" s="126">
        <v>2.3334306441688892</v>
      </c>
      <c r="I25" s="126">
        <v>2.3334306441688892</v>
      </c>
      <c r="J25" s="126">
        <v>6.25</v>
      </c>
      <c r="K25" s="126">
        <v>8.5</v>
      </c>
    </row>
    <row r="26" spans="1:15" x14ac:dyDescent="0.3">
      <c r="A26" s="1">
        <v>36768</v>
      </c>
      <c r="B26" s="126">
        <v>84.875</v>
      </c>
      <c r="C26" s="126">
        <v>134.5</v>
      </c>
      <c r="D26" s="126">
        <v>59.4375</v>
      </c>
      <c r="E26" s="126">
        <v>1.6993906567366281</v>
      </c>
      <c r="F26" s="126">
        <v>8.5000000000000006E-2</v>
      </c>
      <c r="G26" s="126">
        <v>7.9887177404242067</v>
      </c>
      <c r="H26" s="126">
        <v>2.5114356133082487</v>
      </c>
      <c r="I26" s="126">
        <v>2.5114356133082487</v>
      </c>
      <c r="J26" s="126">
        <v>6.125</v>
      </c>
      <c r="K26" s="126">
        <v>8.375</v>
      </c>
    </row>
    <row r="27" spans="1:15" x14ac:dyDescent="0.3">
      <c r="A27" s="1">
        <v>36769</v>
      </c>
      <c r="B27" s="126">
        <v>84.875</v>
      </c>
      <c r="C27" s="126">
        <v>149.8125</v>
      </c>
      <c r="D27" s="126">
        <v>70.25</v>
      </c>
      <c r="E27" s="126">
        <v>1.6649677200135917</v>
      </c>
      <c r="F27" s="126">
        <v>0.08</v>
      </c>
      <c r="G27" s="126">
        <v>7.7954395910271872</v>
      </c>
      <c r="H27" s="126">
        <v>2.6833039952854225</v>
      </c>
      <c r="I27" s="126">
        <v>2.6833039952854225</v>
      </c>
      <c r="J27" s="126">
        <v>5.9375</v>
      </c>
      <c r="K27" s="126">
        <v>8.3125</v>
      </c>
    </row>
    <row r="28" spans="1:15" x14ac:dyDescent="0.3">
      <c r="A28" s="1">
        <v>36770</v>
      </c>
      <c r="B28" s="126">
        <v>85.328000000000003</v>
      </c>
      <c r="C28" s="126">
        <v>144</v>
      </c>
      <c r="D28" s="126">
        <v>64.9375</v>
      </c>
      <c r="E28" s="126">
        <v>1.7315135465471583</v>
      </c>
      <c r="F28" s="126">
        <v>7.4999999999999997E-2</v>
      </c>
      <c r="G28" s="126">
        <v>7.7864410316933181</v>
      </c>
      <c r="H28" s="126">
        <v>2.6691227539925695</v>
      </c>
      <c r="I28" s="126">
        <v>2.6691227539925695</v>
      </c>
      <c r="J28" s="126">
        <v>5.875</v>
      </c>
      <c r="K28" s="126">
        <v>8.5625</v>
      </c>
    </row>
    <row r="29" spans="1:15" x14ac:dyDescent="0.3">
      <c r="A29" s="1">
        <v>36774</v>
      </c>
      <c r="B29" s="126">
        <v>85</v>
      </c>
      <c r="C29" s="126">
        <v>133</v>
      </c>
      <c r="D29" s="126">
        <v>66</v>
      </c>
      <c r="E29" s="126">
        <v>1.7406143344709895</v>
      </c>
      <c r="F29" s="126">
        <v>7.0000000000000007E-2</v>
      </c>
      <c r="G29" s="126">
        <v>7.0569263334672527</v>
      </c>
      <c r="H29" s="126">
        <v>2.0248756687309806</v>
      </c>
      <c r="I29" s="126">
        <v>2.0248756687309806</v>
      </c>
      <c r="J29" s="126">
        <v>5.875</v>
      </c>
      <c r="K29" s="126">
        <v>8.5625</v>
      </c>
    </row>
    <row r="30" spans="1:15" x14ac:dyDescent="0.3">
      <c r="A30" s="1">
        <v>36775</v>
      </c>
      <c r="B30" s="126">
        <v>84.375</v>
      </c>
      <c r="C30" s="126">
        <v>130.375</v>
      </c>
      <c r="D30" s="126">
        <v>67</v>
      </c>
      <c r="E30" s="126">
        <v>1.8221082467269538</v>
      </c>
      <c r="F30" s="126">
        <v>6.9000000000000006E-2</v>
      </c>
      <c r="G30" s="126">
        <v>7.3609937565012604</v>
      </c>
      <c r="H30" s="126">
        <v>2.2939211643713957</v>
      </c>
      <c r="I30" s="126">
        <v>2.2939211643713957</v>
      </c>
      <c r="J30" s="126">
        <v>6.125</v>
      </c>
      <c r="K30" s="126">
        <v>8.375</v>
      </c>
    </row>
    <row r="31" spans="1:15" x14ac:dyDescent="0.3">
      <c r="A31" s="1">
        <v>36776</v>
      </c>
      <c r="B31" s="126">
        <v>83.875</v>
      </c>
      <c r="C31" s="126">
        <v>136</v>
      </c>
      <c r="D31" s="126">
        <v>68</v>
      </c>
      <c r="E31" s="126">
        <v>1.6238159675236805</v>
      </c>
      <c r="F31" s="126">
        <v>6.9000000000000006E-2</v>
      </c>
      <c r="G31" s="126">
        <v>8.7640182128786499</v>
      </c>
      <c r="H31" s="126">
        <v>2.4482673632249905</v>
      </c>
      <c r="I31" s="126">
        <v>2.4482673632249905</v>
      </c>
      <c r="J31" s="126">
        <v>6</v>
      </c>
      <c r="K31" s="126">
        <v>8.3125</v>
      </c>
    </row>
    <row r="32" spans="1:15" x14ac:dyDescent="0.3">
      <c r="A32" s="1">
        <v>36777</v>
      </c>
      <c r="B32" s="126">
        <v>84.218999999999994</v>
      </c>
      <c r="C32" s="126">
        <v>127.390625</v>
      </c>
      <c r="D32" s="126">
        <v>63.125</v>
      </c>
      <c r="E32" s="126">
        <v>1.6860780065005421</v>
      </c>
      <c r="F32" s="126">
        <v>6.4000000000000001E-2</v>
      </c>
      <c r="G32" s="126">
        <v>8.1499511212772475</v>
      </c>
      <c r="H32" s="126">
        <v>2.2881773227447089</v>
      </c>
      <c r="I32" s="126">
        <v>2.2881773227447089</v>
      </c>
      <c r="J32" s="126">
        <v>6</v>
      </c>
      <c r="K32" s="126">
        <v>8.1875</v>
      </c>
    </row>
    <row r="33" spans="1:11" x14ac:dyDescent="0.3">
      <c r="A33" s="1">
        <v>36780</v>
      </c>
      <c r="B33" s="126">
        <v>86.016000000000005</v>
      </c>
      <c r="C33" s="126">
        <v>116.0625</v>
      </c>
      <c r="D33" s="126">
        <v>57.375</v>
      </c>
      <c r="E33" s="126">
        <v>1.6886187098953058</v>
      </c>
      <c r="F33" s="126">
        <v>0.06</v>
      </c>
      <c r="G33" s="126">
        <v>9.0073315081374599</v>
      </c>
      <c r="H33" s="126">
        <v>2.0410484283914525</v>
      </c>
      <c r="I33" s="126">
        <v>2.0471069604920809</v>
      </c>
      <c r="J33" s="126">
        <v>6.125</v>
      </c>
      <c r="K33" s="126">
        <v>8.375</v>
      </c>
    </row>
    <row r="34" spans="1:11" x14ac:dyDescent="0.3">
      <c r="A34" s="1">
        <v>36781</v>
      </c>
      <c r="B34" s="126">
        <v>86.125</v>
      </c>
      <c r="C34" s="126">
        <v>102</v>
      </c>
      <c r="D34" s="126">
        <v>65.734375</v>
      </c>
      <c r="E34" s="126">
        <v>1.6880486158001349</v>
      </c>
      <c r="F34" s="126">
        <v>5.5E-2</v>
      </c>
      <c r="G34" s="126">
        <v>8.0903620256926327</v>
      </c>
      <c r="H34" s="126">
        <v>2.1838464359527054</v>
      </c>
      <c r="I34" s="126">
        <v>2.1901965490408859</v>
      </c>
      <c r="J34" s="126">
        <v>6</v>
      </c>
      <c r="K34" s="126">
        <v>8.375</v>
      </c>
    </row>
    <row r="35" spans="1:11" x14ac:dyDescent="0.3">
      <c r="A35" s="1">
        <v>36782</v>
      </c>
      <c r="B35" s="126">
        <v>86.688000000000002</v>
      </c>
      <c r="C35" s="126">
        <v>101.625</v>
      </c>
      <c r="D35" s="126">
        <v>72.75</v>
      </c>
      <c r="E35" s="126">
        <v>1.5649241146711634</v>
      </c>
      <c r="F35" s="126">
        <v>0.06</v>
      </c>
      <c r="G35" s="126">
        <v>8.2060857330679866</v>
      </c>
      <c r="H35" s="126">
        <v>2.4274163026304776</v>
      </c>
      <c r="I35" s="126">
        <v>2.4342420299739884</v>
      </c>
      <c r="J35" s="126">
        <v>6</v>
      </c>
      <c r="K35" s="126">
        <v>8.25</v>
      </c>
    </row>
    <row r="36" spans="1:11" x14ac:dyDescent="0.3">
      <c r="A36" s="1">
        <v>36783</v>
      </c>
      <c r="B36" s="126">
        <v>86.703000000000003</v>
      </c>
      <c r="C36" s="126">
        <v>100.125</v>
      </c>
      <c r="D36" s="126">
        <v>68.5</v>
      </c>
      <c r="E36" s="126">
        <v>1.6478342749529193</v>
      </c>
      <c r="F36" s="126">
        <v>0.06</v>
      </c>
      <c r="G36" s="126">
        <v>8.2682113865368265</v>
      </c>
      <c r="H36" s="126">
        <v>2.1744383038369914</v>
      </c>
      <c r="I36" s="126">
        <v>2.1807726778711478</v>
      </c>
      <c r="J36" s="126">
        <v>5.875</v>
      </c>
      <c r="K36" s="126">
        <v>8.375</v>
      </c>
    </row>
    <row r="37" spans="1:11" x14ac:dyDescent="0.3">
      <c r="A37" s="1">
        <v>36784</v>
      </c>
      <c r="B37" s="126">
        <v>89.438000000000002</v>
      </c>
      <c r="C37" s="126">
        <v>95.5</v>
      </c>
      <c r="D37" s="126">
        <v>73.5625</v>
      </c>
      <c r="E37" s="126">
        <v>1.6520566419420095</v>
      </c>
      <c r="F37" s="126">
        <v>6.2E-2</v>
      </c>
      <c r="G37" s="126">
        <v>9.0599249893546876</v>
      </c>
      <c r="H37" s="126">
        <v>2.1207670955167699</v>
      </c>
      <c r="I37" s="126">
        <v>2.1269946168917619</v>
      </c>
      <c r="J37" s="126">
        <v>6</v>
      </c>
      <c r="K37" s="126">
        <v>8.625</v>
      </c>
    </row>
    <row r="38" spans="1:11" x14ac:dyDescent="0.3">
      <c r="A38" s="1">
        <v>36787</v>
      </c>
      <c r="B38" s="126">
        <v>89.625</v>
      </c>
      <c r="C38" s="126">
        <v>88.375</v>
      </c>
      <c r="D38" s="126">
        <v>70.0625</v>
      </c>
      <c r="E38" s="126">
        <v>1.6465053763440862</v>
      </c>
      <c r="F38" s="126">
        <v>0.06</v>
      </c>
      <c r="G38" s="126">
        <v>9.9177860307027572</v>
      </c>
      <c r="H38" s="126">
        <v>2.0158078390712428</v>
      </c>
      <c r="I38" s="126">
        <v>2.0218206504632712</v>
      </c>
      <c r="J38" s="126">
        <v>6.03125</v>
      </c>
      <c r="K38" s="126">
        <v>8.25</v>
      </c>
    </row>
    <row r="39" spans="1:11" x14ac:dyDescent="0.3">
      <c r="A39" s="1">
        <v>36788</v>
      </c>
      <c r="B39" s="126">
        <v>84.875</v>
      </c>
      <c r="C39" s="126">
        <v>104.1875</v>
      </c>
      <c r="D39" s="126">
        <v>68.875</v>
      </c>
      <c r="E39" s="126">
        <v>1.6194331983805668</v>
      </c>
      <c r="F39" s="126">
        <v>0.06</v>
      </c>
      <c r="G39" s="126">
        <v>9.3691321638103808</v>
      </c>
      <c r="H39" s="126">
        <v>2.0184435116186297</v>
      </c>
      <c r="I39" s="126">
        <v>2.0244597844025094</v>
      </c>
      <c r="J39" s="126">
        <v>6</v>
      </c>
      <c r="K39" s="126">
        <v>8.5</v>
      </c>
    </row>
    <row r="40" spans="1:11" x14ac:dyDescent="0.3">
      <c r="A40" s="1">
        <v>36789</v>
      </c>
      <c r="B40" s="126">
        <v>82.171999999999997</v>
      </c>
      <c r="C40" s="126">
        <v>112.0625</v>
      </c>
      <c r="D40" s="126">
        <v>67.3125</v>
      </c>
      <c r="E40" s="126">
        <v>1.5507011866235165</v>
      </c>
      <c r="F40" s="126">
        <v>6.5000000000000002E-2</v>
      </c>
      <c r="G40" s="126">
        <v>9.0066143450196545</v>
      </c>
      <c r="H40" s="126">
        <v>2.0699238479102693</v>
      </c>
      <c r="I40" s="126">
        <v>2.0760444195115375</v>
      </c>
      <c r="J40" s="126">
        <v>6</v>
      </c>
      <c r="K40" s="126">
        <v>8.625</v>
      </c>
    </row>
    <row r="41" spans="1:11" x14ac:dyDescent="0.3">
      <c r="A41" s="1">
        <v>36790</v>
      </c>
      <c r="B41" s="126">
        <v>80.75</v>
      </c>
      <c r="C41" s="126">
        <v>110.625</v>
      </c>
      <c r="D41" s="126">
        <v>70</v>
      </c>
      <c r="E41" s="126">
        <v>1.5130119023602986</v>
      </c>
      <c r="F41" s="126">
        <v>5.5E-2</v>
      </c>
      <c r="G41" s="126">
        <v>8.1495284877701177</v>
      </c>
      <c r="H41" s="126">
        <v>2.0194621249881006</v>
      </c>
      <c r="I41" s="126">
        <v>2.0254784816739431</v>
      </c>
      <c r="J41" s="126">
        <v>6.875</v>
      </c>
      <c r="K41" s="126">
        <v>8.5</v>
      </c>
    </row>
    <row r="42" spans="1:11" x14ac:dyDescent="0.3">
      <c r="A42" s="1">
        <v>36791</v>
      </c>
      <c r="B42" s="126">
        <v>83</v>
      </c>
      <c r="C42" s="126">
        <v>115.5</v>
      </c>
      <c r="D42" s="126">
        <v>68.625</v>
      </c>
      <c r="E42" s="126">
        <v>1.5111827523675199</v>
      </c>
      <c r="F42" s="126">
        <v>0.06</v>
      </c>
      <c r="G42" s="126">
        <v>6.9924366501342829</v>
      </c>
      <c r="H42" s="126">
        <v>2.1575212781101847</v>
      </c>
      <c r="I42" s="126">
        <v>2.1638234427571188</v>
      </c>
      <c r="J42" s="126">
        <v>6.625</v>
      </c>
      <c r="K42" s="126">
        <v>8.75</v>
      </c>
    </row>
    <row r="43" spans="1:11" x14ac:dyDescent="0.3">
      <c r="A43" s="1">
        <v>36794</v>
      </c>
      <c r="B43" s="126">
        <v>84.438000000000002</v>
      </c>
      <c r="C43" s="126">
        <v>115.984375</v>
      </c>
      <c r="D43" s="126">
        <v>66</v>
      </c>
      <c r="E43" s="126">
        <v>1.3453518094981838</v>
      </c>
      <c r="F43" s="126">
        <v>5.5E-2</v>
      </c>
      <c r="G43" s="126">
        <v>6.4486707903632823</v>
      </c>
      <c r="H43" s="126">
        <v>1.691508710652273</v>
      </c>
      <c r="I43" s="126">
        <v>1.6968086675415301</v>
      </c>
      <c r="J43" s="126">
        <v>6.375</v>
      </c>
      <c r="K43" s="126">
        <v>8.75</v>
      </c>
    </row>
    <row r="44" spans="1:11" x14ac:dyDescent="0.3">
      <c r="A44" s="1">
        <v>36795</v>
      </c>
      <c r="B44" s="126">
        <v>85.5</v>
      </c>
      <c r="C44" s="126">
        <v>104.8125</v>
      </c>
      <c r="D44" s="126">
        <v>64.375</v>
      </c>
      <c r="E44" s="126">
        <v>1.345080368552021</v>
      </c>
      <c r="F44" s="126">
        <v>0.05</v>
      </c>
      <c r="G44" s="126">
        <v>6.8039761022106857</v>
      </c>
      <c r="H44" s="126">
        <v>1.5582551454775657</v>
      </c>
      <c r="I44" s="126">
        <v>1.5582551454775659</v>
      </c>
      <c r="J44" s="126">
        <v>6.25</v>
      </c>
      <c r="K44" s="126">
        <v>8.75</v>
      </c>
    </row>
    <row r="45" spans="1:11" x14ac:dyDescent="0.3">
      <c r="A45" s="1">
        <v>36796</v>
      </c>
      <c r="B45" s="126">
        <v>87.453000000000003</v>
      </c>
      <c r="C45" s="126">
        <v>101.5625</v>
      </c>
      <c r="D45" s="126">
        <v>65.125</v>
      </c>
      <c r="E45" s="126">
        <v>1.5379471748579068</v>
      </c>
      <c r="F45" s="126">
        <v>0.05</v>
      </c>
      <c r="G45" s="126">
        <v>6.6826166710722541</v>
      </c>
      <c r="H45" s="126">
        <v>1.682606759577477</v>
      </c>
      <c r="I45" s="126">
        <v>1.682606759577477</v>
      </c>
      <c r="J45" s="126">
        <v>6.375</v>
      </c>
      <c r="K45" s="126">
        <v>8.8125</v>
      </c>
    </row>
    <row r="46" spans="1:11" x14ac:dyDescent="0.3">
      <c r="A46" s="1">
        <v>36797</v>
      </c>
      <c r="B46" s="126">
        <v>89.25</v>
      </c>
      <c r="C46" s="126">
        <v>102.875</v>
      </c>
      <c r="D46" s="126">
        <v>60</v>
      </c>
      <c r="E46" s="126">
        <v>1.4995001666111296</v>
      </c>
      <c r="F46" s="126">
        <v>4.4999999999999998E-2</v>
      </c>
      <c r="G46" s="126">
        <v>6.7739978763979822</v>
      </c>
      <c r="H46" s="126">
        <v>1.7044618341470379</v>
      </c>
      <c r="I46" s="126">
        <v>1.7044618341470381</v>
      </c>
      <c r="J46" s="126">
        <v>6.4375</v>
      </c>
      <c r="K46" s="126">
        <v>8.8125</v>
      </c>
    </row>
    <row r="47" spans="1:11" x14ac:dyDescent="0.3">
      <c r="A47" s="1">
        <v>36798</v>
      </c>
      <c r="B47" s="126">
        <v>87.641000000000005</v>
      </c>
      <c r="C47" s="126">
        <v>95.125</v>
      </c>
      <c r="D47" s="126">
        <v>62</v>
      </c>
      <c r="E47" s="126">
        <v>1.5139281388776746</v>
      </c>
      <c r="F47" s="126">
        <v>5.5E-2</v>
      </c>
      <c r="G47" s="126">
        <v>10.955957684378545</v>
      </c>
      <c r="H47" s="126">
        <v>1.8074449703347872</v>
      </c>
      <c r="I47" s="126">
        <v>1.8074449703347872</v>
      </c>
      <c r="J47" s="126">
        <v>6.4375</v>
      </c>
      <c r="K47" s="126">
        <v>9.75</v>
      </c>
    </row>
    <row r="48" spans="1:11" x14ac:dyDescent="0.3">
      <c r="A48" s="1">
        <v>36801</v>
      </c>
      <c r="B48" s="126">
        <v>86.438000000000002</v>
      </c>
      <c r="C48" s="126">
        <v>80.375</v>
      </c>
      <c r="D48" s="126">
        <v>60.875</v>
      </c>
      <c r="E48" s="126">
        <v>1.4964905310554892</v>
      </c>
      <c r="F48" s="126">
        <v>4.4999999999999998E-2</v>
      </c>
      <c r="G48" s="126">
        <v>9.2211513758790726</v>
      </c>
      <c r="H48" s="126">
        <v>1.7649422292557411</v>
      </c>
      <c r="I48" s="126">
        <v>1.7649422292557413</v>
      </c>
      <c r="J48" s="126">
        <v>6.5</v>
      </c>
      <c r="K48" s="126">
        <v>9.25</v>
      </c>
    </row>
    <row r="49" spans="1:11" x14ac:dyDescent="0.3">
      <c r="A49" s="1">
        <v>36802</v>
      </c>
      <c r="B49" s="126">
        <v>85.563000000000002</v>
      </c>
      <c r="C49" s="126">
        <v>84.0625</v>
      </c>
      <c r="D49" s="126">
        <v>55.5</v>
      </c>
      <c r="E49" s="126">
        <v>1.429046194749086</v>
      </c>
      <c r="F49" s="126">
        <v>4.4999999999999998E-2</v>
      </c>
      <c r="G49" s="126">
        <v>8.9849644026968321</v>
      </c>
      <c r="H49" s="126">
        <v>1.8227741986306845</v>
      </c>
      <c r="I49" s="126">
        <v>1.8227741986306845</v>
      </c>
      <c r="J49" s="126">
        <v>7</v>
      </c>
      <c r="K49" s="126">
        <v>9.125</v>
      </c>
    </row>
    <row r="50" spans="1:11" x14ac:dyDescent="0.3">
      <c r="A50" s="1">
        <v>36803</v>
      </c>
      <c r="B50" s="126">
        <v>83.063000000000002</v>
      </c>
      <c r="C50" s="126">
        <v>80.515625</v>
      </c>
      <c r="D50" s="126">
        <v>52.125</v>
      </c>
      <c r="E50" s="126">
        <v>1.4048702167514051</v>
      </c>
      <c r="F50" s="126">
        <v>4.9000000000000002E-2</v>
      </c>
      <c r="G50" s="126">
        <v>8.4982173634724507</v>
      </c>
      <c r="H50" s="126">
        <v>1.8009824203215923</v>
      </c>
      <c r="I50" s="126">
        <v>1.8009824203215925</v>
      </c>
      <c r="J50" s="126">
        <v>6.3125</v>
      </c>
      <c r="K50" s="126">
        <v>9.5</v>
      </c>
    </row>
    <row r="51" spans="1:11" x14ac:dyDescent="0.3">
      <c r="A51" s="1">
        <v>36804</v>
      </c>
      <c r="B51" s="126">
        <v>83</v>
      </c>
      <c r="C51" s="126">
        <v>81.5</v>
      </c>
      <c r="D51" s="126">
        <v>45.0625</v>
      </c>
      <c r="E51" s="126">
        <v>1.971266288005346</v>
      </c>
      <c r="F51" s="126">
        <v>0.04</v>
      </c>
      <c r="G51" s="126">
        <v>8.0096474379452296</v>
      </c>
      <c r="H51" s="126">
        <v>1.5828566677623843</v>
      </c>
      <c r="I51" s="126">
        <v>1.5828566677623848</v>
      </c>
      <c r="J51" s="126">
        <v>6.125</v>
      </c>
      <c r="K51" s="126">
        <v>9.375</v>
      </c>
    </row>
    <row r="52" spans="1:11" x14ac:dyDescent="0.3">
      <c r="A52" s="1">
        <v>36805</v>
      </c>
      <c r="B52" s="126">
        <v>81.625</v>
      </c>
      <c r="C52" s="126">
        <v>77.6875</v>
      </c>
      <c r="D52" s="126">
        <v>40.875</v>
      </c>
      <c r="E52" s="126">
        <v>1.9726757747417527</v>
      </c>
      <c r="F52" s="126">
        <v>0.04</v>
      </c>
      <c r="G52" s="126">
        <v>7.5118515285041045</v>
      </c>
      <c r="H52" s="126">
        <v>1.5659120052214175</v>
      </c>
      <c r="I52" s="126">
        <v>1.5659120052214177</v>
      </c>
      <c r="J52" s="126">
        <v>5.875</v>
      </c>
      <c r="K52" s="126">
        <v>8.875</v>
      </c>
    </row>
    <row r="53" spans="1:11" x14ac:dyDescent="0.3">
      <c r="A53" s="1">
        <v>36808</v>
      </c>
      <c r="B53" s="126">
        <v>83</v>
      </c>
      <c r="C53" s="126">
        <v>77</v>
      </c>
      <c r="D53" s="126">
        <v>38</v>
      </c>
      <c r="E53" s="126">
        <v>1.9726757747417527</v>
      </c>
      <c r="F53" s="126">
        <v>4.4999999999999998E-2</v>
      </c>
      <c r="G53" s="126">
        <v>8.1179550569835524</v>
      </c>
      <c r="H53" s="126">
        <v>1.4383654832453059</v>
      </c>
      <c r="I53" s="126">
        <v>1.4383654832453061</v>
      </c>
      <c r="J53" s="126">
        <v>6.25</v>
      </c>
      <c r="K53" s="126">
        <v>8.9375</v>
      </c>
    </row>
    <row r="54" spans="1:11" x14ac:dyDescent="0.3">
      <c r="A54" s="1">
        <v>36809</v>
      </c>
      <c r="B54" s="126">
        <v>81.688000000000002</v>
      </c>
      <c r="C54" s="126">
        <v>69</v>
      </c>
      <c r="D54" s="126">
        <v>31.75</v>
      </c>
      <c r="E54" s="126">
        <v>1.9867991199413293</v>
      </c>
      <c r="F54" s="126">
        <v>4.6875E-2</v>
      </c>
      <c r="G54" s="126">
        <v>8.1150149025333747</v>
      </c>
      <c r="H54" s="126">
        <v>1.7342490724924671</v>
      </c>
      <c r="I54" s="126">
        <v>1.7342490724924673</v>
      </c>
      <c r="J54" s="126">
        <v>6.125</v>
      </c>
      <c r="K54" s="126">
        <v>9</v>
      </c>
    </row>
    <row r="55" spans="1:11" x14ac:dyDescent="0.3">
      <c r="A55" s="1">
        <v>36810</v>
      </c>
      <c r="B55" s="126">
        <v>82.813000000000002</v>
      </c>
      <c r="C55" s="126">
        <v>78.8125</v>
      </c>
      <c r="D55" s="126">
        <v>31.875</v>
      </c>
      <c r="E55" s="126">
        <v>1.9532288068030825</v>
      </c>
      <c r="F55" s="126">
        <v>4.4999999999999998E-2</v>
      </c>
      <c r="G55" s="126">
        <v>8.5985421084141116</v>
      </c>
      <c r="H55" s="126">
        <v>1.7640283578277933</v>
      </c>
      <c r="I55" s="126">
        <v>1.7640283578277935</v>
      </c>
      <c r="J55" s="126">
        <v>5.9375</v>
      </c>
      <c r="K55" s="126">
        <v>9.125</v>
      </c>
    </row>
    <row r="56" spans="1:11" x14ac:dyDescent="0.3">
      <c r="A56" s="1">
        <v>36811</v>
      </c>
      <c r="B56" s="126">
        <v>79.875</v>
      </c>
      <c r="C56" s="126">
        <v>76.5</v>
      </c>
      <c r="D56" s="126">
        <v>38.0625</v>
      </c>
      <c r="E56" s="126">
        <v>1.9474067695568655</v>
      </c>
      <c r="F56" s="126">
        <v>0.05</v>
      </c>
      <c r="G56" s="126">
        <v>9.3216382824494985</v>
      </c>
      <c r="H56" s="126">
        <v>2.0708625549621424</v>
      </c>
      <c r="I56" s="126">
        <v>2.0708625549621424</v>
      </c>
      <c r="J56" s="126">
        <v>5.5</v>
      </c>
      <c r="K56" s="126">
        <v>9.75</v>
      </c>
    </row>
    <row r="57" spans="1:11" x14ac:dyDescent="0.3">
      <c r="A57" s="1">
        <v>36812</v>
      </c>
      <c r="B57" s="126">
        <v>79.5</v>
      </c>
      <c r="C57" s="126">
        <v>81</v>
      </c>
      <c r="D57" s="126">
        <v>45.25</v>
      </c>
      <c r="E57" s="126">
        <v>1.9498607242339832</v>
      </c>
      <c r="F57" s="126">
        <v>0.04</v>
      </c>
      <c r="G57" s="126">
        <v>8.5857704668200334</v>
      </c>
      <c r="H57" s="126">
        <v>1.7045029719227713</v>
      </c>
      <c r="I57" s="126">
        <v>1.7045029719227716</v>
      </c>
      <c r="J57" s="126">
        <v>5.5</v>
      </c>
      <c r="K57" s="126">
        <v>9.5</v>
      </c>
    </row>
    <row r="58" spans="1:11" x14ac:dyDescent="0.3">
      <c r="A58" s="256">
        <v>36815</v>
      </c>
      <c r="B58" s="126">
        <v>80</v>
      </c>
      <c r="C58" s="126">
        <v>85.6875</v>
      </c>
      <c r="D58" s="126">
        <v>46.5</v>
      </c>
      <c r="E58" s="126">
        <v>1.9414281013491281</v>
      </c>
      <c r="F58" s="126">
        <v>4.9000000000000002E-2</v>
      </c>
      <c r="G58" s="126">
        <v>8.4069172697627099</v>
      </c>
      <c r="H58" s="126">
        <v>1.5772032038743855</v>
      </c>
      <c r="I58" s="126">
        <v>1.5772032038743857</v>
      </c>
      <c r="J58" s="126">
        <v>5.5625</v>
      </c>
      <c r="K58" s="126">
        <v>9.5</v>
      </c>
    </row>
    <row r="59" spans="1:11" x14ac:dyDescent="0.3">
      <c r="A59" s="256">
        <v>36816</v>
      </c>
      <c r="B59" s="126">
        <v>79.188000000000002</v>
      </c>
      <c r="C59" s="126">
        <v>80.25</v>
      </c>
      <c r="D59" s="126">
        <v>39.875</v>
      </c>
      <c r="E59" s="126">
        <v>1.9611714379730174</v>
      </c>
      <c r="F59" s="126">
        <v>0.05</v>
      </c>
      <c r="G59" s="126">
        <v>8.2744213351827067</v>
      </c>
      <c r="H59" s="126">
        <v>1.4857963967467092</v>
      </c>
      <c r="I59" s="126">
        <v>1.4857963967467094</v>
      </c>
      <c r="J59" s="126">
        <v>5.75</v>
      </c>
      <c r="K59" s="126">
        <v>9.4375</v>
      </c>
    </row>
    <row r="60" spans="1:11" x14ac:dyDescent="0.3">
      <c r="A60" s="256">
        <v>36817</v>
      </c>
      <c r="B60" s="126">
        <v>78.75</v>
      </c>
      <c r="C60" s="126">
        <v>72</v>
      </c>
      <c r="D60" s="126">
        <v>37.125</v>
      </c>
      <c r="E60" s="126">
        <v>1.9525065963060686</v>
      </c>
      <c r="F60" s="126">
        <v>5.5E-2</v>
      </c>
      <c r="G60" s="126">
        <v>7.727198456418864</v>
      </c>
      <c r="H60" s="126">
        <v>1.914272745469241</v>
      </c>
      <c r="I60" s="126">
        <v>1.9142727454692414</v>
      </c>
      <c r="J60" s="126">
        <v>5.625</v>
      </c>
      <c r="K60" s="126">
        <v>8.875</v>
      </c>
    </row>
    <row r="61" spans="1:11" x14ac:dyDescent="0.3">
      <c r="A61" s="256">
        <v>36818</v>
      </c>
      <c r="B61" s="126">
        <v>79</v>
      </c>
      <c r="C61" s="126">
        <v>65.25</v>
      </c>
      <c r="D61" s="126">
        <v>39.3125</v>
      </c>
      <c r="E61" s="126">
        <v>1.9785600847008999</v>
      </c>
      <c r="F61" s="126">
        <v>5.6000000000000001E-2</v>
      </c>
      <c r="G61" s="126">
        <v>7.0021410904302002</v>
      </c>
      <c r="H61" s="126">
        <v>1.9143657908125191</v>
      </c>
      <c r="I61" s="126">
        <v>1.9143657908125191</v>
      </c>
      <c r="J61" s="126">
        <v>5.625</v>
      </c>
      <c r="K61" s="126">
        <v>9.5</v>
      </c>
    </row>
    <row r="62" spans="1:11" x14ac:dyDescent="0.3">
      <c r="A62" s="256">
        <v>36819</v>
      </c>
      <c r="B62" s="126">
        <v>80.5</v>
      </c>
      <c r="C62" s="126">
        <v>67.25</v>
      </c>
      <c r="D62" s="126">
        <v>40.5</v>
      </c>
      <c r="E62" s="126">
        <v>1.977251686284883</v>
      </c>
      <c r="F62" s="126">
        <v>0.05</v>
      </c>
      <c r="G62" s="126">
        <v>7.0012013687012926</v>
      </c>
      <c r="H62" s="126">
        <v>1.866036530615832</v>
      </c>
      <c r="I62" s="126">
        <v>1.8660365306158322</v>
      </c>
      <c r="J62" s="126">
        <v>5.5</v>
      </c>
      <c r="K62" s="126">
        <v>9.4375</v>
      </c>
    </row>
    <row r="63" spans="1:11" x14ac:dyDescent="0.3">
      <c r="A63" s="256">
        <v>36822</v>
      </c>
      <c r="B63" s="126">
        <v>82</v>
      </c>
      <c r="C63" s="126">
        <v>68</v>
      </c>
      <c r="D63" s="126">
        <v>39.625</v>
      </c>
      <c r="E63" s="126">
        <v>1.9622141199867418</v>
      </c>
      <c r="F63" s="126">
        <v>4.8000000000000001E-2</v>
      </c>
      <c r="G63" s="126">
        <v>6.5127779878785352</v>
      </c>
      <c r="H63" s="126">
        <v>1.8775090855798073</v>
      </c>
      <c r="I63" s="126">
        <v>1.8775090855798078</v>
      </c>
      <c r="J63" s="126">
        <v>5.5</v>
      </c>
      <c r="K63" s="126">
        <v>9.4375</v>
      </c>
    </row>
    <row r="64" spans="1:11" x14ac:dyDescent="0.3">
      <c r="A64" s="256">
        <v>36823</v>
      </c>
      <c r="B64" s="126">
        <v>80.1875</v>
      </c>
      <c r="C64" s="126">
        <f>62.875</f>
        <v>62.875</v>
      </c>
      <c r="D64" s="126">
        <v>47.125</v>
      </c>
      <c r="E64" s="126">
        <v>1.9828155981493722</v>
      </c>
      <c r="F64" s="126">
        <v>4.4999999999999998E-2</v>
      </c>
      <c r="G64" s="126">
        <v>6.1555252791989608</v>
      </c>
      <c r="H64" s="126">
        <v>1.745664627101829</v>
      </c>
      <c r="I64" s="126">
        <v>1.745664627101829</v>
      </c>
      <c r="J64" s="126">
        <v>5.78125</v>
      </c>
      <c r="K64" s="126">
        <v>9.125</v>
      </c>
    </row>
    <row r="65" spans="1:11" x14ac:dyDescent="0.3">
      <c r="A65" s="256">
        <v>36824</v>
      </c>
      <c r="B65" s="126">
        <v>76.125</v>
      </c>
      <c r="C65" s="126">
        <v>51.75</v>
      </c>
      <c r="D65" s="126">
        <v>41.875</v>
      </c>
      <c r="E65" s="126">
        <v>1.975633849193283</v>
      </c>
      <c r="F65" s="126">
        <v>4.4999999999999998E-2</v>
      </c>
      <c r="G65" s="126">
        <v>5.7438166854938686</v>
      </c>
      <c r="H65" s="126">
        <v>1.9285620858106052</v>
      </c>
      <c r="I65" s="126">
        <v>1.9285620858106054</v>
      </c>
      <c r="J65" s="126">
        <v>5.5</v>
      </c>
      <c r="K65" s="126">
        <v>8.8125</v>
      </c>
    </row>
    <row r="66" spans="1:11" x14ac:dyDescent="0.3">
      <c r="A66" s="256">
        <v>36825</v>
      </c>
      <c r="B66" s="126">
        <v>77.5</v>
      </c>
      <c r="C66" s="126">
        <v>44.125</v>
      </c>
      <c r="D66" s="126">
        <v>41.9375</v>
      </c>
      <c r="E66" s="126">
        <v>1.9494584837545126</v>
      </c>
      <c r="F66" s="126">
        <v>7.015625</v>
      </c>
      <c r="G66" s="126">
        <v>6.1612067958923262</v>
      </c>
      <c r="H66" s="126">
        <v>1.4756079801316007</v>
      </c>
      <c r="I66" s="126">
        <v>1.4756079801316011</v>
      </c>
      <c r="J66" s="126">
        <v>5.75</v>
      </c>
      <c r="K66" s="126">
        <v>8.375</v>
      </c>
    </row>
    <row r="67" spans="1:11" x14ac:dyDescent="0.3">
      <c r="A67" s="256">
        <v>36826</v>
      </c>
      <c r="B67" s="126">
        <v>78.875</v>
      </c>
      <c r="C67" s="126">
        <v>45.375</v>
      </c>
      <c r="D67" s="126">
        <v>40.5</v>
      </c>
      <c r="E67" s="126">
        <v>1.9620667102681493</v>
      </c>
      <c r="F67" s="126">
        <v>7.125</v>
      </c>
      <c r="G67" s="126">
        <v>6.6447488453282126</v>
      </c>
      <c r="H67" s="126">
        <v>1.3597452474216862</v>
      </c>
      <c r="I67" s="126">
        <v>1.3597452474216865</v>
      </c>
      <c r="J67" s="126">
        <v>5.25</v>
      </c>
      <c r="K67" s="126">
        <v>7.875</v>
      </c>
    </row>
    <row r="68" spans="1:11" x14ac:dyDescent="0.3">
      <c r="A68" s="256">
        <v>36829</v>
      </c>
      <c r="B68" s="126">
        <v>80.688000000000002</v>
      </c>
      <c r="C68" s="126">
        <v>40</v>
      </c>
      <c r="D68" s="126">
        <v>36</v>
      </c>
      <c r="E68" s="126">
        <v>1.9607843137254901</v>
      </c>
      <c r="F68" s="126">
        <v>7.25</v>
      </c>
      <c r="G68" s="126">
        <v>6.5229353376158725</v>
      </c>
      <c r="H68" s="126">
        <v>1.553353027912538</v>
      </c>
      <c r="I68" s="126">
        <v>1.5533530279125383</v>
      </c>
      <c r="J68" s="126">
        <v>5.25</v>
      </c>
      <c r="K68" s="126">
        <v>7.75</v>
      </c>
    </row>
    <row r="69" spans="1:11" x14ac:dyDescent="0.3">
      <c r="A69" s="256">
        <v>36830</v>
      </c>
      <c r="B69" s="126">
        <v>82.063000000000002</v>
      </c>
      <c r="C69" s="126">
        <v>43.375</v>
      </c>
      <c r="D69" s="126">
        <v>38.125</v>
      </c>
      <c r="E69" s="126">
        <v>1.9837396325988248</v>
      </c>
      <c r="F69" s="126">
        <v>7</v>
      </c>
      <c r="G69" s="126">
        <v>6.5224567535726283</v>
      </c>
      <c r="H69" s="126">
        <v>1.8071015449845458</v>
      </c>
      <c r="I69" s="126">
        <v>1.807101544984546</v>
      </c>
      <c r="J69" s="126">
        <v>5.375</v>
      </c>
      <c r="K69" s="126">
        <v>7.75</v>
      </c>
    </row>
    <row r="70" spans="1:11" x14ac:dyDescent="0.3">
      <c r="A70" s="256">
        <v>36831</v>
      </c>
      <c r="B70" s="126">
        <v>83.25</v>
      </c>
      <c r="C70" s="126">
        <v>39.9375</v>
      </c>
      <c r="D70" s="126">
        <v>36.875</v>
      </c>
      <c r="E70" s="126">
        <v>1.9566918862509786</v>
      </c>
      <c r="F70" s="126">
        <v>7.125</v>
      </c>
      <c r="G70" s="126">
        <v>6.9994077297698452</v>
      </c>
      <c r="H70" s="126">
        <v>1.7555417194104583</v>
      </c>
      <c r="I70" s="126">
        <v>1.7555417194104588</v>
      </c>
      <c r="J70" s="126">
        <v>5.875</v>
      </c>
      <c r="K70" s="126">
        <v>8.3125</v>
      </c>
    </row>
    <row r="71" spans="1:11" x14ac:dyDescent="0.3">
      <c r="A71" s="256">
        <v>36832</v>
      </c>
      <c r="B71" s="126">
        <v>81.75</v>
      </c>
      <c r="C71" s="126">
        <v>45.875</v>
      </c>
      <c r="D71" s="126">
        <v>33.875</v>
      </c>
      <c r="E71" s="126">
        <v>1.9595035924232529</v>
      </c>
      <c r="F71" s="126">
        <v>7</v>
      </c>
      <c r="G71" s="126">
        <v>6.997660747558375</v>
      </c>
      <c r="H71" s="126">
        <v>1.6027809623899234</v>
      </c>
      <c r="I71" s="126">
        <v>1.6027809623899238</v>
      </c>
      <c r="J71" s="126">
        <v>5.625</v>
      </c>
      <c r="K71" s="126">
        <v>8.5625</v>
      </c>
    </row>
    <row r="72" spans="1:11" x14ac:dyDescent="0.3">
      <c r="A72" s="256">
        <v>36833</v>
      </c>
      <c r="B72" s="126">
        <v>77.375</v>
      </c>
      <c r="C72" s="126">
        <v>50.5</v>
      </c>
      <c r="D72" s="126">
        <v>31</v>
      </c>
      <c r="E72" s="126">
        <v>1.95822454308094</v>
      </c>
      <c r="F72" s="126">
        <v>7.0625</v>
      </c>
      <c r="G72" s="126">
        <v>6.7048564566785398</v>
      </c>
      <c r="H72" s="126">
        <v>1.8925239113689141</v>
      </c>
      <c r="I72" s="126">
        <v>1.8925239113689143</v>
      </c>
      <c r="J72" s="126">
        <v>5.875</v>
      </c>
      <c r="K72" s="126">
        <v>9.5</v>
      </c>
    </row>
    <row r="73" spans="1:11" x14ac:dyDescent="0.3">
      <c r="A73" s="256">
        <v>36836</v>
      </c>
      <c r="B73" s="126">
        <v>81.563000000000002</v>
      </c>
      <c r="C73" s="126">
        <v>45.125</v>
      </c>
      <c r="D73" s="126">
        <v>28.5</v>
      </c>
      <c r="E73" s="126">
        <v>1.9607843137254901</v>
      </c>
      <c r="F73" s="126">
        <v>7</v>
      </c>
      <c r="G73" s="126">
        <v>7.4928186714348923</v>
      </c>
      <c r="H73" s="126">
        <v>1.4437812769695648</v>
      </c>
      <c r="I73" s="126">
        <v>1.443781276969565</v>
      </c>
      <c r="J73" s="126">
        <v>5.875</v>
      </c>
      <c r="K73" s="126">
        <v>9</v>
      </c>
    </row>
    <row r="74" spans="1:11" x14ac:dyDescent="0.3">
      <c r="A74" s="256">
        <v>36837</v>
      </c>
      <c r="B74" s="126">
        <v>81.813000000000002</v>
      </c>
      <c r="C74" s="126">
        <v>47.6875</v>
      </c>
      <c r="D74" s="126">
        <v>27.4375</v>
      </c>
      <c r="E74" s="126">
        <v>1.9566918862509786</v>
      </c>
      <c r="F74" s="126">
        <v>7.03125</v>
      </c>
      <c r="G74" s="126">
        <v>7.1287076732268897</v>
      </c>
      <c r="H74" s="126">
        <v>1.583818345858016</v>
      </c>
      <c r="I74" s="126">
        <v>1.583818345858016</v>
      </c>
      <c r="J74" s="126">
        <v>5.875</v>
      </c>
      <c r="K74" s="126">
        <v>9.125</v>
      </c>
    </row>
    <row r="75" spans="1:11" x14ac:dyDescent="0.3">
      <c r="A75" s="256">
        <v>36838</v>
      </c>
      <c r="B75" s="126">
        <v>82.125</v>
      </c>
      <c r="C75" s="126">
        <v>44.015625</v>
      </c>
      <c r="D75" s="126">
        <v>26</v>
      </c>
      <c r="E75" s="126">
        <v>1.948051948051948</v>
      </c>
      <c r="F75" s="126">
        <v>7</v>
      </c>
      <c r="G75" s="126">
        <v>7.0071778604253341</v>
      </c>
      <c r="H75" s="126">
        <v>1.7522777886635528</v>
      </c>
      <c r="I75" s="126">
        <v>1.7522777886635528</v>
      </c>
      <c r="J75" s="126">
        <v>5.65625</v>
      </c>
      <c r="K75" s="126">
        <v>9.25</v>
      </c>
    </row>
    <row r="76" spans="1:11" x14ac:dyDescent="0.3">
      <c r="A76" s="256">
        <v>36839</v>
      </c>
      <c r="B76" s="126">
        <v>82.938000000000002</v>
      </c>
      <c r="C76" s="126">
        <v>44.875</v>
      </c>
      <c r="D76" s="126">
        <v>23.375</v>
      </c>
      <c r="E76" s="126">
        <v>1.9379844961240309</v>
      </c>
      <c r="F76" s="126">
        <v>7.0625</v>
      </c>
      <c r="G76" s="126">
        <v>7.0065392882844399</v>
      </c>
      <c r="H76" s="126">
        <v>1.7720101180633034</v>
      </c>
      <c r="I76" s="126">
        <v>1.7720101180633037</v>
      </c>
      <c r="J76" s="126">
        <v>5.75</v>
      </c>
      <c r="K76" s="126">
        <v>8.8125</v>
      </c>
    </row>
    <row r="77" spans="1:11" x14ac:dyDescent="0.3">
      <c r="A77" s="256">
        <v>36840</v>
      </c>
      <c r="B77" s="126">
        <f>82+0.9375</f>
        <v>82.9375</v>
      </c>
      <c r="C77" s="126">
        <v>41.25</v>
      </c>
      <c r="D77" s="126">
        <v>20.5625</v>
      </c>
      <c r="E77" s="126">
        <f>+E76</f>
        <v>1.9379844961240309</v>
      </c>
      <c r="F77" s="126">
        <v>7</v>
      </c>
      <c r="G77" s="126">
        <v>6.756858773401679</v>
      </c>
      <c r="H77" s="126">
        <v>1.7841097451449277</v>
      </c>
      <c r="I77" s="126">
        <v>1.7841097451449279</v>
      </c>
      <c r="J77" s="126">
        <v>5.75</v>
      </c>
      <c r="K77" s="126">
        <v>9.125</v>
      </c>
    </row>
    <row r="78" spans="1:11" x14ac:dyDescent="0.3">
      <c r="A78" s="256">
        <v>36843</v>
      </c>
      <c r="B78" s="126">
        <v>79.438000000000002</v>
      </c>
      <c r="C78" s="126">
        <v>39.6875</v>
      </c>
      <c r="D78" s="126">
        <v>20</v>
      </c>
      <c r="E78" s="126">
        <f>+E77</f>
        <v>1.9379844961240309</v>
      </c>
      <c r="F78" s="126">
        <v>7.0625</v>
      </c>
      <c r="G78" s="126">
        <v>6.8717659724566627</v>
      </c>
      <c r="H78" s="126">
        <v>1.6451220710228229</v>
      </c>
      <c r="I78" s="126">
        <v>1.6451220710228232</v>
      </c>
      <c r="J78" s="126">
        <v>5.75</v>
      </c>
      <c r="K78" s="126">
        <v>8.8125</v>
      </c>
    </row>
    <row r="79" spans="1:11" x14ac:dyDescent="0.3">
      <c r="A79" s="256">
        <v>36844</v>
      </c>
      <c r="B79" s="126">
        <v>79.563000000000002</v>
      </c>
      <c r="C79" s="126">
        <v>43</v>
      </c>
      <c r="D79" s="126">
        <v>22.875</v>
      </c>
      <c r="E79" s="126">
        <v>1.9229524117837489</v>
      </c>
      <c r="F79" s="126">
        <v>7.0625</v>
      </c>
      <c r="G79" s="126">
        <v>6.9321352961034011</v>
      </c>
      <c r="H79" s="126">
        <v>1.6868108532553008</v>
      </c>
      <c r="I79" s="126">
        <v>1.686810853255301</v>
      </c>
      <c r="J79" s="126">
        <v>5.3125</v>
      </c>
      <c r="K79" s="126">
        <v>8.875</v>
      </c>
    </row>
    <row r="80" spans="1:11" x14ac:dyDescent="0.3">
      <c r="A80" s="256">
        <v>36845</v>
      </c>
      <c r="B80" s="126">
        <v>80.375</v>
      </c>
      <c r="C80" s="126">
        <v>40.4375</v>
      </c>
      <c r="D80" s="126">
        <v>20.375</v>
      </c>
      <c r="E80" s="126">
        <v>1.9124275595621381</v>
      </c>
      <c r="F80" s="126">
        <v>7.0625</v>
      </c>
      <c r="G80" s="126">
        <v>7.2291544809746489</v>
      </c>
      <c r="H80" s="126">
        <v>1.6600363531160085</v>
      </c>
      <c r="I80" s="126">
        <v>1.6600363531160087</v>
      </c>
      <c r="J80" s="126">
        <v>5.5</v>
      </c>
      <c r="K80" s="126">
        <v>8.875</v>
      </c>
    </row>
    <row r="81" spans="1:11" x14ac:dyDescent="0.3">
      <c r="A81" s="256">
        <v>36846</v>
      </c>
      <c r="B81" s="126">
        <v>81.25</v>
      </c>
      <c r="C81" s="126">
        <v>35.25</v>
      </c>
      <c r="D81" s="126">
        <v>20.25</v>
      </c>
      <c r="E81" s="126">
        <v>1.9111969111969114</v>
      </c>
      <c r="F81" s="126">
        <v>7.03125</v>
      </c>
      <c r="G81" s="126">
        <v>6.9821827945057411</v>
      </c>
      <c r="H81" s="126">
        <v>1.6758606606245379</v>
      </c>
      <c r="I81" s="126">
        <v>1.6758606606245381</v>
      </c>
      <c r="J81" s="126">
        <v>5.40625</v>
      </c>
      <c r="K81" s="126">
        <v>9</v>
      </c>
    </row>
    <row r="82" spans="1:11" x14ac:dyDescent="0.3">
      <c r="A82" s="256">
        <v>36847</v>
      </c>
      <c r="B82" s="126">
        <v>81.5</v>
      </c>
      <c r="C82" s="126">
        <v>28.875</v>
      </c>
      <c r="D82" s="126">
        <v>18.6875</v>
      </c>
      <c r="E82" s="126">
        <v>1.9056785370548606</v>
      </c>
      <c r="F82" s="126">
        <v>7.0625</v>
      </c>
      <c r="G82" s="126">
        <v>6.3820367416989185</v>
      </c>
      <c r="H82" s="126">
        <v>1.6749590795986473</v>
      </c>
      <c r="I82" s="126">
        <v>1.6749590795986473</v>
      </c>
      <c r="J82" s="126">
        <v>5.6875</v>
      </c>
      <c r="K82" s="126">
        <v>9</v>
      </c>
    </row>
    <row r="83" spans="1:11" x14ac:dyDescent="0.3">
      <c r="A83" s="256">
        <v>36850</v>
      </c>
      <c r="B83" s="126">
        <v>80.25</v>
      </c>
      <c r="C83" s="126">
        <v>24.25</v>
      </c>
      <c r="D83" s="126">
        <v>18</v>
      </c>
      <c r="E83" s="126">
        <v>1.9069020866773676</v>
      </c>
      <c r="F83" s="126">
        <v>7.0625</v>
      </c>
      <c r="G83" s="126">
        <v>5.4251303331928877</v>
      </c>
      <c r="H83" s="126">
        <v>1.5840936981110871</v>
      </c>
      <c r="I83" s="126">
        <v>1.5840936981110874</v>
      </c>
      <c r="J83" s="126">
        <v>5.6875</v>
      </c>
      <c r="K83" s="126">
        <v>8.625</v>
      </c>
    </row>
    <row r="84" spans="1:11" x14ac:dyDescent="0.3">
      <c r="A84" s="256">
        <v>36851</v>
      </c>
      <c r="B84" s="126">
        <v>80.375</v>
      </c>
      <c r="C84" s="126">
        <v>26.5</v>
      </c>
      <c r="D84" s="126">
        <v>18.625</v>
      </c>
      <c r="E84" s="126">
        <v>1.9155111254434054</v>
      </c>
      <c r="F84" s="126">
        <v>7.0625</v>
      </c>
      <c r="G84" s="126">
        <v>5.7837621008653519</v>
      </c>
      <c r="H84" s="126">
        <v>1.6273755330125435</v>
      </c>
      <c r="I84" s="126">
        <v>1.6273755330125435</v>
      </c>
      <c r="J84" s="126">
        <v>5.6875</v>
      </c>
      <c r="K84" s="126">
        <v>8.75</v>
      </c>
    </row>
    <row r="85" spans="1:11" x14ac:dyDescent="0.3">
      <c r="A85" s="256">
        <v>36852</v>
      </c>
      <c r="B85" s="126">
        <v>75.563000000000002</v>
      </c>
      <c r="C85" s="126">
        <v>21.75</v>
      </c>
      <c r="D85" s="126">
        <v>16.6875</v>
      </c>
      <c r="E85" s="126">
        <v>1.9411193788417986</v>
      </c>
      <c r="F85" s="126">
        <v>7.25</v>
      </c>
      <c r="G85" s="126">
        <v>5.309139352555543</v>
      </c>
      <c r="H85" s="126">
        <v>1.6675164109199654</v>
      </c>
      <c r="I85" s="126">
        <v>1.6675164109199656</v>
      </c>
      <c r="J85" s="126">
        <v>5.25</v>
      </c>
      <c r="K85" s="126">
        <v>9</v>
      </c>
    </row>
    <row r="86" spans="1:11" x14ac:dyDescent="0.3">
      <c r="A86" s="256">
        <v>36854</v>
      </c>
      <c r="B86" s="126">
        <v>77.75</v>
      </c>
      <c r="C86" s="126">
        <v>23.125</v>
      </c>
      <c r="D86" s="126">
        <v>18.375</v>
      </c>
      <c r="E86" s="126">
        <v>1.948684637869438</v>
      </c>
      <c r="F86" s="126">
        <v>7.25</v>
      </c>
      <c r="G86" s="126">
        <v>6.0159078924329377</v>
      </c>
      <c r="H86" s="126">
        <v>1.6599811507493187</v>
      </c>
      <c r="I86" s="126">
        <v>1.6599811507493187</v>
      </c>
      <c r="J86" s="126">
        <v>5.1875</v>
      </c>
      <c r="K86" s="126">
        <v>9</v>
      </c>
    </row>
    <row r="87" spans="1:11" x14ac:dyDescent="0.3">
      <c r="A87" s="256">
        <v>36857</v>
      </c>
      <c r="B87" s="126">
        <v>78.875</v>
      </c>
      <c r="C87" s="126">
        <v>19.8125</v>
      </c>
      <c r="D87" s="126">
        <v>17.5</v>
      </c>
      <c r="E87" s="126">
        <v>1.954397394136808</v>
      </c>
      <c r="F87" s="126">
        <v>7.25</v>
      </c>
      <c r="G87" s="126">
        <v>6.0734008973016413</v>
      </c>
      <c r="H87" s="126">
        <v>1.6529708394015878</v>
      </c>
      <c r="I87" s="126">
        <v>1.6529708394015881</v>
      </c>
      <c r="J87" s="126">
        <v>5</v>
      </c>
      <c r="K87" s="126">
        <v>8.5625</v>
      </c>
    </row>
    <row r="88" spans="1:11" x14ac:dyDescent="0.3">
      <c r="A88" s="256">
        <v>36858</v>
      </c>
      <c r="B88" s="126">
        <v>78.438000000000002</v>
      </c>
      <c r="C88" s="126">
        <v>17.0625</v>
      </c>
      <c r="D88" s="126">
        <v>15.1875</v>
      </c>
      <c r="E88" s="126">
        <v>1.953125</v>
      </c>
      <c r="F88" s="126">
        <v>7.0625</v>
      </c>
      <c r="G88" s="126">
        <v>5.5310799046727492</v>
      </c>
      <c r="H88" s="126">
        <v>1.6446524819935648</v>
      </c>
      <c r="I88" s="126">
        <v>1.6446524819935651</v>
      </c>
      <c r="J88" s="126">
        <v>4.75</v>
      </c>
      <c r="K88" s="126">
        <v>8.375</v>
      </c>
    </row>
    <row r="89" spans="1:11" x14ac:dyDescent="0.3">
      <c r="A89" s="256">
        <v>36859</v>
      </c>
      <c r="B89" s="126">
        <v>70.25</v>
      </c>
      <c r="C89" s="126">
        <v>19.75</v>
      </c>
      <c r="D89" s="126">
        <v>14.375</v>
      </c>
      <c r="E89" s="126">
        <v>1.9461563412260783</v>
      </c>
      <c r="F89" s="126">
        <v>7.0625</v>
      </c>
      <c r="G89" s="126">
        <v>5.8808694511430328</v>
      </c>
      <c r="H89" s="126">
        <v>1.6152022377236779</v>
      </c>
      <c r="I89" s="126">
        <v>1.6152022377236779</v>
      </c>
      <c r="J89" s="126">
        <v>4.75</v>
      </c>
      <c r="K89" s="126">
        <v>8.3125</v>
      </c>
    </row>
    <row r="90" spans="1:11" x14ac:dyDescent="0.3">
      <c r="A90" s="256">
        <v>36860</v>
      </c>
      <c r="B90" s="126">
        <v>64.75</v>
      </c>
      <c r="C90" s="126">
        <v>21.125</v>
      </c>
      <c r="D90" s="126">
        <v>13.6875</v>
      </c>
      <c r="E90" s="126">
        <v>1.912851770198418</v>
      </c>
      <c r="F90" s="126">
        <v>6.8125</v>
      </c>
      <c r="G90" s="126">
        <v>5.0406456673465012</v>
      </c>
      <c r="H90" s="126">
        <v>1.6223638614136326</v>
      </c>
      <c r="I90" s="126">
        <v>1.6223638614136329</v>
      </c>
      <c r="J90" s="126">
        <v>4.5625</v>
      </c>
      <c r="K90" s="126">
        <v>8.1875</v>
      </c>
    </row>
    <row r="91" spans="1:11" x14ac:dyDescent="0.3">
      <c r="A91" s="256">
        <v>36861</v>
      </c>
      <c r="B91" s="126">
        <v>65.5</v>
      </c>
      <c r="C91" s="126">
        <v>21.75</v>
      </c>
      <c r="D91" s="126">
        <v>16.8125</v>
      </c>
      <c r="E91" s="126">
        <v>1.9087673891944354</v>
      </c>
      <c r="F91" s="126">
        <v>6.875</v>
      </c>
      <c r="G91" s="126">
        <v>4.9293080401400369</v>
      </c>
      <c r="H91" s="126">
        <v>1.6053214467084147</v>
      </c>
      <c r="I91" s="126">
        <v>1.6053214467084149</v>
      </c>
      <c r="J91" s="126">
        <v>4.75</v>
      </c>
      <c r="K91" s="126">
        <v>8</v>
      </c>
    </row>
    <row r="92" spans="1:11" x14ac:dyDescent="0.3">
      <c r="A92" s="256">
        <v>36864</v>
      </c>
      <c r="B92" s="126">
        <v>65.938000000000002</v>
      </c>
      <c r="C92" s="126">
        <v>18</v>
      </c>
      <c r="D92" s="126">
        <v>17</v>
      </c>
      <c r="E92" s="126">
        <v>1.9118600129617631</v>
      </c>
      <c r="F92" s="126">
        <v>7</v>
      </c>
      <c r="G92" s="126">
        <v>5.2769894984504591</v>
      </c>
      <c r="H92" s="126">
        <v>1.6165351900292262</v>
      </c>
      <c r="I92" s="126">
        <v>1.6165351900292264</v>
      </c>
      <c r="J92" s="126">
        <v>4.875</v>
      </c>
      <c r="K92" s="126">
        <v>8.5</v>
      </c>
    </row>
    <row r="93" spans="1:11" x14ac:dyDescent="0.3">
      <c r="A93" s="256">
        <v>36865</v>
      </c>
      <c r="B93" s="126">
        <v>68.25</v>
      </c>
      <c r="C93" s="126">
        <v>31.75</v>
      </c>
      <c r="D93" s="126">
        <v>20</v>
      </c>
      <c r="E93" s="126">
        <v>1.7822423849643552</v>
      </c>
      <c r="F93" s="126">
        <v>7.125</v>
      </c>
      <c r="G93" s="126">
        <v>5.8598745305891597</v>
      </c>
      <c r="H93" s="126">
        <v>1.5645515552613194</v>
      </c>
      <c r="I93" s="126">
        <v>1.5645515552613194</v>
      </c>
      <c r="J93" s="126">
        <v>4.875</v>
      </c>
      <c r="K93" s="126">
        <v>8.25</v>
      </c>
    </row>
    <row r="94" spans="1:11" x14ac:dyDescent="0.3">
      <c r="A94" s="256">
        <v>36866</v>
      </c>
      <c r="B94" s="126">
        <v>71.938000000000002</v>
      </c>
      <c r="C94" s="126">
        <v>32.375</v>
      </c>
      <c r="D94" s="126">
        <v>22.625</v>
      </c>
      <c r="E94" s="126">
        <v>1.8003273322422257</v>
      </c>
      <c r="F94" s="126">
        <v>7.0625</v>
      </c>
      <c r="G94" s="126">
        <v>5.3754412250254697</v>
      </c>
      <c r="H94" s="126">
        <v>1.7208886002658681</v>
      </c>
      <c r="I94" s="126">
        <v>1.7208886002658681</v>
      </c>
      <c r="J94" s="126">
        <v>4.875</v>
      </c>
      <c r="K94" s="126">
        <v>7.875</v>
      </c>
    </row>
    <row r="95" spans="1:11" x14ac:dyDescent="0.3">
      <c r="A95" s="256">
        <v>36867</v>
      </c>
      <c r="B95" s="126">
        <v>72.875</v>
      </c>
      <c r="C95" s="126">
        <v>34.5625</v>
      </c>
      <c r="D95" s="126">
        <v>19.0625</v>
      </c>
      <c r="E95" s="126">
        <v>1.7983259220507457</v>
      </c>
      <c r="F95" s="126">
        <v>7.09375</v>
      </c>
      <c r="G95" s="126">
        <v>5.612296789875284</v>
      </c>
      <c r="H95" s="126">
        <v>1.7422311286676364</v>
      </c>
      <c r="I95" s="126">
        <v>1.7422311286676369</v>
      </c>
      <c r="J95" s="126">
        <v>4.8125</v>
      </c>
      <c r="K95" s="126">
        <v>7.875</v>
      </c>
    </row>
    <row r="96" spans="1:11" x14ac:dyDescent="0.3">
      <c r="A96" s="256">
        <v>36868</v>
      </c>
      <c r="B96" s="126">
        <v>73.063000000000002</v>
      </c>
      <c r="C96" s="126">
        <v>38.9375</v>
      </c>
      <c r="D96" s="126">
        <v>23.4375</v>
      </c>
      <c r="E96" s="126">
        <v>1.8101632438125328</v>
      </c>
      <c r="F96" s="126">
        <v>7.0625</v>
      </c>
      <c r="G96" s="126">
        <v>5.7352082919193581</v>
      </c>
      <c r="H96" s="126">
        <v>1.7447523116308872</v>
      </c>
      <c r="I96" s="126">
        <v>1.7447523116308876</v>
      </c>
      <c r="J96" s="126">
        <v>4.8125</v>
      </c>
      <c r="K96" s="126">
        <v>8</v>
      </c>
    </row>
    <row r="97" spans="1:12" x14ac:dyDescent="0.3">
      <c r="A97" s="256">
        <v>36871</v>
      </c>
      <c r="B97" s="126">
        <v>76.5</v>
      </c>
      <c r="C97" s="126">
        <v>42.375</v>
      </c>
      <c r="D97" s="126">
        <v>25.875</v>
      </c>
      <c r="E97" s="126">
        <v>1.8020969855832241</v>
      </c>
      <c r="F97" s="126">
        <v>7.1875</v>
      </c>
      <c r="G97" s="126">
        <v>7.1754096839972901</v>
      </c>
      <c r="H97" s="126">
        <v>1.6775610545998558</v>
      </c>
      <c r="I97" s="126">
        <v>1.6775610545998563</v>
      </c>
      <c r="J97" s="126">
        <v>4.75</v>
      </c>
      <c r="K97" s="126">
        <v>8.5</v>
      </c>
    </row>
    <row r="98" spans="1:12" x14ac:dyDescent="0.3">
      <c r="A98" s="256">
        <v>36872</v>
      </c>
      <c r="B98" s="126">
        <v>77.188000000000002</v>
      </c>
      <c r="C98" s="126">
        <v>40.25</v>
      </c>
      <c r="D98" s="126">
        <v>23.125</v>
      </c>
      <c r="E98" s="126">
        <v>1.8003273322422257</v>
      </c>
      <c r="F98" s="126">
        <v>7.1875</v>
      </c>
      <c r="G98" s="126">
        <v>5.9727915657064541</v>
      </c>
      <c r="H98" s="126">
        <v>1.6539509333683664</v>
      </c>
      <c r="I98" s="126">
        <v>1.6539509333683664</v>
      </c>
      <c r="J98" s="126">
        <v>4.9375</v>
      </c>
      <c r="K98" s="126">
        <v>8.25</v>
      </c>
    </row>
    <row r="99" spans="1:12" x14ac:dyDescent="0.3">
      <c r="A99" s="256">
        <v>36873</v>
      </c>
      <c r="B99" s="126">
        <v>74.5</v>
      </c>
      <c r="C99" s="126">
        <v>37.6875</v>
      </c>
      <c r="D99" s="126">
        <v>22.625</v>
      </c>
      <c r="E99" s="126">
        <v>1.8068331143232588</v>
      </c>
      <c r="F99" s="126">
        <v>7.125</v>
      </c>
      <c r="G99" s="126">
        <v>6.6832353740983441</v>
      </c>
      <c r="H99" s="126">
        <v>1.5824514872797075</v>
      </c>
      <c r="I99" s="126">
        <v>1.5824514872797075</v>
      </c>
      <c r="J99" s="126">
        <v>4.875</v>
      </c>
      <c r="K99" s="126">
        <v>8.125</v>
      </c>
    </row>
    <row r="100" spans="1:12" x14ac:dyDescent="0.3">
      <c r="A100" s="256">
        <v>36874</v>
      </c>
      <c r="B100" s="126">
        <v>76.5</v>
      </c>
      <c r="C100" s="126">
        <v>33.3125</v>
      </c>
      <c r="D100" s="126">
        <v>22.0625</v>
      </c>
      <c r="E100" s="126">
        <v>1.8121911037891267</v>
      </c>
      <c r="F100" s="126">
        <v>7.125</v>
      </c>
      <c r="G100" s="126">
        <v>6.3160225087648705</v>
      </c>
      <c r="H100" s="126">
        <v>1.6582040111740428</v>
      </c>
      <c r="I100" s="126">
        <v>1.658204011174043</v>
      </c>
      <c r="J100" s="126">
        <v>4.625</v>
      </c>
      <c r="K100" s="126">
        <v>8.1875</v>
      </c>
      <c r="L100" s="126">
        <v>13.125</v>
      </c>
    </row>
    <row r="101" spans="1:12" x14ac:dyDescent="0.3">
      <c r="A101" s="256">
        <v>36875</v>
      </c>
      <c r="B101" s="126">
        <v>77.563000000000002</v>
      </c>
      <c r="C101" s="126">
        <v>31.25</v>
      </c>
      <c r="D101" s="126">
        <v>19.875</v>
      </c>
      <c r="E101" s="126">
        <v>1.8104015799868336</v>
      </c>
      <c r="F101" s="126">
        <v>7.0625</v>
      </c>
      <c r="G101" s="126">
        <v>5.5965089824180136</v>
      </c>
      <c r="H101" s="126">
        <v>1.6519507510516966</v>
      </c>
      <c r="I101" s="126">
        <v>1.6519507510516969</v>
      </c>
      <c r="J101" s="126">
        <v>4.5</v>
      </c>
      <c r="K101" s="126">
        <v>8.25</v>
      </c>
      <c r="L101" s="126">
        <v>12.875</v>
      </c>
    </row>
    <row r="102" spans="1:12" x14ac:dyDescent="0.3">
      <c r="A102" s="256">
        <v>36878</v>
      </c>
      <c r="B102" s="126">
        <v>79.563000000000002</v>
      </c>
      <c r="C102" s="126">
        <v>27.9375</v>
      </c>
      <c r="D102" s="126">
        <v>18.5</v>
      </c>
      <c r="E102" s="126">
        <v>1.799738219895288</v>
      </c>
      <c r="F102" s="126">
        <v>7.25</v>
      </c>
      <c r="G102" s="126">
        <v>6.3644420521948391</v>
      </c>
      <c r="H102" s="126">
        <v>1.4982622859236998</v>
      </c>
      <c r="I102" s="126">
        <v>1.4982622859237</v>
      </c>
      <c r="J102" s="126">
        <v>4.5</v>
      </c>
      <c r="K102" s="126">
        <v>8.3125</v>
      </c>
      <c r="L102" s="126">
        <v>13.75</v>
      </c>
    </row>
    <row r="103" spans="1:12" x14ac:dyDescent="0.3">
      <c r="A103" s="256">
        <v>36879</v>
      </c>
      <c r="B103" s="126">
        <v>79.75</v>
      </c>
      <c r="C103" s="126">
        <v>22.8125</v>
      </c>
      <c r="D103" s="126">
        <v>17.625</v>
      </c>
      <c r="E103" s="126">
        <v>1.6414970453053186</v>
      </c>
      <c r="F103" s="126">
        <v>7.25</v>
      </c>
      <c r="G103" s="126">
        <v>5.9482707819414173</v>
      </c>
      <c r="H103" s="126">
        <v>1.6206359049870502</v>
      </c>
      <c r="I103" s="126">
        <v>1.6206359049870502</v>
      </c>
      <c r="J103" s="126">
        <v>4.625</v>
      </c>
      <c r="K103" s="126">
        <v>8</v>
      </c>
      <c r="L103" s="126">
        <v>13.688000000000001</v>
      </c>
    </row>
    <row r="104" spans="1:12" x14ac:dyDescent="0.3">
      <c r="A104" s="256">
        <v>36880</v>
      </c>
      <c r="B104" s="126">
        <v>79.75</v>
      </c>
      <c r="C104" s="126">
        <v>18.875</v>
      </c>
      <c r="D104" s="126">
        <v>15.25</v>
      </c>
      <c r="E104" s="126">
        <v>1.6414970453053186</v>
      </c>
      <c r="F104" s="126">
        <v>7.5</v>
      </c>
      <c r="G104" s="126">
        <v>5.5794913609718657</v>
      </c>
      <c r="H104" s="126">
        <v>1.6691441320188194</v>
      </c>
      <c r="I104" s="126">
        <v>1.6691441320188194</v>
      </c>
      <c r="J104" s="126">
        <v>4.4375</v>
      </c>
      <c r="K104" s="126">
        <v>8</v>
      </c>
      <c r="L104" s="126">
        <v>14.938000000000001</v>
      </c>
    </row>
    <row r="105" spans="1:12" x14ac:dyDescent="0.3">
      <c r="A105" s="256">
        <v>36881</v>
      </c>
      <c r="B105" s="126">
        <v>79.313000000000002</v>
      </c>
      <c r="C105" s="126">
        <v>19.8125</v>
      </c>
      <c r="D105" s="126">
        <v>16.9375</v>
      </c>
      <c r="E105" s="126">
        <v>1.6447368421052631</v>
      </c>
      <c r="F105" s="126">
        <v>7.5</v>
      </c>
      <c r="G105" s="126">
        <v>4.9833865544885354</v>
      </c>
      <c r="H105" s="126">
        <v>1.4762109765378695</v>
      </c>
      <c r="I105" s="126">
        <v>1.4762109765378695</v>
      </c>
      <c r="J105" s="126">
        <v>4.34375</v>
      </c>
      <c r="K105" s="126">
        <v>7.875</v>
      </c>
      <c r="L105" s="126">
        <v>16.5</v>
      </c>
    </row>
    <row r="106" spans="1:12" x14ac:dyDescent="0.3">
      <c r="A106" s="256">
        <v>36882</v>
      </c>
      <c r="B106" s="126">
        <v>81.188000000000002</v>
      </c>
      <c r="C106" s="126">
        <v>24.9375</v>
      </c>
      <c r="D106" s="126">
        <v>17.4375</v>
      </c>
      <c r="E106" s="126">
        <v>1.6463615409944024</v>
      </c>
      <c r="F106" s="126">
        <v>7.4375</v>
      </c>
      <c r="G106" s="126">
        <v>5.2171988717950839</v>
      </c>
      <c r="H106" s="126">
        <v>1.6151803860861966</v>
      </c>
      <c r="I106" s="126">
        <v>1.6151803860861969</v>
      </c>
      <c r="J106" s="126">
        <v>4.75</v>
      </c>
      <c r="K106" s="126">
        <v>8.25</v>
      </c>
      <c r="L106" s="126">
        <v>16.4375</v>
      </c>
    </row>
    <row r="107" spans="1:12" x14ac:dyDescent="0.3">
      <c r="A107" s="256">
        <v>36886</v>
      </c>
      <c r="B107" s="126">
        <v>83.5</v>
      </c>
      <c r="C107" s="126">
        <v>26.25</v>
      </c>
      <c r="D107" s="126">
        <v>20.375</v>
      </c>
      <c r="E107" s="126">
        <v>1.6463615409944024</v>
      </c>
      <c r="F107" s="126">
        <v>7.75</v>
      </c>
      <c r="G107" s="126">
        <v>6.1581972684112198</v>
      </c>
      <c r="H107" s="126">
        <v>1.5817003697159118</v>
      </c>
      <c r="I107" s="126">
        <v>1.581700369715912</v>
      </c>
      <c r="J107" s="126">
        <v>4.75</v>
      </c>
      <c r="K107" s="126">
        <v>8.375</v>
      </c>
      <c r="L107" s="126">
        <v>16.25</v>
      </c>
    </row>
    <row r="108" spans="1:12" x14ac:dyDescent="0.3">
      <c r="A108" s="256">
        <v>36887</v>
      </c>
      <c r="B108" s="126">
        <v>82.813000000000002</v>
      </c>
      <c r="C108" s="126">
        <v>25.25</v>
      </c>
      <c r="D108" s="126">
        <v>20.875</v>
      </c>
      <c r="E108" s="126">
        <v>1.6528925619834711</v>
      </c>
      <c r="F108" s="126">
        <v>7.75</v>
      </c>
      <c r="G108" s="126">
        <v>5.6890813099384818</v>
      </c>
      <c r="H108" s="126">
        <v>1.7533046970361272</v>
      </c>
      <c r="I108" s="126">
        <v>1.7533046970361275</v>
      </c>
      <c r="J108" s="126">
        <v>4.25</v>
      </c>
      <c r="K108" s="126">
        <v>8.4375</v>
      </c>
      <c r="L108" s="126">
        <v>17.25</v>
      </c>
    </row>
    <row r="109" spans="1:12" x14ac:dyDescent="0.3">
      <c r="A109" s="256">
        <v>36888</v>
      </c>
      <c r="B109" s="126">
        <v>84.625</v>
      </c>
      <c r="C109" s="126">
        <v>27.5</v>
      </c>
      <c r="D109" s="126">
        <v>24.5</v>
      </c>
      <c r="E109" s="126">
        <v>1.665001665001665</v>
      </c>
      <c r="F109" s="126">
        <v>7.9375</v>
      </c>
      <c r="G109" s="126">
        <v>5.6930356462311389</v>
      </c>
      <c r="H109" s="126">
        <v>2.8572894218396732</v>
      </c>
      <c r="I109" s="126">
        <v>2.8572894218396736</v>
      </c>
      <c r="J109" s="126">
        <v>4.5</v>
      </c>
      <c r="K109" s="126">
        <v>9.75</v>
      </c>
      <c r="L109" s="126">
        <v>18</v>
      </c>
    </row>
    <row r="110" spans="1:12" x14ac:dyDescent="0.3">
      <c r="A110" s="256">
        <v>36889</v>
      </c>
      <c r="B110" s="126">
        <v>83.125</v>
      </c>
      <c r="C110" s="126">
        <v>24.625</v>
      </c>
      <c r="D110" s="126">
        <v>21.9375</v>
      </c>
      <c r="E110" s="126">
        <v>1.6421439831844455</v>
      </c>
      <c r="F110" s="126">
        <v>7.875</v>
      </c>
      <c r="G110" s="126">
        <v>6.0460122072439226</v>
      </c>
      <c r="H110" s="126">
        <v>2.7149341420213089</v>
      </c>
      <c r="I110" s="126">
        <v>2.7149341420213093</v>
      </c>
      <c r="J110" s="126">
        <v>4.5</v>
      </c>
      <c r="K110" s="126">
        <v>9.625</v>
      </c>
      <c r="L110" s="126">
        <v>17.25</v>
      </c>
    </row>
    <row r="111" spans="1:12" x14ac:dyDescent="0.3">
      <c r="A111" s="256">
        <v>36893</v>
      </c>
      <c r="B111" s="126">
        <v>79.875</v>
      </c>
      <c r="C111" s="126">
        <v>23.25</v>
      </c>
      <c r="D111" s="126">
        <v>20</v>
      </c>
      <c r="E111" s="126">
        <v>1.6735841478109519</v>
      </c>
      <c r="F111" s="126">
        <v>7.5625</v>
      </c>
      <c r="G111" s="126">
        <v>6.0435838669188291</v>
      </c>
      <c r="H111" s="126">
        <v>2.2696239550238797</v>
      </c>
      <c r="I111" s="126">
        <v>2.2696239550238801</v>
      </c>
      <c r="J111" s="126">
        <v>4.25</v>
      </c>
      <c r="K111" s="126">
        <v>10.375</v>
      </c>
      <c r="L111" s="126">
        <v>17.25</v>
      </c>
    </row>
    <row r="112" spans="1:12" x14ac:dyDescent="0.3">
      <c r="A112" s="256">
        <v>36894</v>
      </c>
      <c r="B112" s="126">
        <v>75.063000000000002</v>
      </c>
      <c r="C112" s="126">
        <v>26</v>
      </c>
      <c r="D112" s="126">
        <v>20.5625</v>
      </c>
      <c r="E112" s="126">
        <v>1.6683350016683351</v>
      </c>
      <c r="F112" s="126">
        <v>7.375</v>
      </c>
      <c r="G112" s="126">
        <v>5.4501199301177188</v>
      </c>
      <c r="H112" s="126">
        <v>2.0972322709202476</v>
      </c>
      <c r="I112" s="126">
        <v>2.097232270920248</v>
      </c>
      <c r="J112" s="126">
        <v>4.625</v>
      </c>
      <c r="K112" s="126">
        <v>9.625</v>
      </c>
      <c r="L112" s="126">
        <v>16.9375</v>
      </c>
    </row>
    <row r="113" spans="1:12" x14ac:dyDescent="0.3">
      <c r="A113" s="256">
        <v>36895</v>
      </c>
      <c r="B113" s="126">
        <v>72</v>
      </c>
      <c r="C113" s="126">
        <v>24.9375</v>
      </c>
      <c r="D113" s="126">
        <v>19.9375</v>
      </c>
      <c r="E113" s="126">
        <v>1.6683350016683351</v>
      </c>
      <c r="F113" s="126">
        <v>7.375</v>
      </c>
      <c r="G113" s="126">
        <v>5.9085626117347649</v>
      </c>
      <c r="H113" s="126">
        <v>2.0535231483002558</v>
      </c>
      <c r="I113" s="126">
        <v>2.0535231483002558</v>
      </c>
      <c r="J113" s="126">
        <v>4.625</v>
      </c>
      <c r="K113" s="126">
        <v>9.625</v>
      </c>
      <c r="L113" s="126">
        <v>16.9375</v>
      </c>
    </row>
    <row r="114" spans="1:12" x14ac:dyDescent="0.3">
      <c r="A114" s="256">
        <v>36896</v>
      </c>
      <c r="B114" s="126">
        <v>71.375</v>
      </c>
      <c r="C114" s="126">
        <v>21.3125</v>
      </c>
      <c r="D114" s="126">
        <v>19.8125</v>
      </c>
      <c r="E114" s="126">
        <v>1.6666666666666667</v>
      </c>
      <c r="F114" s="126">
        <v>7.375</v>
      </c>
      <c r="G114" s="126">
        <v>5.833838234727537</v>
      </c>
      <c r="H114" s="126">
        <v>2.0314954359804234</v>
      </c>
      <c r="I114" s="126">
        <v>2.0314954359804238</v>
      </c>
      <c r="J114" s="126">
        <v>4.75</v>
      </c>
      <c r="K114" s="126">
        <v>9.875</v>
      </c>
      <c r="L114" s="126">
        <v>16.0625</v>
      </c>
    </row>
    <row r="115" spans="1:12" x14ac:dyDescent="0.3">
      <c r="A115" s="256">
        <v>36899</v>
      </c>
      <c r="B115" s="126">
        <v>71.25</v>
      </c>
      <c r="C115" s="126">
        <v>19.75</v>
      </c>
      <c r="D115" s="126">
        <v>20.25</v>
      </c>
      <c r="E115" s="126">
        <v>1.6728002676480429</v>
      </c>
      <c r="F115" s="126">
        <v>7.1875</v>
      </c>
      <c r="G115" s="126">
        <v>5.8856863307249592</v>
      </c>
      <c r="H115" s="126">
        <v>2.0635978248963629</v>
      </c>
      <c r="I115" s="126">
        <v>2.0635978248963629</v>
      </c>
      <c r="J115" s="126">
        <v>4.75</v>
      </c>
      <c r="K115" s="126">
        <v>10</v>
      </c>
      <c r="L115" s="126">
        <v>15.375</v>
      </c>
    </row>
    <row r="116" spans="1:12" x14ac:dyDescent="0.3">
      <c r="A116" s="256">
        <v>36900</v>
      </c>
      <c r="B116" s="126">
        <v>68.625</v>
      </c>
      <c r="C116" s="126">
        <v>26.1875</v>
      </c>
      <c r="D116" s="126">
        <v>20.5</v>
      </c>
      <c r="F116" s="126">
        <v>7.1875</v>
      </c>
      <c r="G116" s="126">
        <v>6.2551472601540778</v>
      </c>
      <c r="H116" s="126">
        <v>2.3424289733840973</v>
      </c>
      <c r="I116" s="126">
        <v>2.3424289733840977</v>
      </c>
      <c r="J116" s="126">
        <v>4.375</v>
      </c>
      <c r="L116" s="126">
        <v>15</v>
      </c>
    </row>
    <row r="117" spans="1:12" x14ac:dyDescent="0.3">
      <c r="A117" s="256">
        <v>36901</v>
      </c>
      <c r="B117" s="126">
        <v>68.938000000000002</v>
      </c>
      <c r="C117" s="126">
        <v>30.125</v>
      </c>
      <c r="D117" s="126">
        <v>20.125</v>
      </c>
      <c r="F117" s="126">
        <v>7.25</v>
      </c>
      <c r="G117" s="126">
        <v>6.0263400672358518</v>
      </c>
      <c r="H117" s="126">
        <v>2.3763160668635828</v>
      </c>
      <c r="I117" s="126">
        <v>2.3763160668635832</v>
      </c>
      <c r="J117" s="126">
        <v>4.375</v>
      </c>
      <c r="L117" s="126">
        <v>14.75</v>
      </c>
    </row>
    <row r="118" spans="1:12" x14ac:dyDescent="0.3">
      <c r="A118" s="256">
        <v>36902</v>
      </c>
      <c r="B118" s="126">
        <v>69.438000000000002</v>
      </c>
      <c r="C118" s="126">
        <v>35.5625</v>
      </c>
      <c r="D118" s="126">
        <v>22.75</v>
      </c>
      <c r="F118" s="126">
        <v>7.5</v>
      </c>
      <c r="G118" s="126">
        <v>6.5955019544926703</v>
      </c>
      <c r="H118" s="126">
        <v>2.7626275082766352</v>
      </c>
      <c r="I118" s="126">
        <v>2.7626275082766356</v>
      </c>
      <c r="J118" s="126">
        <v>4.375</v>
      </c>
      <c r="L118" s="126">
        <v>14.25</v>
      </c>
    </row>
    <row r="119" spans="1:12" x14ac:dyDescent="0.3">
      <c r="A119" s="256">
        <v>36903</v>
      </c>
      <c r="B119" s="126">
        <v>70.438000000000002</v>
      </c>
      <c r="C119" s="126">
        <v>37.125</v>
      </c>
      <c r="D119" s="126">
        <v>23.625</v>
      </c>
      <c r="F119" s="126">
        <v>7.4375</v>
      </c>
      <c r="G119" s="126">
        <v>6.8788591186730903</v>
      </c>
      <c r="H119" s="126">
        <v>2.8063467404881948</v>
      </c>
      <c r="I119" s="126">
        <v>2.8063467404881952</v>
      </c>
      <c r="J119" s="126">
        <v>4.625</v>
      </c>
      <c r="L119" s="126">
        <v>14.125</v>
      </c>
    </row>
    <row r="120" spans="1:12" x14ac:dyDescent="0.3">
      <c r="A120" s="256">
        <v>36907</v>
      </c>
      <c r="B120" s="126">
        <v>68.438000000000002</v>
      </c>
      <c r="C120" s="126">
        <v>33.9375</v>
      </c>
      <c r="D120" s="126">
        <v>27.625</v>
      </c>
      <c r="F120" s="126">
        <v>7.375</v>
      </c>
      <c r="G120" s="126">
        <v>6.6356592826173699</v>
      </c>
      <c r="H120" s="126">
        <v>2.9311873096763255</v>
      </c>
      <c r="I120" s="126">
        <v>2.9311873096763259</v>
      </c>
      <c r="J120" s="126">
        <v>4.75</v>
      </c>
      <c r="L120" s="126">
        <v>13.9375</v>
      </c>
    </row>
    <row r="121" spans="1:12" x14ac:dyDescent="0.3">
      <c r="A121" s="256">
        <v>36908</v>
      </c>
      <c r="B121" s="126">
        <v>71.125</v>
      </c>
      <c r="C121" s="126">
        <v>34.9375</v>
      </c>
      <c r="D121" s="126">
        <v>24</v>
      </c>
      <c r="F121" s="126">
        <v>7.5</v>
      </c>
      <c r="G121" s="126">
        <v>6.9868581748191225</v>
      </c>
      <c r="H121" s="126">
        <v>2.1699170671545702</v>
      </c>
      <c r="I121" s="126">
        <v>2.1699170671545707</v>
      </c>
      <c r="J121" s="126">
        <v>4.75</v>
      </c>
      <c r="L121" s="126">
        <v>14.375</v>
      </c>
    </row>
    <row r="122" spans="1:12" x14ac:dyDescent="0.3">
      <c r="A122" s="256">
        <v>36909</v>
      </c>
      <c r="B122" s="126">
        <v>72.063000000000002</v>
      </c>
      <c r="C122" s="126">
        <v>34.0625</v>
      </c>
      <c r="D122" s="126">
        <v>26.75</v>
      </c>
      <c r="F122" s="126">
        <v>7.625</v>
      </c>
      <c r="G122" s="126">
        <v>6.2530537939159787</v>
      </c>
      <c r="H122" s="126">
        <v>2.2245120770506888</v>
      </c>
      <c r="I122" s="126">
        <v>2.2245120770506888</v>
      </c>
      <c r="J122" s="126">
        <v>4.5</v>
      </c>
      <c r="L122" s="126">
        <v>14.375</v>
      </c>
    </row>
    <row r="123" spans="1:12" x14ac:dyDescent="0.3">
      <c r="A123" s="256">
        <v>36910</v>
      </c>
      <c r="B123" s="126">
        <v>70.875</v>
      </c>
      <c r="C123" s="126">
        <v>31.1875</v>
      </c>
      <c r="D123" s="126">
        <v>29.0625</v>
      </c>
      <c r="F123" s="126">
        <v>7.4375</v>
      </c>
      <c r="G123" s="126">
        <v>5.5459517196196755</v>
      </c>
      <c r="H123" s="126">
        <v>2.0857989386836935</v>
      </c>
      <c r="I123" s="126">
        <v>2.0857989386836939</v>
      </c>
      <c r="J123" s="126">
        <v>4.375</v>
      </c>
      <c r="L123" s="126">
        <v>14.5</v>
      </c>
    </row>
    <row r="124" spans="1:12" x14ac:dyDescent="0.3">
      <c r="A124" s="256">
        <v>36913</v>
      </c>
      <c r="B124" s="126">
        <v>75.0625</v>
      </c>
      <c r="C124" s="126">
        <v>28.875</v>
      </c>
      <c r="D124" s="126">
        <v>27.3125</v>
      </c>
      <c r="F124" s="126">
        <v>7.3125</v>
      </c>
      <c r="G124" s="126">
        <v>5.902411935909412</v>
      </c>
      <c r="H124" s="126">
        <v>2.0570799938372</v>
      </c>
      <c r="I124" s="126">
        <v>2.0570799938372004</v>
      </c>
      <c r="J124" s="126">
        <v>4.8125</v>
      </c>
      <c r="L124" s="126">
        <v>14.25</v>
      </c>
    </row>
    <row r="125" spans="1:12" x14ac:dyDescent="0.3">
      <c r="A125" s="256">
        <v>36914</v>
      </c>
      <c r="B125" s="126">
        <v>78.563000000000002</v>
      </c>
      <c r="C125" s="126">
        <v>37</v>
      </c>
      <c r="D125" s="126">
        <v>25.5</v>
      </c>
      <c r="F125" s="126">
        <v>7.1875</v>
      </c>
      <c r="G125" s="126">
        <v>6.2679448851932715</v>
      </c>
      <c r="H125" s="126">
        <v>2.0402348147332829</v>
      </c>
      <c r="I125" s="126">
        <v>2.0402348147332834</v>
      </c>
      <c r="J125" s="126">
        <v>5</v>
      </c>
      <c r="L125" s="126">
        <v>14.125</v>
      </c>
    </row>
    <row r="126" spans="1:12" x14ac:dyDescent="0.3">
      <c r="A126" s="256">
        <v>36915</v>
      </c>
      <c r="B126" s="126">
        <v>79.75</v>
      </c>
      <c r="C126" s="126">
        <v>33.4375</v>
      </c>
      <c r="D126" s="126">
        <v>24</v>
      </c>
      <c r="F126" s="126">
        <v>7.3125</v>
      </c>
      <c r="G126" s="126">
        <v>6.5077461294767041</v>
      </c>
      <c r="H126" s="126">
        <v>1.9733257231091157</v>
      </c>
      <c r="I126" s="126">
        <v>1.9733257231091159</v>
      </c>
      <c r="J126" s="126">
        <v>5</v>
      </c>
      <c r="L126" s="126">
        <v>14.3125</v>
      </c>
    </row>
    <row r="127" spans="1:12" x14ac:dyDescent="0.3">
      <c r="A127" s="256">
        <v>36916</v>
      </c>
      <c r="B127" s="126">
        <v>82</v>
      </c>
      <c r="C127" s="126">
        <v>31.625</v>
      </c>
      <c r="D127" s="126">
        <v>20</v>
      </c>
      <c r="F127" s="126">
        <v>7.25</v>
      </c>
      <c r="G127" s="126">
        <v>6.630986889355162</v>
      </c>
      <c r="H127" s="126">
        <v>1.9952322539154397</v>
      </c>
      <c r="I127" s="126">
        <v>1.9952322539154399</v>
      </c>
      <c r="J127" s="126">
        <v>5.0625</v>
      </c>
      <c r="L127" s="126">
        <v>14.125</v>
      </c>
    </row>
    <row r="128" spans="1:12" x14ac:dyDescent="0.3">
      <c r="A128" s="256">
        <v>36917</v>
      </c>
      <c r="B128" s="126">
        <v>82</v>
      </c>
      <c r="C128" s="126">
        <v>31.25</v>
      </c>
      <c r="D128" s="126">
        <v>23</v>
      </c>
      <c r="F128" s="126">
        <v>7.25</v>
      </c>
      <c r="G128" s="126">
        <v>6.8693711738126817</v>
      </c>
      <c r="H128" s="126">
        <v>2.0372206953941956</v>
      </c>
      <c r="I128" s="126">
        <v>2.0372206953941956</v>
      </c>
      <c r="J128" s="126">
        <v>5</v>
      </c>
      <c r="L128" s="126">
        <v>14.3125</v>
      </c>
    </row>
    <row r="129" spans="1:12" x14ac:dyDescent="0.3">
      <c r="A129" s="256">
        <v>36920</v>
      </c>
      <c r="B129" s="126">
        <v>80.77</v>
      </c>
      <c r="C129" s="126">
        <v>32</v>
      </c>
      <c r="D129" s="126">
        <v>22.875</v>
      </c>
      <c r="F129" s="126">
        <v>7.1875</v>
      </c>
      <c r="G129" s="126">
        <v>6.9898168168904204</v>
      </c>
      <c r="H129" s="126">
        <v>2.099980879133561</v>
      </c>
      <c r="I129" s="126">
        <v>2.099980879133561</v>
      </c>
      <c r="J129" s="126">
        <v>5</v>
      </c>
      <c r="L129" s="126">
        <v>14.75</v>
      </c>
    </row>
    <row r="130" spans="1:12" x14ac:dyDescent="0.3">
      <c r="A130" s="256">
        <v>36921</v>
      </c>
      <c r="B130" s="126">
        <v>78.5</v>
      </c>
      <c r="C130" s="126">
        <v>32.25</v>
      </c>
      <c r="D130" s="126">
        <v>25</v>
      </c>
      <c r="F130" s="126">
        <v>7.21875</v>
      </c>
      <c r="G130" s="126">
        <v>6.255634766344631</v>
      </c>
      <c r="H130" s="126">
        <v>1.8812225548594501</v>
      </c>
      <c r="I130" s="126">
        <v>1.8812225548594501</v>
      </c>
      <c r="J130" s="126">
        <v>5</v>
      </c>
      <c r="L130" s="126">
        <v>16</v>
      </c>
    </row>
    <row r="131" spans="1:12" x14ac:dyDescent="0.3">
      <c r="A131" s="256">
        <v>36922</v>
      </c>
      <c r="B131" s="126">
        <v>80</v>
      </c>
      <c r="C131" s="126">
        <v>35.5</v>
      </c>
      <c r="D131" s="126">
        <v>23.75</v>
      </c>
      <c r="F131" s="126">
        <v>7.8125</v>
      </c>
      <c r="G131" s="126">
        <v>6.1855024791776874</v>
      </c>
      <c r="H131" s="126">
        <v>2.2133836526168045</v>
      </c>
      <c r="I131" s="126">
        <v>2.2133836526168045</v>
      </c>
      <c r="J131" s="126">
        <v>5</v>
      </c>
      <c r="L131" s="126">
        <v>16.625</v>
      </c>
    </row>
    <row r="132" spans="1:12" x14ac:dyDescent="0.3">
      <c r="A132" s="256">
        <v>36923</v>
      </c>
      <c r="B132" s="126">
        <v>78.790000000000006</v>
      </c>
      <c r="C132" s="126">
        <v>35.8125</v>
      </c>
      <c r="D132" s="126">
        <v>22</v>
      </c>
      <c r="F132" s="126">
        <v>7.4375</v>
      </c>
      <c r="G132" s="126">
        <v>6.5990924617316837</v>
      </c>
      <c r="H132" s="126">
        <v>2.5261804354772051</v>
      </c>
      <c r="I132" s="126">
        <v>2.5261804354772055</v>
      </c>
      <c r="J132" s="126">
        <v>5.125</v>
      </c>
      <c r="L132" s="126">
        <v>16.25</v>
      </c>
    </row>
    <row r="133" spans="1:12" x14ac:dyDescent="0.3">
      <c r="A133" s="256">
        <v>36924</v>
      </c>
      <c r="B133" s="126">
        <v>79.98</v>
      </c>
      <c r="C133" s="126">
        <v>34.5</v>
      </c>
      <c r="D133" s="126">
        <v>20.5625</v>
      </c>
      <c r="F133" s="126">
        <v>7.75</v>
      </c>
      <c r="G133" s="126">
        <v>6.1294722740856757</v>
      </c>
      <c r="H133" s="126">
        <v>2.3602290088172122</v>
      </c>
      <c r="I133" s="126">
        <v>2.3602290088172122</v>
      </c>
      <c r="J133" s="126">
        <v>5.125</v>
      </c>
      <c r="L133" s="126">
        <v>16.625</v>
      </c>
    </row>
    <row r="134" spans="1:12" x14ac:dyDescent="0.3">
      <c r="A134" s="256">
        <v>36927</v>
      </c>
      <c r="B134" s="126">
        <v>81.81</v>
      </c>
      <c r="C134" s="126">
        <v>31.625</v>
      </c>
      <c r="D134" s="126">
        <v>20.5</v>
      </c>
      <c r="F134" s="126">
        <v>7.875</v>
      </c>
      <c r="G134" s="126">
        <v>6.7289934675967782</v>
      </c>
      <c r="H134" s="126">
        <v>2.4554619224159842</v>
      </c>
      <c r="I134" s="126">
        <v>2.4554619224159842</v>
      </c>
      <c r="J134" s="126">
        <v>5.375</v>
      </c>
      <c r="L134" s="126">
        <v>16.5</v>
      </c>
    </row>
    <row r="135" spans="1:12" x14ac:dyDescent="0.3">
      <c r="A135" s="256">
        <v>36928</v>
      </c>
      <c r="B135" s="126">
        <v>80.150000000000006</v>
      </c>
      <c r="C135" s="126">
        <v>31.125</v>
      </c>
      <c r="D135" s="126">
        <v>23.75</v>
      </c>
      <c r="F135" s="126">
        <v>8</v>
      </c>
      <c r="G135" s="126">
        <v>6.2533172439852613</v>
      </c>
      <c r="H135" s="126">
        <v>2.5351568879710666</v>
      </c>
      <c r="I135" s="126">
        <v>2.5351568879710666</v>
      </c>
      <c r="J135" s="126">
        <v>5.75</v>
      </c>
      <c r="L135" s="126">
        <v>16</v>
      </c>
    </row>
    <row r="136" spans="1:12" x14ac:dyDescent="0.3">
      <c r="A136" s="256">
        <v>36929</v>
      </c>
      <c r="B136" s="126">
        <v>80.349999999999994</v>
      </c>
      <c r="C136" s="126">
        <v>27.5625</v>
      </c>
      <c r="D136" s="126">
        <v>22.6875</v>
      </c>
      <c r="F136" s="126">
        <v>8</v>
      </c>
      <c r="G136" s="126">
        <v>6.0421327026879661</v>
      </c>
      <c r="H136" s="126">
        <v>2.6075636391280859</v>
      </c>
      <c r="I136" s="126">
        <v>2.6075636391280863</v>
      </c>
      <c r="J136" s="126">
        <v>5.5625</v>
      </c>
      <c r="L136" s="126">
        <v>15.875</v>
      </c>
    </row>
    <row r="137" spans="1:12" x14ac:dyDescent="0.3">
      <c r="A137" s="256">
        <v>36930</v>
      </c>
      <c r="B137" s="126">
        <v>80</v>
      </c>
      <c r="C137" s="126">
        <v>25.5</v>
      </c>
      <c r="D137" s="126">
        <v>21.3125</v>
      </c>
      <c r="F137" s="126">
        <v>8.1875</v>
      </c>
      <c r="G137" s="126">
        <v>5.8943830258087138</v>
      </c>
      <c r="H137" s="126">
        <v>2.5821102238383724</v>
      </c>
      <c r="I137" s="126">
        <v>2.5821102238383729</v>
      </c>
      <c r="J137" s="126">
        <v>5.4375</v>
      </c>
      <c r="L137" s="126">
        <v>16.25</v>
      </c>
    </row>
    <row r="138" spans="1:12" x14ac:dyDescent="0.3">
      <c r="A138" s="256">
        <v>36931</v>
      </c>
      <c r="B138" s="126">
        <v>80.2</v>
      </c>
      <c r="C138" s="126">
        <v>25.0625</v>
      </c>
      <c r="D138" s="126">
        <v>20</v>
      </c>
      <c r="F138" s="126">
        <v>8.25</v>
      </c>
      <c r="G138" s="126">
        <v>5.7071178057666909</v>
      </c>
      <c r="H138" s="126">
        <v>2.65255223406644</v>
      </c>
      <c r="I138" s="126">
        <v>2.6525522340664405</v>
      </c>
      <c r="J138" s="126">
        <v>5.4375</v>
      </c>
      <c r="L138" s="126">
        <v>15.6875</v>
      </c>
    </row>
    <row r="139" spans="1:12" x14ac:dyDescent="0.3">
      <c r="A139" s="256">
        <v>36934</v>
      </c>
      <c r="B139" s="126">
        <v>79.8</v>
      </c>
      <c r="C139" s="126">
        <v>23.875</v>
      </c>
      <c r="D139" s="126">
        <v>19.4375</v>
      </c>
      <c r="F139" s="126">
        <v>8.375</v>
      </c>
      <c r="G139" s="126">
        <v>5.5439673718800018</v>
      </c>
      <c r="H139" s="126">
        <v>2.6458290838380072</v>
      </c>
      <c r="I139" s="126">
        <v>2.6458290838380072</v>
      </c>
      <c r="J139" s="126">
        <v>5.625</v>
      </c>
      <c r="L139" s="126">
        <v>14.875</v>
      </c>
    </row>
    <row r="140" spans="1:12" x14ac:dyDescent="0.3">
      <c r="A140" s="256">
        <v>36935</v>
      </c>
      <c r="B140" s="126">
        <v>81.150000000000006</v>
      </c>
      <c r="C140" s="126">
        <v>20.75</v>
      </c>
      <c r="D140" s="126">
        <v>21.0625</v>
      </c>
      <c r="F140" s="126">
        <v>8.1875</v>
      </c>
      <c r="G140" s="126">
        <v>5.4735185020466339</v>
      </c>
      <c r="H140" s="126">
        <v>2.9378089784254766</v>
      </c>
      <c r="I140" s="126">
        <v>2.9378089784254771</v>
      </c>
      <c r="J140" s="126">
        <v>5.8125</v>
      </c>
      <c r="L140" s="126">
        <v>15</v>
      </c>
    </row>
    <row r="141" spans="1:12" x14ac:dyDescent="0.3">
      <c r="A141" s="256">
        <v>36936</v>
      </c>
      <c r="B141" s="126">
        <v>80</v>
      </c>
      <c r="C141" s="126">
        <v>19.875</v>
      </c>
      <c r="D141" s="126">
        <v>20.8125</v>
      </c>
      <c r="F141" s="126">
        <v>8.5</v>
      </c>
      <c r="G141" s="126">
        <v>5.3018538670398732</v>
      </c>
      <c r="H141" s="126">
        <v>2.8709000379734335</v>
      </c>
      <c r="I141" s="126">
        <v>2.870900037973434</v>
      </c>
      <c r="J141" s="126">
        <v>5.8125</v>
      </c>
      <c r="L141" s="126">
        <v>16.125</v>
      </c>
    </row>
    <row r="142" spans="1:12" x14ac:dyDescent="0.3">
      <c r="A142" s="256">
        <v>36937</v>
      </c>
      <c r="B142" s="126">
        <v>77.900000000000006</v>
      </c>
      <c r="C142" s="126">
        <v>22.5625</v>
      </c>
      <c r="D142" s="126">
        <v>20.5</v>
      </c>
      <c r="F142" s="126">
        <v>8.375</v>
      </c>
      <c r="G142" s="126">
        <v>5.2776592137661691</v>
      </c>
      <c r="H142" s="126">
        <v>2.7337031422806715</v>
      </c>
      <c r="I142" s="126">
        <v>2.7337031422806719</v>
      </c>
      <c r="J142" s="126">
        <v>6</v>
      </c>
      <c r="L142" s="126">
        <v>17</v>
      </c>
    </row>
    <row r="143" spans="1:12" x14ac:dyDescent="0.3">
      <c r="A143" s="256">
        <v>36938</v>
      </c>
      <c r="B143" s="126">
        <v>76.19</v>
      </c>
      <c r="C143" s="126">
        <v>20.625</v>
      </c>
      <c r="D143" s="126">
        <v>20.375</v>
      </c>
      <c r="F143" s="126">
        <v>8.4375</v>
      </c>
      <c r="G143" s="126">
        <v>5.1756746130571578</v>
      </c>
      <c r="H143" s="126">
        <v>2.6326436767633159</v>
      </c>
      <c r="I143" s="126">
        <v>2.6326436767633159</v>
      </c>
      <c r="J143" s="126">
        <v>6</v>
      </c>
      <c r="L143" s="126">
        <v>16.9375</v>
      </c>
    </row>
    <row r="144" spans="1:12" x14ac:dyDescent="0.3">
      <c r="A144" s="256">
        <v>36942</v>
      </c>
      <c r="B144" s="126">
        <v>75.09</v>
      </c>
      <c r="C144" s="126">
        <v>17.640625</v>
      </c>
      <c r="D144" s="126">
        <v>20.625</v>
      </c>
      <c r="F144" s="126">
        <v>8.25</v>
      </c>
      <c r="G144" s="126">
        <v>5.3497548177857022</v>
      </c>
      <c r="H144" s="126">
        <v>2.4164318629064239</v>
      </c>
      <c r="I144" s="126">
        <v>2.4164318629064239</v>
      </c>
      <c r="J144" s="126">
        <v>5.84375</v>
      </c>
      <c r="L144" s="126">
        <v>16.9375</v>
      </c>
    </row>
    <row r="145" spans="1:12" x14ac:dyDescent="0.3">
      <c r="A145" s="256">
        <v>36943</v>
      </c>
      <c r="B145" s="126">
        <v>73.09</v>
      </c>
      <c r="C145" s="126">
        <v>15.125</v>
      </c>
      <c r="D145" s="126">
        <v>20.375</v>
      </c>
      <c r="F145" s="126">
        <v>8.375</v>
      </c>
      <c r="G145" s="126">
        <v>5.2920242898519003</v>
      </c>
      <c r="H145" s="126">
        <v>2.6719606603064947</v>
      </c>
      <c r="I145" s="126">
        <v>2.6719606603064947</v>
      </c>
      <c r="J145" s="126">
        <v>5.875</v>
      </c>
      <c r="L145" s="126">
        <v>16.9375</v>
      </c>
    </row>
    <row r="146" spans="1:12" x14ac:dyDescent="0.3">
      <c r="A146" s="256">
        <v>36944</v>
      </c>
      <c r="B146" s="126">
        <v>72.150000000000006</v>
      </c>
      <c r="C146" s="126">
        <v>13.0625</v>
      </c>
      <c r="D146" s="126">
        <v>19.5</v>
      </c>
      <c r="F146" s="126">
        <v>8.0625</v>
      </c>
      <c r="G146" s="126">
        <v>4.8758683106020921</v>
      </c>
      <c r="H146" s="126">
        <v>2.6596689453850995</v>
      </c>
      <c r="I146" s="126">
        <v>2.6596689453850999</v>
      </c>
      <c r="J146" s="126">
        <v>5.875</v>
      </c>
      <c r="L146" s="126">
        <v>16.9375</v>
      </c>
    </row>
    <row r="147" spans="1:12" x14ac:dyDescent="0.3">
      <c r="A147" s="256">
        <v>36945</v>
      </c>
      <c r="B147" s="126">
        <v>71</v>
      </c>
      <c r="C147" s="126">
        <v>16.109375</v>
      </c>
      <c r="D147" s="126">
        <v>20.625</v>
      </c>
      <c r="F147" s="126">
        <v>7.875</v>
      </c>
      <c r="G147" s="126">
        <v>4.4037629028498984</v>
      </c>
      <c r="H147" s="126">
        <v>2.6440963155107453</v>
      </c>
      <c r="I147" s="126">
        <v>2.6440963155107453</v>
      </c>
      <c r="J147" s="126">
        <v>5.53125</v>
      </c>
      <c r="L147" s="126">
        <v>16.9375</v>
      </c>
    </row>
    <row r="148" spans="1:12" x14ac:dyDescent="0.3">
      <c r="A148" s="256">
        <v>36948</v>
      </c>
      <c r="B148" s="126">
        <v>70.56</v>
      </c>
      <c r="C148" s="126">
        <v>16.5625</v>
      </c>
      <c r="D148" s="126">
        <v>21.375</v>
      </c>
      <c r="F148" s="126">
        <v>7.46875</v>
      </c>
      <c r="G148" s="126">
        <v>4.4547249613430084</v>
      </c>
      <c r="H148" s="126">
        <v>2.0625913297302505</v>
      </c>
      <c r="I148" s="126">
        <v>2.0625913297302509</v>
      </c>
      <c r="J148" s="126">
        <v>5.6875</v>
      </c>
      <c r="L148" s="126">
        <v>16.625</v>
      </c>
    </row>
    <row r="149" spans="1:12" x14ac:dyDescent="0.3">
      <c r="A149" s="256">
        <v>36949</v>
      </c>
      <c r="B149" s="126">
        <v>70.040000000000006</v>
      </c>
      <c r="C149" s="126">
        <v>15.75</v>
      </c>
      <c r="D149" s="126">
        <v>21.5625</v>
      </c>
      <c r="F149" s="126">
        <v>7.125</v>
      </c>
      <c r="G149" s="126">
        <v>4.5679408718647112</v>
      </c>
      <c r="H149" s="126">
        <v>2.1054351445246153</v>
      </c>
      <c r="I149" s="126">
        <v>2.1054351445246158</v>
      </c>
      <c r="J149" s="126">
        <v>5.6875</v>
      </c>
      <c r="L149" s="126">
        <v>16.9375</v>
      </c>
    </row>
    <row r="150" spans="1:12" x14ac:dyDescent="0.3">
      <c r="A150" s="256">
        <v>36950</v>
      </c>
      <c r="B150" s="126">
        <v>68.5</v>
      </c>
      <c r="C150" s="126">
        <v>15.0625</v>
      </c>
      <c r="D150" s="126">
        <v>19.875</v>
      </c>
      <c r="F150" s="126">
        <v>7.125</v>
      </c>
      <c r="G150" s="126">
        <v>4.3302110859019134</v>
      </c>
      <c r="H150" s="126">
        <v>2.1893262095961865</v>
      </c>
      <c r="I150" s="126">
        <v>2.189326209596187</v>
      </c>
      <c r="J150" s="126">
        <v>5.5</v>
      </c>
      <c r="L150" s="126">
        <v>16.25</v>
      </c>
    </row>
    <row r="151" spans="1:12" x14ac:dyDescent="0.3">
      <c r="A151" s="256">
        <v>36951</v>
      </c>
      <c r="B151" s="126">
        <v>68.680000000000007</v>
      </c>
      <c r="C151" s="126">
        <v>16.25</v>
      </c>
      <c r="D151" s="126">
        <v>18.75</v>
      </c>
      <c r="F151" s="126">
        <v>7.125</v>
      </c>
      <c r="G151" s="126">
        <v>4.0414845288837773</v>
      </c>
      <c r="H151" s="126">
        <v>2.2565827814896915</v>
      </c>
      <c r="I151" s="126">
        <v>2.2565827814896919</v>
      </c>
      <c r="J151" s="126">
        <v>5.375</v>
      </c>
      <c r="L151" s="126">
        <v>17</v>
      </c>
    </row>
    <row r="152" spans="1:12" x14ac:dyDescent="0.3">
      <c r="A152" s="256">
        <v>36952</v>
      </c>
      <c r="B152" s="126">
        <v>70.19</v>
      </c>
      <c r="C152" s="126">
        <v>14.6875</v>
      </c>
      <c r="D152" s="126">
        <v>18</v>
      </c>
      <c r="F152" s="126">
        <v>7.375</v>
      </c>
      <c r="G152" s="126">
        <v>4.3340332640789958</v>
      </c>
      <c r="H152" s="126">
        <v>2.3118864355389941</v>
      </c>
      <c r="I152" s="126">
        <v>2.3118864355389945</v>
      </c>
      <c r="J152" s="126">
        <v>5.875</v>
      </c>
      <c r="L152" s="126">
        <v>16.8125</v>
      </c>
    </row>
    <row r="153" spans="1:12" x14ac:dyDescent="0.3">
      <c r="A153" s="256">
        <v>36955</v>
      </c>
      <c r="B153" s="126">
        <v>70.11</v>
      </c>
      <c r="C153" s="126">
        <v>14.375</v>
      </c>
      <c r="D153" s="126">
        <v>17.375</v>
      </c>
      <c r="F153" s="126">
        <v>7.5</v>
      </c>
      <c r="G153" s="126">
        <v>4.2770905579423859</v>
      </c>
      <c r="H153" s="126">
        <v>2.5574185620220518</v>
      </c>
      <c r="I153" s="126">
        <v>2.5574185620220518</v>
      </c>
      <c r="J153" s="126">
        <v>5.9375</v>
      </c>
      <c r="L153" s="126">
        <v>17</v>
      </c>
    </row>
    <row r="154" spans="1:12" x14ac:dyDescent="0.3">
      <c r="A154" s="256">
        <v>36956</v>
      </c>
      <c r="B154" s="126">
        <v>68.87</v>
      </c>
      <c r="C154" s="126">
        <v>14.0625</v>
      </c>
      <c r="D154" s="126">
        <v>18.25</v>
      </c>
      <c r="F154" s="126">
        <v>8.25</v>
      </c>
      <c r="G154" s="126">
        <v>4.4493155525014467</v>
      </c>
      <c r="H154" s="126">
        <v>2.5028611848907283</v>
      </c>
      <c r="I154" s="126">
        <v>2.5028611848907287</v>
      </c>
      <c r="J154" s="126">
        <v>6</v>
      </c>
      <c r="L154" s="126">
        <v>17</v>
      </c>
    </row>
    <row r="155" spans="1:12" x14ac:dyDescent="0.3">
      <c r="A155" s="256">
        <v>36957</v>
      </c>
      <c r="B155" s="126">
        <v>70</v>
      </c>
      <c r="C155" s="126">
        <v>14.375</v>
      </c>
      <c r="D155" s="126">
        <v>20.5</v>
      </c>
      <c r="F155" s="126">
        <v>8.375</v>
      </c>
      <c r="G155" s="126">
        <v>5.4953956686622893</v>
      </c>
      <c r="H155" s="126">
        <v>2.7525683632493725</v>
      </c>
      <c r="I155" s="126">
        <v>2.7525683632493729</v>
      </c>
      <c r="J155" s="126">
        <v>6</v>
      </c>
      <c r="L155" s="126">
        <v>16.75</v>
      </c>
    </row>
    <row r="156" spans="1:12" x14ac:dyDescent="0.3">
      <c r="A156" s="256">
        <v>36958</v>
      </c>
      <c r="B156" s="126">
        <v>70.59</v>
      </c>
      <c r="C156" s="126">
        <v>13.8125</v>
      </c>
      <c r="D156" s="126">
        <v>19.5</v>
      </c>
      <c r="F156" s="126">
        <v>8.1875</v>
      </c>
      <c r="G156" s="126">
        <v>5.6098320070050143</v>
      </c>
      <c r="H156" s="126">
        <v>2.8260163654724306</v>
      </c>
      <c r="I156" s="126">
        <v>2.8260163654724311</v>
      </c>
      <c r="J156" s="126">
        <v>6</v>
      </c>
      <c r="L156" s="126">
        <v>17.5</v>
      </c>
    </row>
    <row r="157" spans="1:12" x14ac:dyDescent="0.3">
      <c r="A157" s="256">
        <v>36959</v>
      </c>
      <c r="B157" s="126">
        <v>68.84</v>
      </c>
      <c r="C157" s="126">
        <v>13.9375</v>
      </c>
      <c r="D157" s="126">
        <v>18.75</v>
      </c>
      <c r="F157" s="126">
        <v>8.1875</v>
      </c>
      <c r="G157" s="126">
        <v>5.1428918983446046</v>
      </c>
      <c r="H157" s="126">
        <v>2.8586155579726116</v>
      </c>
      <c r="I157" s="126">
        <v>2.8586155579726116</v>
      </c>
      <c r="J157" s="126">
        <v>6</v>
      </c>
      <c r="L157" s="126">
        <v>17.875</v>
      </c>
    </row>
    <row r="158" spans="1:12" x14ac:dyDescent="0.3">
      <c r="A158" s="256">
        <v>36962</v>
      </c>
      <c r="B158" s="126">
        <v>61.27</v>
      </c>
      <c r="C158" s="126">
        <v>10.3125</v>
      </c>
      <c r="D158" s="126">
        <v>17.5625</v>
      </c>
      <c r="F158" s="126">
        <v>8.3125</v>
      </c>
      <c r="G158" s="126">
        <v>4.6702217882267902</v>
      </c>
      <c r="H158" s="126">
        <v>2.5504560589854597</v>
      </c>
      <c r="I158" s="126">
        <v>2.5504560589854601</v>
      </c>
      <c r="J158" s="126">
        <v>5.84375</v>
      </c>
      <c r="L158" s="126">
        <v>17.6875</v>
      </c>
    </row>
    <row r="159" spans="1:12" x14ac:dyDescent="0.3">
      <c r="A159" s="256">
        <v>36963</v>
      </c>
      <c r="B159" s="285">
        <v>62.05</v>
      </c>
      <c r="C159" s="126">
        <v>13.9375</v>
      </c>
      <c r="D159" s="126">
        <v>17.75</v>
      </c>
      <c r="F159" s="126">
        <v>8.4375</v>
      </c>
      <c r="G159" s="126">
        <v>3.8387553251777611</v>
      </c>
      <c r="H159" s="126">
        <v>2.5479736639857706</v>
      </c>
      <c r="I159" s="126">
        <v>2.5479736639857711</v>
      </c>
      <c r="J159" s="126">
        <v>5.6875</v>
      </c>
      <c r="L159" s="126">
        <v>17.5625</v>
      </c>
    </row>
    <row r="160" spans="1:12" x14ac:dyDescent="0.3">
      <c r="A160" s="256">
        <v>36964</v>
      </c>
      <c r="B160" s="285">
        <v>62.75</v>
      </c>
      <c r="C160" s="126">
        <v>13.5625</v>
      </c>
      <c r="D160" s="126">
        <v>17.125</v>
      </c>
      <c r="F160" s="126">
        <v>8.25</v>
      </c>
      <c r="G160" s="126">
        <v>3.87038288250247</v>
      </c>
      <c r="H160" s="126">
        <v>2.2556962529479399</v>
      </c>
      <c r="I160" s="126">
        <v>2.2556962529479403</v>
      </c>
      <c r="J160" s="126">
        <v>5.25</v>
      </c>
      <c r="L160" s="126">
        <v>17.125</v>
      </c>
    </row>
    <row r="161" spans="1:12" x14ac:dyDescent="0.3">
      <c r="A161" s="256">
        <v>36965</v>
      </c>
      <c r="B161" s="285">
        <v>66.53</v>
      </c>
      <c r="C161" s="126">
        <v>14.8125</v>
      </c>
      <c r="D161" s="126">
        <v>18.5</v>
      </c>
      <c r="F161" s="126">
        <v>8.375</v>
      </c>
      <c r="G161" s="126">
        <v>3.7343773352563261</v>
      </c>
      <c r="H161" s="126">
        <v>2.2407035463059071</v>
      </c>
      <c r="I161" s="126">
        <v>2.2407035463059075</v>
      </c>
      <c r="J161" s="126">
        <v>5.4375</v>
      </c>
      <c r="L161" s="126">
        <v>16.9375</v>
      </c>
    </row>
    <row r="162" spans="1:12" x14ac:dyDescent="0.3">
      <c r="A162" s="256">
        <v>36966</v>
      </c>
      <c r="B162" s="285">
        <v>62.24</v>
      </c>
      <c r="C162" s="126">
        <v>15.5</v>
      </c>
      <c r="D162" s="126">
        <v>17.75</v>
      </c>
      <c r="F162" s="126">
        <v>8.375</v>
      </c>
      <c r="G162" s="126">
        <v>3.1768234385331358</v>
      </c>
      <c r="H162" s="126">
        <v>2.2862332292208878</v>
      </c>
      <c r="I162" s="126">
        <v>2.2862332292208882</v>
      </c>
      <c r="J162" s="126">
        <v>5.3125</v>
      </c>
      <c r="L162" s="126">
        <v>16.875</v>
      </c>
    </row>
    <row r="163" spans="1:12" x14ac:dyDescent="0.3">
      <c r="A163" s="256">
        <v>36969</v>
      </c>
      <c r="B163" s="285">
        <v>61.8</v>
      </c>
      <c r="C163" s="126">
        <v>17.484375</v>
      </c>
      <c r="D163" s="126">
        <v>18</v>
      </c>
      <c r="F163" s="126">
        <v>8.375</v>
      </c>
      <c r="G163" s="126">
        <v>2.8012704979294401</v>
      </c>
      <c r="H163" s="126">
        <v>2.2867265741225458</v>
      </c>
      <c r="I163" s="126">
        <v>2.2867265741225458</v>
      </c>
      <c r="J163" s="126">
        <v>5.625</v>
      </c>
      <c r="L163" s="126">
        <v>17</v>
      </c>
    </row>
    <row r="164" spans="1:12" x14ac:dyDescent="0.3">
      <c r="A164" s="256">
        <v>36970</v>
      </c>
      <c r="B164" s="285">
        <v>60.95</v>
      </c>
      <c r="C164" s="126">
        <v>15.375</v>
      </c>
      <c r="D164" s="126">
        <v>18.5</v>
      </c>
      <c r="F164" s="126">
        <v>8.375</v>
      </c>
      <c r="G164" s="126">
        <v>3.064811618161094</v>
      </c>
      <c r="H164" s="126">
        <v>2.2745068050967419</v>
      </c>
      <c r="I164" s="126">
        <v>2.2745068050967419</v>
      </c>
      <c r="J164" s="126">
        <v>5.125</v>
      </c>
      <c r="L164" s="126">
        <v>17.25</v>
      </c>
    </row>
    <row r="165" spans="1:12" x14ac:dyDescent="0.3">
      <c r="A165" s="256">
        <v>36971</v>
      </c>
      <c r="B165" s="285">
        <v>55.89</v>
      </c>
      <c r="C165" s="126">
        <v>14.875</v>
      </c>
      <c r="D165" s="126">
        <v>17.1875</v>
      </c>
      <c r="F165" s="126">
        <v>8.125</v>
      </c>
      <c r="G165" s="126">
        <v>3.063484521023931</v>
      </c>
      <c r="H165" s="126">
        <v>2.2699609021044189</v>
      </c>
      <c r="I165" s="126">
        <v>2.2699609021044189</v>
      </c>
      <c r="J165" s="126">
        <v>5.0625</v>
      </c>
      <c r="L165" s="126">
        <v>17</v>
      </c>
    </row>
    <row r="166" spans="1:12" x14ac:dyDescent="0.3">
      <c r="A166" s="256">
        <v>36972</v>
      </c>
      <c r="B166" s="285">
        <v>55.02</v>
      </c>
      <c r="C166" s="126">
        <v>14.4375</v>
      </c>
      <c r="D166" s="126">
        <v>17.5</v>
      </c>
      <c r="F166" s="126">
        <v>8.1875</v>
      </c>
      <c r="G166" s="126">
        <v>3.6089256527873181</v>
      </c>
      <c r="H166" s="126">
        <v>2.2833831522016399</v>
      </c>
      <c r="I166" s="126">
        <v>2.2833831522016403</v>
      </c>
      <c r="J166" s="126">
        <v>5.125</v>
      </c>
      <c r="L166" s="126">
        <v>16.4375</v>
      </c>
    </row>
    <row r="167" spans="1:12" x14ac:dyDescent="0.3">
      <c r="A167" s="256">
        <v>36973</v>
      </c>
      <c r="B167" s="285">
        <v>59.4</v>
      </c>
      <c r="C167" s="126">
        <v>13.5</v>
      </c>
      <c r="D167" s="126">
        <v>18</v>
      </c>
      <c r="F167" s="126">
        <v>8.125</v>
      </c>
      <c r="G167" s="126">
        <v>3.0909181318857035</v>
      </c>
      <c r="H167" s="126">
        <v>2.1959396173644428</v>
      </c>
      <c r="I167" s="126">
        <v>2.1959396173644432</v>
      </c>
      <c r="J167" s="126">
        <v>5.4375</v>
      </c>
      <c r="L167" s="126">
        <v>17.4375</v>
      </c>
    </row>
    <row r="168" spans="1:12" x14ac:dyDescent="0.3">
      <c r="A168" s="256">
        <v>36976</v>
      </c>
      <c r="B168" s="285">
        <v>61.48</v>
      </c>
      <c r="C168" s="126">
        <v>13.421875</v>
      </c>
      <c r="D168" s="126">
        <v>18.375</v>
      </c>
      <c r="F168" s="126">
        <v>8.09375</v>
      </c>
      <c r="G168" s="126">
        <v>3.065302407500174</v>
      </c>
      <c r="H168" s="126">
        <v>1.7648348598575949</v>
      </c>
      <c r="I168" s="126">
        <v>1.7648348598575951</v>
      </c>
      <c r="J168" s="126">
        <v>5.5</v>
      </c>
      <c r="L168" s="126">
        <v>17</v>
      </c>
    </row>
    <row r="169" spans="1:12" x14ac:dyDescent="0.3">
      <c r="A169" s="256">
        <v>36977</v>
      </c>
      <c r="B169" s="285">
        <v>60.46</v>
      </c>
      <c r="C169" s="126">
        <v>12.3125</v>
      </c>
      <c r="D169" s="126">
        <v>19.875</v>
      </c>
      <c r="F169" s="126">
        <v>8.0625</v>
      </c>
      <c r="G169" s="126">
        <v>3.7406440374401533</v>
      </c>
      <c r="H169" s="126">
        <v>1.9065093317203059</v>
      </c>
      <c r="I169" s="126">
        <v>1.9065093317203059</v>
      </c>
      <c r="J169" s="126">
        <v>5.5</v>
      </c>
      <c r="L169" s="126">
        <v>18</v>
      </c>
    </row>
    <row r="170" spans="1:12" x14ac:dyDescent="0.3">
      <c r="A170" s="256">
        <v>36978</v>
      </c>
      <c r="B170" s="285">
        <v>58.1</v>
      </c>
      <c r="C170" s="126">
        <v>10.375</v>
      </c>
      <c r="D170" s="126">
        <v>19.8125</v>
      </c>
      <c r="F170" s="126">
        <v>8.3125</v>
      </c>
      <c r="G170" s="126">
        <v>3.6261375781101965</v>
      </c>
      <c r="H170" s="126">
        <v>1.7706647757950764</v>
      </c>
      <c r="I170" s="126">
        <v>1.7706647757950766</v>
      </c>
      <c r="J170" s="126">
        <v>5.5</v>
      </c>
      <c r="L170" s="126">
        <v>17.625</v>
      </c>
    </row>
    <row r="171" spans="1:12" x14ac:dyDescent="0.3">
      <c r="A171" s="256">
        <v>36979</v>
      </c>
      <c r="B171" s="285">
        <v>55.31</v>
      </c>
      <c r="C171" s="126">
        <v>9.6875</v>
      </c>
      <c r="D171" s="126">
        <v>19.4375</v>
      </c>
      <c r="F171" s="126">
        <v>8.3125</v>
      </c>
      <c r="G171" s="126">
        <v>3.9604321751432074</v>
      </c>
      <c r="H171" s="126">
        <v>1.6595806933098769</v>
      </c>
      <c r="I171" s="126">
        <v>1.6595806933098769</v>
      </c>
      <c r="J171" s="126">
        <v>5.4375</v>
      </c>
      <c r="L171" s="126">
        <v>19.1875</v>
      </c>
    </row>
    <row r="172" spans="1:12" x14ac:dyDescent="0.3">
      <c r="A172" s="256">
        <v>36980</v>
      </c>
      <c r="B172" s="285">
        <v>58.1</v>
      </c>
      <c r="C172" s="126">
        <v>8</v>
      </c>
      <c r="D172" s="126">
        <v>20.3125</v>
      </c>
      <c r="F172" s="126">
        <v>8.40625</v>
      </c>
      <c r="G172" s="126">
        <v>3.503023746448624</v>
      </c>
      <c r="H172" s="126">
        <v>1.8181706897765029</v>
      </c>
      <c r="I172" s="126">
        <v>1.8181706897765029</v>
      </c>
      <c r="J172" s="126">
        <v>5.25</v>
      </c>
      <c r="L172" s="126">
        <v>20.9375</v>
      </c>
    </row>
    <row r="173" spans="1:12" x14ac:dyDescent="0.3">
      <c r="A173" s="256">
        <v>36981</v>
      </c>
      <c r="B173" s="285">
        <v>58.1</v>
      </c>
      <c r="C173" s="126">
        <v>8</v>
      </c>
      <c r="D173" s="126">
        <v>20.3125</v>
      </c>
      <c r="F173" s="126">
        <v>8.40625</v>
      </c>
      <c r="G173" s="126">
        <v>3.503023746448624</v>
      </c>
      <c r="H173" s="126">
        <v>1.8181706897765029</v>
      </c>
      <c r="I173" s="126">
        <v>1.8181706897765029</v>
      </c>
      <c r="J173" s="126">
        <v>5.25</v>
      </c>
      <c r="L173" s="126">
        <v>20.9375</v>
      </c>
    </row>
    <row r="174" spans="1:12" x14ac:dyDescent="0.3">
      <c r="A174" s="256">
        <v>36983</v>
      </c>
      <c r="B174" s="285">
        <v>56.57</v>
      </c>
      <c r="C174" s="126">
        <v>8.8125</v>
      </c>
      <c r="D174" s="126">
        <v>18.9375</v>
      </c>
      <c r="F174" s="126">
        <v>8.25</v>
      </c>
      <c r="G174" s="126">
        <v>3.229547182031443</v>
      </c>
      <c r="H174" s="126">
        <v>1.6904337078600156</v>
      </c>
      <c r="I174" s="126">
        <v>1.6904337078600156</v>
      </c>
      <c r="J174" s="126">
        <v>5.1875</v>
      </c>
      <c r="L174" s="126">
        <v>19.5625</v>
      </c>
    </row>
    <row r="175" spans="1:12" x14ac:dyDescent="0.3">
      <c r="A175" s="256">
        <v>36984</v>
      </c>
      <c r="B175" s="285">
        <v>54.06</v>
      </c>
      <c r="C175" s="126">
        <v>8.8125</v>
      </c>
      <c r="D175" s="126">
        <v>17.25</v>
      </c>
      <c r="F175" s="126">
        <v>8.21875</v>
      </c>
      <c r="G175" s="126">
        <v>2.9492999869609569</v>
      </c>
      <c r="H175" s="126">
        <v>1.4976840746673115</v>
      </c>
      <c r="I175" s="126">
        <v>1.4976840746673115</v>
      </c>
      <c r="J175" s="126">
        <v>5.125</v>
      </c>
      <c r="L175" s="126">
        <v>19.5625</v>
      </c>
    </row>
    <row r="176" spans="1:12" x14ac:dyDescent="0.3">
      <c r="A176" s="256">
        <v>36985</v>
      </c>
      <c r="B176" s="285">
        <v>53.72</v>
      </c>
      <c r="C176" s="126">
        <v>8.28125</v>
      </c>
      <c r="D176" s="126">
        <v>16.375</v>
      </c>
      <c r="F176" s="126">
        <v>8.25</v>
      </c>
      <c r="G176" s="126">
        <v>3.3018173042170926</v>
      </c>
      <c r="H176" s="126">
        <v>1.5131552331119151</v>
      </c>
      <c r="I176" s="126">
        <v>1.5131552331119151</v>
      </c>
      <c r="J176" s="126">
        <v>4.96875</v>
      </c>
      <c r="L176" s="126">
        <v>17.125</v>
      </c>
    </row>
    <row r="177" spans="1:12" x14ac:dyDescent="0.3">
      <c r="A177" s="256">
        <v>36986</v>
      </c>
      <c r="B177" s="285">
        <v>55.7</v>
      </c>
      <c r="C177" s="126">
        <v>9.5625</v>
      </c>
      <c r="D177" s="126">
        <v>17.75</v>
      </c>
      <c r="F177" s="126">
        <v>8.3125</v>
      </c>
      <c r="G177" s="126">
        <v>3.2822679657291811</v>
      </c>
      <c r="H177" s="126">
        <v>1.6030707920647109</v>
      </c>
      <c r="I177" s="126">
        <v>1.6030707920647109</v>
      </c>
      <c r="J177" s="126">
        <v>5.03125</v>
      </c>
      <c r="L177" s="126">
        <v>16.6875</v>
      </c>
    </row>
    <row r="178" spans="1:12" x14ac:dyDescent="0.3">
      <c r="A178" s="256">
        <v>36987</v>
      </c>
      <c r="B178" s="294">
        <v>53.5</v>
      </c>
      <c r="C178" s="126">
        <v>8</v>
      </c>
      <c r="D178" s="126">
        <v>19.125</v>
      </c>
      <c r="F178" s="126">
        <v>8.5</v>
      </c>
      <c r="G178" s="126">
        <v>3.2674522310399965</v>
      </c>
      <c r="H178" s="126">
        <v>1.662892412133159</v>
      </c>
      <c r="I178" s="126">
        <v>1.662892412133159</v>
      </c>
      <c r="J178" s="126">
        <v>5.125</v>
      </c>
      <c r="L178" s="126">
        <v>17.125</v>
      </c>
    </row>
    <row r="179" spans="1:12" x14ac:dyDescent="0.3">
      <c r="A179" s="256">
        <v>36990</v>
      </c>
      <c r="B179" s="294">
        <v>55.96</v>
      </c>
      <c r="C179" s="126">
        <v>8.5500000000000007</v>
      </c>
      <c r="D179" s="126">
        <v>18.62</v>
      </c>
      <c r="F179" s="126">
        <v>8.5</v>
      </c>
      <c r="G179" s="126">
        <v>3.1545998891114828</v>
      </c>
      <c r="H179" s="126">
        <v>1.7946949298810504</v>
      </c>
      <c r="I179" s="126">
        <v>1.7946949298810508</v>
      </c>
      <c r="J179" s="126">
        <v>5.3</v>
      </c>
      <c r="L179" s="126">
        <v>16.850000000000001</v>
      </c>
    </row>
    <row r="180" spans="1:12" x14ac:dyDescent="0.3">
      <c r="A180" s="256">
        <v>36991</v>
      </c>
      <c r="B180" s="294">
        <v>58.82</v>
      </c>
      <c r="C180" s="126">
        <v>11.24</v>
      </c>
      <c r="D180" s="126">
        <v>19.57</v>
      </c>
      <c r="F180" s="126">
        <v>8.7200000000000006</v>
      </c>
      <c r="G180" s="126">
        <v>3.4566714155116887</v>
      </c>
      <c r="H180" s="126">
        <v>1.8472428783037369</v>
      </c>
      <c r="I180" s="126">
        <v>1.8472428783037373</v>
      </c>
      <c r="J180" s="126">
        <v>5</v>
      </c>
      <c r="L180" s="126">
        <v>17.12</v>
      </c>
    </row>
    <row r="181" spans="1:12" x14ac:dyDescent="0.3">
      <c r="A181" s="256">
        <v>36992</v>
      </c>
      <c r="B181" s="294">
        <v>58.51</v>
      </c>
      <c r="C181" s="126">
        <v>11.23</v>
      </c>
      <c r="D181" s="126">
        <v>20.170000000000002</v>
      </c>
      <c r="F181" s="126">
        <v>8.51</v>
      </c>
      <c r="G181" s="126">
        <v>4.1738358004761666</v>
      </c>
      <c r="H181" s="126">
        <v>1.7657483306524575</v>
      </c>
      <c r="I181" s="126">
        <v>1.7657483306524577</v>
      </c>
      <c r="J181" s="126">
        <v>5</v>
      </c>
      <c r="L181" s="126">
        <v>15.88</v>
      </c>
    </row>
    <row r="182" spans="1:12" x14ac:dyDescent="0.3">
      <c r="A182" s="256">
        <v>36993</v>
      </c>
      <c r="B182" s="294">
        <v>57.3</v>
      </c>
      <c r="C182" s="126">
        <v>12.75</v>
      </c>
      <c r="D182" s="126">
        <v>20.41</v>
      </c>
      <c r="F182" s="126">
        <v>8.4</v>
      </c>
      <c r="G182" s="126">
        <v>4.2648952610578652</v>
      </c>
      <c r="H182" s="126">
        <v>2.0310753558113701</v>
      </c>
      <c r="I182" s="126">
        <v>2.0310753558113701</v>
      </c>
      <c r="J182" s="126">
        <v>5</v>
      </c>
      <c r="L182" s="126">
        <v>16</v>
      </c>
    </row>
    <row r="183" spans="1:12" x14ac:dyDescent="0.3">
      <c r="A183" s="256">
        <v>36997</v>
      </c>
      <c r="B183" s="294">
        <v>59.44</v>
      </c>
      <c r="C183" s="126">
        <v>12.29</v>
      </c>
      <c r="D183" s="126">
        <v>19.829999999999998</v>
      </c>
      <c r="F183" s="126">
        <v>8.5</v>
      </c>
      <c r="G183" s="126">
        <v>4.1604400417473952</v>
      </c>
      <c r="H183" s="126">
        <v>2.3076400004465127</v>
      </c>
      <c r="I183" s="126">
        <v>2.3076400004465132</v>
      </c>
      <c r="J183" s="126">
        <v>5</v>
      </c>
      <c r="L183" s="126">
        <v>16</v>
      </c>
    </row>
    <row r="184" spans="1:12" x14ac:dyDescent="0.3">
      <c r="A184" s="256">
        <v>36998</v>
      </c>
      <c r="B184" s="294">
        <v>60</v>
      </c>
      <c r="C184" s="126">
        <v>12.81</v>
      </c>
      <c r="D184" s="126">
        <v>21.5</v>
      </c>
      <c r="F184" s="126">
        <v>8.4</v>
      </c>
      <c r="G184" s="126">
        <v>4.051489621888436</v>
      </c>
      <c r="H184" s="126">
        <v>2.3092931535073844</v>
      </c>
      <c r="I184" s="126">
        <v>2.3092931535073844</v>
      </c>
      <c r="J184" s="126">
        <v>5</v>
      </c>
      <c r="L184" s="126">
        <v>16.059999999999999</v>
      </c>
    </row>
    <row r="185" spans="1:12" x14ac:dyDescent="0.3">
      <c r="A185" s="256">
        <v>36999</v>
      </c>
      <c r="B185" s="294">
        <v>61.62</v>
      </c>
      <c r="C185" s="126">
        <v>14.3</v>
      </c>
      <c r="D185" s="126">
        <v>23.05</v>
      </c>
      <c r="F185" s="126">
        <v>8.35</v>
      </c>
      <c r="G185" s="126">
        <v>4.0545560624198203</v>
      </c>
      <c r="H185" s="126">
        <v>2.2861988552963197</v>
      </c>
      <c r="I185" s="126">
        <v>2.2861988552963202</v>
      </c>
      <c r="J185" s="126">
        <v>5.15</v>
      </c>
      <c r="L185" s="126">
        <v>16</v>
      </c>
    </row>
    <row r="186" spans="1:12" x14ac:dyDescent="0.3">
      <c r="A186" s="256">
        <v>37000</v>
      </c>
      <c r="B186" s="294">
        <v>61.16</v>
      </c>
      <c r="C186" s="126">
        <v>14.86</v>
      </c>
      <c r="D186" s="126">
        <v>20.260000000000002</v>
      </c>
      <c r="F186" s="126">
        <v>8.5</v>
      </c>
      <c r="G186" s="126">
        <v>4.1197238357658481</v>
      </c>
      <c r="H186" s="126">
        <v>2.1193994178584434</v>
      </c>
      <c r="I186" s="126">
        <v>2.1193994178584439</v>
      </c>
      <c r="J186" s="126">
        <v>5</v>
      </c>
      <c r="L186" s="126">
        <v>15.6</v>
      </c>
    </row>
    <row r="187" spans="1:12" x14ac:dyDescent="0.3">
      <c r="A187" s="256">
        <v>37001</v>
      </c>
      <c r="B187" s="294">
        <v>59.99</v>
      </c>
      <c r="C187" s="126">
        <v>14.07</v>
      </c>
      <c r="D187" s="126">
        <v>21.5</v>
      </c>
      <c r="F187" s="126">
        <v>8.5</v>
      </c>
      <c r="G187" s="126">
        <v>4.1184391451692601</v>
      </c>
      <c r="H187" s="126">
        <v>1.9818291486453321</v>
      </c>
      <c r="I187" s="126">
        <v>1.9818291486453326</v>
      </c>
      <c r="J187" s="126">
        <v>4.99</v>
      </c>
      <c r="L187" s="126">
        <v>14.5</v>
      </c>
    </row>
    <row r="188" spans="1:12" x14ac:dyDescent="0.3">
      <c r="A188" s="256">
        <v>37004</v>
      </c>
      <c r="B188" s="294">
        <v>61.65</v>
      </c>
      <c r="C188" s="126">
        <v>11.54</v>
      </c>
      <c r="D188" s="126">
        <v>21</v>
      </c>
      <c r="F188" s="126">
        <v>8.4</v>
      </c>
      <c r="G188" s="126">
        <v>4.1530223319584492</v>
      </c>
      <c r="H188" s="126">
        <v>1.966325696566376</v>
      </c>
      <c r="I188" s="126">
        <v>1.9663256965663762</v>
      </c>
      <c r="J188" s="126">
        <v>5.22</v>
      </c>
      <c r="L188" s="126">
        <v>14.8</v>
      </c>
    </row>
    <row r="189" spans="1:12" x14ac:dyDescent="0.3">
      <c r="A189" s="256">
        <v>37005</v>
      </c>
      <c r="B189" s="294">
        <v>61.87</v>
      </c>
      <c r="C189" s="126">
        <v>11.37</v>
      </c>
      <c r="D189" s="126">
        <v>20.420000000000002</v>
      </c>
      <c r="F189" s="126">
        <v>8.0500000000000007</v>
      </c>
      <c r="G189" s="126">
        <v>4.0705817539141229</v>
      </c>
      <c r="H189" s="126">
        <v>2.135995475318694</v>
      </c>
      <c r="I189" s="126">
        <v>2.1359954753186945</v>
      </c>
      <c r="J189" s="126">
        <v>5.2</v>
      </c>
      <c r="L189" s="126">
        <v>14.75</v>
      </c>
    </row>
    <row r="190" spans="1:12" x14ac:dyDescent="0.3">
      <c r="A190" s="256">
        <v>37006</v>
      </c>
      <c r="B190" s="294">
        <v>62.88</v>
      </c>
      <c r="C190" s="126">
        <v>11.37</v>
      </c>
      <c r="D190" s="126">
        <v>21.31</v>
      </c>
      <c r="F190" s="126">
        <v>7.95</v>
      </c>
      <c r="G190" s="126">
        <v>4.0775650161222821</v>
      </c>
      <c r="H190" s="126">
        <v>2.2155825146100159</v>
      </c>
      <c r="I190" s="126">
        <v>2.2155825146100159</v>
      </c>
      <c r="J190" s="126">
        <v>5.23</v>
      </c>
      <c r="L190" s="126">
        <v>15.25</v>
      </c>
    </row>
    <row r="191" spans="1:12" x14ac:dyDescent="0.3">
      <c r="A191" s="256">
        <v>37007</v>
      </c>
      <c r="B191" s="294">
        <v>63.66</v>
      </c>
      <c r="C191" s="126">
        <v>10.32</v>
      </c>
      <c r="D191" s="126">
        <v>22.45</v>
      </c>
      <c r="F191" s="126">
        <v>7.95</v>
      </c>
      <c r="G191" s="126">
        <v>4.1797934781772099</v>
      </c>
      <c r="H191" s="126">
        <v>2.261236281582272</v>
      </c>
      <c r="I191" s="126">
        <v>2.2612362815822724</v>
      </c>
      <c r="J191" s="126">
        <v>5.22</v>
      </c>
      <c r="L191" s="126">
        <v>14.9</v>
      </c>
    </row>
    <row r="192" spans="1:12" x14ac:dyDescent="0.3">
      <c r="A192" s="256">
        <v>37008</v>
      </c>
      <c r="B192" s="294">
        <v>63.5</v>
      </c>
      <c r="C192" s="126">
        <v>10.08</v>
      </c>
      <c r="D192" s="126">
        <v>22.78</v>
      </c>
      <c r="F192" s="126">
        <v>7.93</v>
      </c>
      <c r="G192" s="126">
        <v>4.1915969194361251</v>
      </c>
      <c r="H192" s="126">
        <v>2.2435354275092529</v>
      </c>
      <c r="I192" s="126">
        <v>2.2435354275092534</v>
      </c>
      <c r="J192" s="126">
        <v>5.51</v>
      </c>
      <c r="L192" s="126">
        <v>15.52</v>
      </c>
    </row>
    <row r="193" spans="1:12" x14ac:dyDescent="0.3">
      <c r="A193" s="256">
        <v>37011</v>
      </c>
      <c r="B193" s="294">
        <v>62.72</v>
      </c>
      <c r="C193" s="126">
        <v>10.1</v>
      </c>
      <c r="D193" s="126">
        <v>22.35</v>
      </c>
      <c r="F193" s="126">
        <v>8.0500000000000007</v>
      </c>
      <c r="G193" s="126">
        <v>3.9728845347462252</v>
      </c>
      <c r="H193" s="126">
        <v>2.2311393129462251</v>
      </c>
      <c r="I193" s="126">
        <v>2.2311393129462256</v>
      </c>
      <c r="J193" s="126">
        <v>5.77</v>
      </c>
      <c r="L193" s="126">
        <v>16.5</v>
      </c>
    </row>
    <row r="194" spans="1:12" x14ac:dyDescent="0.3">
      <c r="A194" s="256">
        <v>37012</v>
      </c>
      <c r="B194" s="294">
        <v>62.41</v>
      </c>
      <c r="C194" s="126">
        <v>11.51</v>
      </c>
      <c r="D194" s="126">
        <v>25.36</v>
      </c>
      <c r="F194" s="126">
        <v>8</v>
      </c>
      <c r="G194" s="126">
        <v>4.3342941197279847</v>
      </c>
      <c r="H194" s="126">
        <v>2.2515229540276613</v>
      </c>
      <c r="I194" s="126">
        <v>2.2515229540276613</v>
      </c>
      <c r="J194" s="126">
        <v>5.79</v>
      </c>
      <c r="L194" s="126">
        <v>16</v>
      </c>
    </row>
    <row r="195" spans="1:12" x14ac:dyDescent="0.3">
      <c r="A195" s="256">
        <v>37013</v>
      </c>
      <c r="B195" s="294">
        <v>60.5</v>
      </c>
      <c r="C195" s="126">
        <v>13.99</v>
      </c>
      <c r="D195" s="126">
        <v>24.59</v>
      </c>
      <c r="F195" s="126">
        <v>8</v>
      </c>
      <c r="G195" s="126">
        <v>4.1878373017578472</v>
      </c>
      <c r="H195" s="126">
        <v>2.0850100664507241</v>
      </c>
      <c r="I195" s="126">
        <v>2.0850100664507245</v>
      </c>
      <c r="J195" s="126">
        <v>5.55</v>
      </c>
      <c r="L195" s="126">
        <v>17.22</v>
      </c>
    </row>
    <row r="196" spans="1:12" x14ac:dyDescent="0.3">
      <c r="A196" s="256">
        <v>37014</v>
      </c>
      <c r="B196" s="294">
        <v>58.35</v>
      </c>
      <c r="C196" s="126">
        <v>14.65</v>
      </c>
      <c r="D196" s="126">
        <v>24.16</v>
      </c>
      <c r="F196" s="126">
        <v>7.89</v>
      </c>
      <c r="G196" s="126">
        <v>3.9900184767917781</v>
      </c>
      <c r="H196" s="126">
        <v>2.0663534841728746</v>
      </c>
      <c r="I196" s="126">
        <v>2.066353484172875</v>
      </c>
      <c r="J196" s="126">
        <v>5.56</v>
      </c>
      <c r="L196" s="126">
        <v>17.05</v>
      </c>
    </row>
    <row r="197" spans="1:12" x14ac:dyDescent="0.3">
      <c r="A197" s="256">
        <v>37015</v>
      </c>
      <c r="B197" s="294">
        <v>59.48</v>
      </c>
      <c r="C197" s="126">
        <v>14.98</v>
      </c>
      <c r="D197" s="126">
        <v>24.6</v>
      </c>
      <c r="F197" s="126">
        <v>7.96</v>
      </c>
      <c r="G197" s="126">
        <v>3.9286522995330593</v>
      </c>
      <c r="H197" s="126">
        <v>2.0874148665473995</v>
      </c>
      <c r="I197" s="126">
        <v>2.0874148665473999</v>
      </c>
      <c r="J197" s="126">
        <v>5.56</v>
      </c>
      <c r="L197" s="126">
        <v>17</v>
      </c>
    </row>
    <row r="198" spans="1:12" x14ac:dyDescent="0.3">
      <c r="A198" s="256">
        <v>37018</v>
      </c>
      <c r="B198" s="294">
        <v>58.04</v>
      </c>
      <c r="C198" s="126">
        <v>14.64</v>
      </c>
      <c r="D198" s="126">
        <v>24.65</v>
      </c>
      <c r="F198" s="126">
        <v>7.88</v>
      </c>
      <c r="G198" s="126">
        <v>3.9990376155877927</v>
      </c>
      <c r="H198" s="126">
        <v>2.1371104195793542</v>
      </c>
      <c r="I198" s="126">
        <v>2.1371104195793547</v>
      </c>
      <c r="J198" s="126">
        <v>5.6</v>
      </c>
      <c r="L198" s="126">
        <v>16.149999999999999</v>
      </c>
    </row>
    <row r="199" spans="1:12" x14ac:dyDescent="0.3">
      <c r="A199" s="256">
        <v>37019</v>
      </c>
      <c r="B199" s="294">
        <v>56.11</v>
      </c>
      <c r="C199" s="126">
        <v>14.25</v>
      </c>
      <c r="D199" s="126">
        <v>24.2</v>
      </c>
      <c r="F199" s="126">
        <v>7.9</v>
      </c>
      <c r="G199" s="126">
        <v>3.752263900114809</v>
      </c>
      <c r="H199" s="126">
        <v>2.1173610990757172</v>
      </c>
      <c r="I199" s="126">
        <v>2.1173610990757177</v>
      </c>
      <c r="J199" s="126">
        <v>5.6</v>
      </c>
      <c r="L199" s="126">
        <v>16.399999999999999</v>
      </c>
    </row>
    <row r="200" spans="1:12" x14ac:dyDescent="0.3">
      <c r="A200" s="256">
        <v>37020</v>
      </c>
      <c r="B200" s="294">
        <v>59.2</v>
      </c>
      <c r="C200" s="126">
        <v>13.51</v>
      </c>
      <c r="D200" s="126">
        <v>25.65</v>
      </c>
      <c r="F200" s="126">
        <v>7.91</v>
      </c>
      <c r="G200" s="126">
        <v>3.8306737839421889</v>
      </c>
      <c r="H200" s="126">
        <v>2.0238847910115938</v>
      </c>
      <c r="I200" s="126">
        <v>2.0238847910115942</v>
      </c>
      <c r="J200" s="126">
        <v>5.79</v>
      </c>
      <c r="L200" s="126">
        <v>18</v>
      </c>
    </row>
    <row r="201" spans="1:12" x14ac:dyDescent="0.3">
      <c r="A201" s="256">
        <v>37021</v>
      </c>
      <c r="B201" s="294">
        <v>57.6</v>
      </c>
      <c r="C201" s="126">
        <v>12.86</v>
      </c>
      <c r="D201" s="126">
        <v>25.8</v>
      </c>
      <c r="F201" s="126">
        <v>7.91</v>
      </c>
      <c r="G201" s="126">
        <v>3.8018473886509416</v>
      </c>
      <c r="H201" s="126">
        <v>2.1148808845909128</v>
      </c>
      <c r="I201" s="126">
        <v>2.1148808845909128</v>
      </c>
      <c r="J201" s="126">
        <v>5.6</v>
      </c>
      <c r="L201" s="126">
        <v>17.95</v>
      </c>
    </row>
    <row r="202" spans="1:12" x14ac:dyDescent="0.3">
      <c r="A202" s="256">
        <v>37022</v>
      </c>
      <c r="B202" s="294">
        <v>58.2</v>
      </c>
      <c r="C202" s="126">
        <v>13.59</v>
      </c>
      <c r="D202" s="126">
        <v>26.66</v>
      </c>
      <c r="F202" s="126">
        <v>7.92</v>
      </c>
      <c r="G202" s="126">
        <v>3.7296239070341608</v>
      </c>
      <c r="H202" s="126">
        <v>2.2122049610743706</v>
      </c>
      <c r="I202" s="126">
        <v>2.212204961074371</v>
      </c>
      <c r="J202" s="126">
        <v>5.55</v>
      </c>
      <c r="L202" s="126">
        <v>17.399999999999999</v>
      </c>
    </row>
    <row r="203" spans="1:12" x14ac:dyDescent="0.3">
      <c r="A203" s="256">
        <v>37025</v>
      </c>
      <c r="B203" s="294">
        <v>58.75</v>
      </c>
      <c r="C203" s="126">
        <v>12.62</v>
      </c>
      <c r="D203" s="126">
        <v>26.1</v>
      </c>
      <c r="F203" s="126">
        <v>7.87</v>
      </c>
      <c r="G203" s="126">
        <v>3.8123205977415378</v>
      </c>
      <c r="H203" s="126">
        <v>2.2182877179304663</v>
      </c>
      <c r="I203" s="126">
        <v>2.2182877179304663</v>
      </c>
      <c r="J203" s="126">
        <v>5.6</v>
      </c>
      <c r="L203" s="126">
        <v>17.850000000000001</v>
      </c>
    </row>
    <row r="204" spans="1:12" x14ac:dyDescent="0.3">
      <c r="A204" s="256">
        <v>37026</v>
      </c>
      <c r="B204" s="294">
        <v>56.99</v>
      </c>
      <c r="C204" s="126">
        <v>11.54</v>
      </c>
      <c r="D204" s="126">
        <v>26.17</v>
      </c>
      <c r="F204" s="126">
        <v>7.95</v>
      </c>
      <c r="G204" s="126">
        <v>3.9753241503330283</v>
      </c>
      <c r="H204" s="126">
        <v>2.9821846312101052</v>
      </c>
      <c r="I204" s="126">
        <v>2.9821846312101052</v>
      </c>
      <c r="J204" s="126">
        <v>5.6</v>
      </c>
      <c r="L204" s="126">
        <v>17.899999999999999</v>
      </c>
    </row>
    <row r="205" spans="1:12" x14ac:dyDescent="0.3">
      <c r="A205" s="256">
        <v>37027</v>
      </c>
      <c r="B205" s="294">
        <v>55.01</v>
      </c>
      <c r="C205" s="126">
        <v>12.4</v>
      </c>
      <c r="D205" s="126">
        <v>27.12</v>
      </c>
      <c r="F205" s="126">
        <v>8</v>
      </c>
      <c r="G205" s="126">
        <v>4.1653116441080478</v>
      </c>
      <c r="H205" s="126">
        <v>2.7684888341283393</v>
      </c>
      <c r="I205" s="126">
        <v>2.7684888341283398</v>
      </c>
      <c r="J205" s="126">
        <v>5.5</v>
      </c>
      <c r="L205" s="126">
        <v>18.2</v>
      </c>
    </row>
    <row r="206" spans="1:12" x14ac:dyDescent="0.3">
      <c r="A206" s="256">
        <v>37028</v>
      </c>
      <c r="B206" s="294">
        <v>52.2</v>
      </c>
      <c r="C206" s="126">
        <v>12.4</v>
      </c>
      <c r="D206" s="126">
        <v>28.75</v>
      </c>
      <c r="F206" s="126">
        <v>8.0500000000000007</v>
      </c>
      <c r="G206" s="126">
        <v>4.2982278958111211</v>
      </c>
      <c r="H206" s="126">
        <v>2.8171155919609494</v>
      </c>
      <c r="I206" s="126">
        <v>2.8171155919609503</v>
      </c>
      <c r="J206" s="126">
        <v>5.47</v>
      </c>
      <c r="L206" s="126">
        <v>19.350000000000001</v>
      </c>
    </row>
    <row r="207" spans="1:12" x14ac:dyDescent="0.3">
      <c r="A207" s="256">
        <v>37029</v>
      </c>
      <c r="B207" s="294">
        <v>54.9</v>
      </c>
      <c r="C207" s="126">
        <v>12.79</v>
      </c>
      <c r="D207" s="126">
        <v>29.95</v>
      </c>
      <c r="F207" s="126">
        <v>8.19</v>
      </c>
      <c r="G207" s="126">
        <v>4.2797933631535612</v>
      </c>
      <c r="H207" s="126">
        <v>3.3327043376110903</v>
      </c>
      <c r="I207" s="126">
        <v>3.3327043376110908</v>
      </c>
      <c r="J207" s="126">
        <v>5.5</v>
      </c>
      <c r="L207" s="126">
        <v>20.46</v>
      </c>
    </row>
    <row r="208" spans="1:12" x14ac:dyDescent="0.3">
      <c r="A208" s="256">
        <v>37032</v>
      </c>
      <c r="B208" s="294">
        <v>54.99</v>
      </c>
      <c r="C208" s="126">
        <v>13.7</v>
      </c>
      <c r="D208" s="126">
        <v>29.13</v>
      </c>
      <c r="F208" s="126">
        <v>8.2799999999999994</v>
      </c>
      <c r="G208" s="126">
        <v>4.27721649720469</v>
      </c>
      <c r="H208" s="126">
        <v>3.4151416541838926</v>
      </c>
      <c r="I208" s="126">
        <v>3.4151416541838935</v>
      </c>
      <c r="J208" s="126">
        <v>5.5</v>
      </c>
      <c r="L208" s="126">
        <v>21.8</v>
      </c>
    </row>
    <row r="209" spans="1:12" x14ac:dyDescent="0.3">
      <c r="A209" s="256">
        <v>37033</v>
      </c>
      <c r="B209" s="294">
        <v>54.95</v>
      </c>
      <c r="C209" s="126">
        <v>14.57</v>
      </c>
      <c r="D209" s="126">
        <v>28.05</v>
      </c>
      <c r="F209" s="126">
        <v>8.4499999999999993</v>
      </c>
      <c r="G209" s="126">
        <v>4.2191170599222865</v>
      </c>
      <c r="H209" s="126">
        <v>3.2574388945915147</v>
      </c>
      <c r="I209" s="126">
        <v>3.2574388945915151</v>
      </c>
      <c r="J209" s="126">
        <v>5.51</v>
      </c>
      <c r="L209" s="126">
        <v>20.79</v>
      </c>
    </row>
    <row r="210" spans="1:12" x14ac:dyDescent="0.3">
      <c r="A210" s="256">
        <v>37034</v>
      </c>
      <c r="B210" s="294">
        <v>55.35</v>
      </c>
      <c r="C210" s="126">
        <v>13.62</v>
      </c>
      <c r="D210" s="126">
        <v>24.94</v>
      </c>
      <c r="F210" s="126">
        <v>8.5500000000000007</v>
      </c>
      <c r="G210" s="126">
        <v>4.0590760406882085</v>
      </c>
      <c r="H210" s="126">
        <v>3.1185347979273734</v>
      </c>
      <c r="I210" s="126">
        <v>3.118534797927373</v>
      </c>
      <c r="J210" s="126">
        <v>5.75</v>
      </c>
      <c r="L210" s="126">
        <v>19.809999999999999</v>
      </c>
    </row>
    <row r="211" spans="1:12" x14ac:dyDescent="0.3">
      <c r="A211" s="256">
        <v>37035</v>
      </c>
      <c r="B211" s="294">
        <v>54.16</v>
      </c>
      <c r="C211" s="126">
        <v>13.94</v>
      </c>
      <c r="D211" s="126">
        <v>26.4</v>
      </c>
      <c r="F211" s="126">
        <v>8.5500000000000007</v>
      </c>
      <c r="G211" s="126">
        <v>4.0376975529376908</v>
      </c>
      <c r="H211" s="126">
        <v>3.1390453075893165</v>
      </c>
      <c r="I211" s="126">
        <v>3.1390453075893165</v>
      </c>
      <c r="J211" s="126">
        <v>6</v>
      </c>
      <c r="L211" s="126">
        <v>19.75</v>
      </c>
    </row>
    <row r="212" spans="1:12" x14ac:dyDescent="0.3">
      <c r="A212" s="256">
        <v>37036</v>
      </c>
      <c r="B212" s="294">
        <v>53</v>
      </c>
      <c r="C212" s="126">
        <v>13.27</v>
      </c>
      <c r="D212" s="126">
        <v>27.3</v>
      </c>
      <c r="F212" s="126">
        <v>8.74</v>
      </c>
      <c r="G212" s="126">
        <v>3.9896057425156592</v>
      </c>
      <c r="H212" s="126">
        <v>3.1677562318328576</v>
      </c>
      <c r="I212" s="126">
        <v>3.1677562318328576</v>
      </c>
      <c r="J212" s="126">
        <v>6.59</v>
      </c>
      <c r="L212" s="126">
        <v>20.98</v>
      </c>
    </row>
    <row r="213" spans="1:12" x14ac:dyDescent="0.3">
      <c r="A213" s="256">
        <v>37040</v>
      </c>
      <c r="B213" s="294">
        <v>53.05</v>
      </c>
      <c r="C213" s="126">
        <v>11.42</v>
      </c>
      <c r="D213" s="126">
        <v>27.36</v>
      </c>
      <c r="F213" s="126">
        <v>8.6</v>
      </c>
      <c r="G213" s="126">
        <v>3.8887759299719744</v>
      </c>
      <c r="H213" s="126">
        <v>3.0861905659630557</v>
      </c>
      <c r="I213" s="126">
        <v>3.0861905659630562</v>
      </c>
      <c r="J213" s="126">
        <v>6.68</v>
      </c>
      <c r="L213" s="126">
        <v>20.75</v>
      </c>
    </row>
    <row r="214" spans="1:12" x14ac:dyDescent="0.3">
      <c r="A214" s="256">
        <v>37041</v>
      </c>
      <c r="B214" s="294">
        <v>53.23</v>
      </c>
      <c r="C214" s="126">
        <v>10.11</v>
      </c>
      <c r="D214" s="126">
        <v>24.03</v>
      </c>
      <c r="F214" s="126">
        <v>8.19</v>
      </c>
      <c r="G214" s="126">
        <v>3.8245097313026095</v>
      </c>
      <c r="H214" s="126">
        <v>2.1664458289082846</v>
      </c>
      <c r="I214" s="126">
        <v>2.1664458289082851</v>
      </c>
      <c r="J214" s="126">
        <v>6.3</v>
      </c>
      <c r="L214" s="126">
        <v>19.47</v>
      </c>
    </row>
    <row r="215" spans="1:12" x14ac:dyDescent="0.3">
      <c r="A215" s="256">
        <v>37042</v>
      </c>
      <c r="B215" s="294">
        <v>52.91</v>
      </c>
      <c r="C215" s="126">
        <v>10.130000000000001</v>
      </c>
      <c r="D215" s="126">
        <v>24.45</v>
      </c>
      <c r="F215" s="126">
        <v>8.14</v>
      </c>
      <c r="G215" s="126">
        <v>3.6158082572534083</v>
      </c>
      <c r="H215" s="126">
        <v>2.4250599066710681</v>
      </c>
      <c r="I215" s="126">
        <v>2.4250599066710685</v>
      </c>
      <c r="J215" s="126">
        <v>6.34</v>
      </c>
      <c r="L215" s="126">
        <v>19.25</v>
      </c>
    </row>
    <row r="216" spans="1:12" x14ac:dyDescent="0.3">
      <c r="A216" s="256">
        <v>37043</v>
      </c>
      <c r="B216" s="294">
        <v>53.04</v>
      </c>
      <c r="C216" s="126">
        <v>10.18</v>
      </c>
      <c r="D216" s="126">
        <v>24.9</v>
      </c>
      <c r="F216" s="126">
        <v>7.95</v>
      </c>
      <c r="G216" s="126">
        <v>3.0479830801003791</v>
      </c>
      <c r="H216" s="126">
        <v>2.5673450476294928</v>
      </c>
      <c r="I216" s="126">
        <v>2.5673450476294932</v>
      </c>
      <c r="J216" s="126">
        <v>6.33</v>
      </c>
      <c r="L216" s="126">
        <v>19.2</v>
      </c>
    </row>
    <row r="217" spans="1:12" x14ac:dyDescent="0.3">
      <c r="A217" s="256">
        <v>37046</v>
      </c>
      <c r="B217" s="294">
        <v>54.54</v>
      </c>
      <c r="C217" s="126">
        <v>10.35</v>
      </c>
      <c r="D217" s="126">
        <v>22.68</v>
      </c>
      <c r="F217" s="126">
        <v>8.0500000000000007</v>
      </c>
      <c r="G217" s="126">
        <v>3.4743524796174081</v>
      </c>
      <c r="H217" s="126">
        <v>2.6317208365078897</v>
      </c>
      <c r="I217" s="126">
        <v>2.6317208365078901</v>
      </c>
      <c r="J217" s="126">
        <v>6.5</v>
      </c>
      <c r="L217" s="126">
        <v>19.95</v>
      </c>
    </row>
    <row r="218" spans="1:12" x14ac:dyDescent="0.3">
      <c r="A218" s="256">
        <v>37047</v>
      </c>
      <c r="B218" s="294">
        <v>53.75</v>
      </c>
      <c r="C218" s="126">
        <v>10.99</v>
      </c>
      <c r="D218" s="126">
        <v>24.87</v>
      </c>
      <c r="F218" s="126">
        <v>8</v>
      </c>
      <c r="G218" s="126">
        <v>3.6726135797846116</v>
      </c>
      <c r="H218" s="126">
        <v>2.9619019274875242</v>
      </c>
      <c r="I218" s="126">
        <v>2.9619019274875242</v>
      </c>
      <c r="J218" s="126">
        <v>6.45</v>
      </c>
      <c r="L218" s="126">
        <v>20.37</v>
      </c>
    </row>
    <row r="219" spans="1:12" x14ac:dyDescent="0.3">
      <c r="A219" s="256">
        <v>37048</v>
      </c>
      <c r="B219" s="294">
        <v>52.33</v>
      </c>
      <c r="C219" s="126">
        <v>10.210000000000001</v>
      </c>
      <c r="D219" s="126">
        <v>25.9</v>
      </c>
      <c r="F219" s="126">
        <v>7.85</v>
      </c>
      <c r="G219" s="126">
        <v>3.2625215690985954</v>
      </c>
      <c r="H219" s="126">
        <v>3.230221877233689</v>
      </c>
      <c r="I219" s="126">
        <v>3.2302218772336895</v>
      </c>
      <c r="J219" s="126">
        <v>6.35</v>
      </c>
      <c r="L219" s="126">
        <v>20.350000000000001</v>
      </c>
    </row>
    <row r="220" spans="1:12" x14ac:dyDescent="0.3">
      <c r="A220" s="256">
        <v>37049</v>
      </c>
      <c r="B220" s="294">
        <v>50.52</v>
      </c>
      <c r="C220" s="126">
        <v>10.32</v>
      </c>
      <c r="D220" s="126">
        <v>24.83</v>
      </c>
      <c r="F220" s="126">
        <v>7.83</v>
      </c>
      <c r="G220" s="126">
        <v>3.2736269582456576</v>
      </c>
      <c r="H220" s="126">
        <v>3.1185198650354149</v>
      </c>
      <c r="I220" s="126">
        <v>3.1185198650354153</v>
      </c>
      <c r="J220" s="126">
        <v>6.73</v>
      </c>
      <c r="L220" s="126">
        <v>20.9</v>
      </c>
    </row>
    <row r="221" spans="1:12" x14ac:dyDescent="0.3">
      <c r="A221" s="256">
        <v>37050</v>
      </c>
      <c r="B221" s="294">
        <v>51.13</v>
      </c>
      <c r="C221" s="126">
        <v>9.24</v>
      </c>
      <c r="D221" s="126">
        <v>22.97</v>
      </c>
      <c r="F221" s="126">
        <v>7.85</v>
      </c>
      <c r="G221" s="126">
        <v>3.552050911566186</v>
      </c>
      <c r="H221" s="126">
        <v>3.1321062277455027</v>
      </c>
      <c r="I221" s="126">
        <v>3.1321062277455036</v>
      </c>
      <c r="J221" s="126">
        <v>6.63</v>
      </c>
      <c r="L221" s="126">
        <v>21.1</v>
      </c>
    </row>
    <row r="222" spans="1:12" x14ac:dyDescent="0.3">
      <c r="A222" s="256">
        <v>37053</v>
      </c>
      <c r="B222" s="294">
        <v>51</v>
      </c>
      <c r="C222" s="126">
        <v>8.8000000000000007</v>
      </c>
      <c r="D222" s="126">
        <v>22</v>
      </c>
      <c r="F222" s="126">
        <v>7.9</v>
      </c>
      <c r="G222" s="126">
        <v>3.1328249184432826</v>
      </c>
      <c r="H222" s="126">
        <v>3.2172486158727107</v>
      </c>
      <c r="I222" s="126">
        <v>3.2172486158727112</v>
      </c>
      <c r="J222" s="126">
        <v>6.6</v>
      </c>
      <c r="L222" s="126">
        <v>20.61</v>
      </c>
    </row>
    <row r="223" spans="1:12" x14ac:dyDescent="0.3">
      <c r="A223" s="256">
        <v>37054</v>
      </c>
      <c r="B223" s="294">
        <v>50.37</v>
      </c>
      <c r="C223" s="126">
        <v>8.52</v>
      </c>
      <c r="D223" s="126">
        <v>20.95</v>
      </c>
      <c r="F223" s="126">
        <v>8</v>
      </c>
      <c r="G223" s="126">
        <v>3.1021089136416142</v>
      </c>
      <c r="H223" s="126">
        <v>2.8879027685488192</v>
      </c>
      <c r="I223" s="126">
        <v>2.8879027685488192</v>
      </c>
      <c r="J223" s="126">
        <v>6.67</v>
      </c>
      <c r="L223" s="126">
        <v>19.649999999999999</v>
      </c>
    </row>
    <row r="224" spans="1:12" x14ac:dyDescent="0.3">
      <c r="A224" s="256">
        <v>37055</v>
      </c>
      <c r="B224" s="294">
        <v>49.92</v>
      </c>
      <c r="C224" s="126">
        <v>8</v>
      </c>
      <c r="D224" s="126">
        <v>19.75</v>
      </c>
      <c r="F224" s="126">
        <v>8</v>
      </c>
      <c r="G224" s="126">
        <v>3.0900129103568683</v>
      </c>
      <c r="H224" s="126">
        <v>2.575803306223222</v>
      </c>
      <c r="I224" s="126">
        <v>2.575803306223222</v>
      </c>
      <c r="J224" s="126">
        <v>6.7</v>
      </c>
      <c r="L224" s="126">
        <v>19</v>
      </c>
    </row>
    <row r="225" spans="1:12" x14ac:dyDescent="0.3">
      <c r="A225" s="256">
        <v>37056</v>
      </c>
      <c r="B225" s="294">
        <v>47.91</v>
      </c>
      <c r="C225" s="126">
        <v>7.44</v>
      </c>
      <c r="D225" s="126">
        <v>19.079999999999998</v>
      </c>
      <c r="F225" s="126">
        <v>7.79</v>
      </c>
      <c r="G225" s="126">
        <v>2.9354501459142415</v>
      </c>
      <c r="H225" s="126">
        <v>2.575986947495172</v>
      </c>
      <c r="I225" s="126">
        <v>2.575986947495172</v>
      </c>
      <c r="J225" s="126">
        <v>6.47</v>
      </c>
      <c r="L225" s="126">
        <v>17.899999999999999</v>
      </c>
    </row>
    <row r="226" spans="1:12" x14ac:dyDescent="0.3">
      <c r="A226" s="256">
        <v>37057</v>
      </c>
      <c r="B226" s="294">
        <v>47.26</v>
      </c>
      <c r="C226" s="126">
        <v>6.84</v>
      </c>
      <c r="D226" s="126">
        <v>20.95</v>
      </c>
      <c r="F226" s="126">
        <v>8</v>
      </c>
      <c r="G226" s="126">
        <v>3.1882017206076543</v>
      </c>
      <c r="H226" s="126">
        <v>2.679636942092269</v>
      </c>
      <c r="I226" s="126">
        <v>2.679636942092269</v>
      </c>
      <c r="J226" s="126">
        <v>6.31</v>
      </c>
      <c r="L226" s="126">
        <v>17.239999999999998</v>
      </c>
    </row>
    <row r="227" spans="1:12" x14ac:dyDescent="0.3">
      <c r="A227" s="256">
        <v>37060</v>
      </c>
      <c r="B227" s="294">
        <v>44.7</v>
      </c>
      <c r="C227" s="126">
        <v>6.05</v>
      </c>
      <c r="D227" s="126">
        <v>19.02</v>
      </c>
      <c r="F227" s="126">
        <v>7.6</v>
      </c>
      <c r="G227" s="126">
        <v>3.0076506316145335</v>
      </c>
      <c r="H227" s="126">
        <v>2.2986457276839594</v>
      </c>
      <c r="I227" s="126">
        <v>2.2986457276839598</v>
      </c>
      <c r="J227" s="126">
        <v>6.07</v>
      </c>
      <c r="L227" s="126">
        <v>17.010000000000002</v>
      </c>
    </row>
    <row r="228" spans="1:12" x14ac:dyDescent="0.3">
      <c r="A228" s="256">
        <v>37061</v>
      </c>
      <c r="B228" s="294">
        <v>46.18</v>
      </c>
      <c r="C228" s="126">
        <v>5.17</v>
      </c>
      <c r="D228" s="126">
        <v>18.25</v>
      </c>
      <c r="F228" s="126">
        <v>7.65</v>
      </c>
      <c r="G228" s="126">
        <v>2.8344279591404566</v>
      </c>
      <c r="H228" s="126">
        <v>2.041799355368878</v>
      </c>
      <c r="I228" s="126">
        <v>2.041799355368878</v>
      </c>
      <c r="J228" s="126">
        <v>6.15</v>
      </c>
      <c r="L228" s="126">
        <v>16.600000000000001</v>
      </c>
    </row>
    <row r="229" spans="1:12" x14ac:dyDescent="0.3">
      <c r="A229" s="256">
        <v>37062</v>
      </c>
      <c r="B229" s="294">
        <v>45.8</v>
      </c>
      <c r="C229" s="126">
        <v>5.33</v>
      </c>
      <c r="D229" s="126">
        <v>15.5</v>
      </c>
      <c r="F229" s="126">
        <v>7.55</v>
      </c>
      <c r="G229" s="126">
        <v>2.4083559878813716</v>
      </c>
      <c r="H229" s="126">
        <v>1.9104754924314489</v>
      </c>
      <c r="I229" s="126">
        <v>1.9104754924314491</v>
      </c>
      <c r="J229" s="126">
        <v>6.15</v>
      </c>
      <c r="L229" s="126">
        <v>17.07</v>
      </c>
    </row>
    <row r="230" spans="1:12" x14ac:dyDescent="0.3">
      <c r="A230" s="256">
        <v>37063</v>
      </c>
      <c r="B230" s="294">
        <v>44.05</v>
      </c>
      <c r="C230" s="126">
        <v>6.97</v>
      </c>
      <c r="D230" s="126">
        <v>17.579999999999998</v>
      </c>
      <c r="F230" s="126">
        <v>7.6</v>
      </c>
      <c r="G230" s="126">
        <v>2.3683366676231676</v>
      </c>
      <c r="H230" s="126">
        <v>1.6709943124066229</v>
      </c>
      <c r="I230" s="126">
        <v>1.6709943124066233</v>
      </c>
      <c r="J230" s="126">
        <v>6</v>
      </c>
      <c r="L230" s="126">
        <v>17.07</v>
      </c>
    </row>
    <row r="231" spans="1:12" x14ac:dyDescent="0.3">
      <c r="A231" s="256">
        <v>37064</v>
      </c>
      <c r="B231" s="294">
        <v>44.88</v>
      </c>
      <c r="C231" s="126">
        <v>6.9</v>
      </c>
      <c r="D231" s="126">
        <v>18.47</v>
      </c>
      <c r="F231" s="126">
        <v>7.52</v>
      </c>
      <c r="G231" s="126">
        <v>2.1184338409859582</v>
      </c>
      <c r="H231" s="126">
        <v>1.631437786352919</v>
      </c>
      <c r="I231" s="126">
        <v>1.631437786352919</v>
      </c>
      <c r="J231" s="126">
        <v>6.28</v>
      </c>
      <c r="L231" s="126">
        <v>16.649999999999999</v>
      </c>
    </row>
    <row r="232" spans="1:12" x14ac:dyDescent="0.3">
      <c r="A232" s="256">
        <v>37067</v>
      </c>
      <c r="B232" s="294">
        <v>44.07</v>
      </c>
      <c r="C232" s="126">
        <v>7.45</v>
      </c>
      <c r="D232" s="126">
        <v>19.73</v>
      </c>
      <c r="F232" s="126">
        <v>7.64</v>
      </c>
      <c r="G232" s="126">
        <v>2.0749424411316233</v>
      </c>
      <c r="H232" s="126">
        <v>1.928185050259924</v>
      </c>
      <c r="I232" s="126">
        <v>1.928185050259924</v>
      </c>
      <c r="J232" s="126">
        <v>6.15</v>
      </c>
      <c r="L232" s="126">
        <v>16</v>
      </c>
    </row>
    <row r="233" spans="1:12" x14ac:dyDescent="0.3">
      <c r="A233" s="256">
        <v>37068</v>
      </c>
      <c r="B233" s="294">
        <v>44.19</v>
      </c>
      <c r="C233" s="126">
        <v>7.7</v>
      </c>
      <c r="D233" s="126">
        <v>17.05</v>
      </c>
      <c r="F233" s="126">
        <v>7.5</v>
      </c>
      <c r="G233" s="126">
        <v>2.9008108737788851</v>
      </c>
      <c r="H233" s="126">
        <v>1.7109495437622129</v>
      </c>
      <c r="I233" s="126">
        <v>1.7109495437622133</v>
      </c>
      <c r="J233" s="126">
        <v>6.2</v>
      </c>
      <c r="L233" s="126">
        <v>17.25</v>
      </c>
    </row>
    <row r="234" spans="1:12" x14ac:dyDescent="0.3">
      <c r="A234" s="256">
        <v>37069</v>
      </c>
      <c r="B234" s="294">
        <v>46.72</v>
      </c>
      <c r="C234" s="126">
        <v>7.5</v>
      </c>
      <c r="D234" s="126">
        <v>15.76</v>
      </c>
      <c r="F234" s="126">
        <v>7.53</v>
      </c>
      <c r="G234" s="126">
        <v>3.1014971501611792</v>
      </c>
      <c r="H234" s="126">
        <v>1.6322815550306968</v>
      </c>
      <c r="I234" s="126">
        <v>1.6322815550306966E-6</v>
      </c>
      <c r="J234" s="126">
        <v>6.26</v>
      </c>
      <c r="L234" s="126">
        <v>17.12</v>
      </c>
    </row>
    <row r="235" spans="1:12" x14ac:dyDescent="0.3">
      <c r="A235" s="256">
        <v>37070</v>
      </c>
      <c r="B235" s="294">
        <v>48.34</v>
      </c>
      <c r="C235" s="126">
        <v>7.98</v>
      </c>
      <c r="D235" s="126">
        <v>15.98</v>
      </c>
      <c r="F235" s="126">
        <v>6.66</v>
      </c>
      <c r="G235" s="126">
        <v>3.1110595784602673</v>
      </c>
      <c r="H235" s="126">
        <v>1.6427224051843146</v>
      </c>
      <c r="I235" s="126">
        <v>1.6427224051843146E-6</v>
      </c>
      <c r="J235" s="126">
        <v>6.16</v>
      </c>
      <c r="L235" s="126">
        <v>17.25</v>
      </c>
    </row>
    <row r="236" spans="1:12" x14ac:dyDescent="0.3">
      <c r="A236" s="256">
        <v>37071</v>
      </c>
      <c r="B236" s="294">
        <v>49.1</v>
      </c>
      <c r="C236" s="126">
        <v>8.57</v>
      </c>
      <c r="D236" s="126">
        <v>16.68</v>
      </c>
      <c r="F236" s="126">
        <v>6.55</v>
      </c>
      <c r="G236" s="126">
        <v>3.1150347075357376</v>
      </c>
      <c r="H236" s="126">
        <v>1.6435454094753994</v>
      </c>
      <c r="I236" s="126">
        <v>1.6435454094753997E-6</v>
      </c>
      <c r="J236" s="126">
        <v>6.25</v>
      </c>
      <c r="L236" s="126">
        <v>21.7</v>
      </c>
    </row>
    <row r="237" spans="1:12" x14ac:dyDescent="0.3">
      <c r="A237" s="256">
        <v>37083</v>
      </c>
      <c r="B237" s="294">
        <v>49.1</v>
      </c>
      <c r="C237" s="126">
        <v>6.78</v>
      </c>
      <c r="D237" s="126">
        <v>14.86</v>
      </c>
      <c r="F237" s="126">
        <v>6.75</v>
      </c>
      <c r="G237" s="126">
        <v>3.0889599221573838</v>
      </c>
      <c r="H237" s="126">
        <v>1.5935661880426313</v>
      </c>
      <c r="I237" s="126">
        <v>1.5935661880426314E-6</v>
      </c>
      <c r="J237" s="126">
        <v>6</v>
      </c>
      <c r="L237" s="126">
        <v>18.28</v>
      </c>
    </row>
    <row r="238" spans="1:12" x14ac:dyDescent="0.3">
      <c r="A238" s="256">
        <v>37084</v>
      </c>
      <c r="B238" s="294">
        <v>49.55</v>
      </c>
      <c r="C238" s="126">
        <v>7.12</v>
      </c>
      <c r="D238" s="126">
        <v>14.9</v>
      </c>
      <c r="F238" s="126">
        <v>6.95</v>
      </c>
      <c r="G238" s="126">
        <v>3.0859413666065429</v>
      </c>
      <c r="H238" s="126">
        <v>1.588937079581866</v>
      </c>
      <c r="I238" s="126">
        <v>1.5889370795818664E-6</v>
      </c>
      <c r="J238" s="126">
        <v>5.97</v>
      </c>
      <c r="L238" s="126">
        <v>18.760000000000002</v>
      </c>
    </row>
    <row r="239" spans="1:12" x14ac:dyDescent="0.3">
      <c r="A239" s="256">
        <v>37085</v>
      </c>
      <c r="B239" s="294">
        <v>48.78</v>
      </c>
      <c r="C239" s="126">
        <v>6.86</v>
      </c>
      <c r="D239" s="126">
        <v>13.61</v>
      </c>
      <c r="F239" s="126">
        <v>6.95</v>
      </c>
      <c r="G239" s="126">
        <v>3.0880348190494771</v>
      </c>
      <c r="H239" s="126">
        <v>1.5905997965438661</v>
      </c>
      <c r="I239" s="126">
        <v>1.5905997965438663E-6</v>
      </c>
      <c r="J239" s="126">
        <v>6.1</v>
      </c>
      <c r="L239" s="126">
        <v>19.45</v>
      </c>
    </row>
    <row r="240" spans="1:12" x14ac:dyDescent="0.3">
      <c r="A240" s="256">
        <v>37088</v>
      </c>
      <c r="B240" s="294">
        <v>49.12</v>
      </c>
      <c r="C240" s="126">
        <v>6.51</v>
      </c>
      <c r="D240" s="126">
        <v>14.1</v>
      </c>
      <c r="F240" s="126">
        <v>6.9</v>
      </c>
      <c r="G240" s="126">
        <v>3.0832289614502941</v>
      </c>
      <c r="H240" s="126">
        <v>1.5803050026171341</v>
      </c>
      <c r="I240" s="126">
        <v>1.5803050026171345E-6</v>
      </c>
      <c r="J240" s="126">
        <v>5.88</v>
      </c>
      <c r="L240" s="126">
        <v>18.66</v>
      </c>
    </row>
    <row r="241" spans="1:12" x14ac:dyDescent="0.3">
      <c r="A241" s="256">
        <v>37089</v>
      </c>
      <c r="B241" s="294">
        <v>49.85</v>
      </c>
      <c r="C241" s="126">
        <v>6.15</v>
      </c>
      <c r="D241" s="126">
        <v>14.15</v>
      </c>
      <c r="F241" s="126">
        <v>6.85</v>
      </c>
      <c r="G241" s="126">
        <v>3.0829069983370734</v>
      </c>
      <c r="H241" s="126">
        <v>1.5780025440952885</v>
      </c>
      <c r="I241" s="126">
        <v>1.5780025440952888E-6</v>
      </c>
      <c r="J241" s="126">
        <v>6</v>
      </c>
      <c r="L241" s="126">
        <v>18.89</v>
      </c>
    </row>
    <row r="242" spans="1:12" x14ac:dyDescent="0.3">
      <c r="A242" s="256">
        <v>37090</v>
      </c>
      <c r="B242" s="294">
        <v>48.97</v>
      </c>
      <c r="C242" s="126">
        <v>5.76</v>
      </c>
      <c r="D242" s="126">
        <v>12.38</v>
      </c>
      <c r="F242" s="126">
        <v>6.75</v>
      </c>
      <c r="G242" s="126">
        <v>3.07279178790222</v>
      </c>
      <c r="H242" s="126">
        <v>1.5640213357105264</v>
      </c>
      <c r="I242" s="126">
        <v>1.5640213357105264E-6</v>
      </c>
      <c r="J242" s="126">
        <v>5.7</v>
      </c>
      <c r="L242" s="126">
        <v>18.45</v>
      </c>
    </row>
    <row r="243" spans="1:12" x14ac:dyDescent="0.3">
      <c r="A243" s="256">
        <v>37091</v>
      </c>
      <c r="B243" s="294">
        <v>49.08</v>
      </c>
      <c r="C243" s="126">
        <v>5.79</v>
      </c>
      <c r="D243" s="126">
        <v>9.1999999999999993</v>
      </c>
      <c r="F243" s="126">
        <v>6.86</v>
      </c>
      <c r="G243" s="126">
        <v>3.0736632741591263</v>
      </c>
      <c r="H243" s="126">
        <v>1.5633937457947304</v>
      </c>
      <c r="I243" s="126">
        <v>1.5633937457947308E-6</v>
      </c>
      <c r="J243" s="126">
        <v>5.78</v>
      </c>
      <c r="L243" s="126">
        <v>17.95</v>
      </c>
    </row>
    <row r="244" spans="1:12" x14ac:dyDescent="0.3">
      <c r="A244" s="256">
        <v>37092</v>
      </c>
      <c r="B244" s="294">
        <v>48.16</v>
      </c>
      <c r="C244" s="126">
        <v>5.25</v>
      </c>
      <c r="D244" s="126">
        <v>7.95</v>
      </c>
      <c r="F244" s="126">
        <v>6.74</v>
      </c>
      <c r="G244" s="126">
        <v>3.0721891732144258</v>
      </c>
      <c r="H244" s="126">
        <v>1.5600448487567546</v>
      </c>
      <c r="I244" s="126">
        <v>1.5600448487567548E-6</v>
      </c>
      <c r="J244" s="126">
        <v>6</v>
      </c>
      <c r="L244" s="126">
        <v>18.5</v>
      </c>
    </row>
    <row r="245" spans="1:12" x14ac:dyDescent="0.3">
      <c r="A245" s="256">
        <v>37095</v>
      </c>
      <c r="B245" s="294">
        <v>46.66</v>
      </c>
      <c r="C245" s="126">
        <v>5.0199999999999996</v>
      </c>
      <c r="D245" s="126">
        <v>8.4</v>
      </c>
      <c r="F245" s="126">
        <v>6.68</v>
      </c>
      <c r="G245" s="126">
        <v>3.0701108212403869</v>
      </c>
      <c r="H245" s="126">
        <v>1.5527191162392606</v>
      </c>
      <c r="I245" s="126">
        <v>1.5527191162392608E-6</v>
      </c>
      <c r="J245" s="126">
        <v>6.03</v>
      </c>
      <c r="L245" s="126">
        <v>17.649999999999999</v>
      </c>
    </row>
    <row r="246" spans="1:12" x14ac:dyDescent="0.3">
      <c r="A246" s="256">
        <v>37096</v>
      </c>
      <c r="B246" s="294">
        <v>43.24</v>
      </c>
      <c r="C246" s="126">
        <v>4.2699999999999996</v>
      </c>
      <c r="D246" s="126">
        <v>8.0500000000000007</v>
      </c>
      <c r="F246" s="126">
        <v>6.55</v>
      </c>
      <c r="G246" s="126">
        <v>3.0678581103092442</v>
      </c>
      <c r="H246" s="126">
        <v>1.5484803611253541</v>
      </c>
      <c r="I246" s="126">
        <v>1.5484803611253546E-6</v>
      </c>
      <c r="J246" s="126">
        <v>6.02</v>
      </c>
      <c r="L246" s="126">
        <v>16.649999999999999</v>
      </c>
    </row>
    <row r="247" spans="1:12" x14ac:dyDescent="0.3">
      <c r="A247" s="256">
        <v>37097</v>
      </c>
      <c r="B247" s="294">
        <v>44.96</v>
      </c>
      <c r="C247" s="126">
        <v>4.53</v>
      </c>
      <c r="D247" s="126">
        <v>7.95</v>
      </c>
      <c r="F247" s="126">
        <v>6.6</v>
      </c>
      <c r="G247" s="126">
        <v>3.0710130332388568</v>
      </c>
      <c r="H247" s="126">
        <v>1.549923323615658</v>
      </c>
      <c r="I247" s="126">
        <v>1.549923323615658E-6</v>
      </c>
      <c r="J247" s="126">
        <v>6.13</v>
      </c>
      <c r="L247" s="126">
        <v>16.5</v>
      </c>
    </row>
    <row r="248" spans="1:12" x14ac:dyDescent="0.3">
      <c r="A248" s="256">
        <v>37098</v>
      </c>
      <c r="B248" s="294">
        <v>46.84</v>
      </c>
      <c r="C248" s="126">
        <v>4.68</v>
      </c>
      <c r="D248" s="126">
        <v>9.0500000000000007</v>
      </c>
      <c r="F248" s="126">
        <v>6.55</v>
      </c>
      <c r="G248" s="126">
        <v>3.0671004371241994</v>
      </c>
      <c r="H248" s="126">
        <v>1.5426816155272989</v>
      </c>
      <c r="I248" s="126">
        <v>1.5426816155272987E-6</v>
      </c>
      <c r="J248" s="126">
        <v>6.17</v>
      </c>
      <c r="L248" s="126">
        <v>16.45</v>
      </c>
    </row>
    <row r="249" spans="1:12" x14ac:dyDescent="0.3">
      <c r="A249" s="256">
        <v>37099</v>
      </c>
      <c r="B249" s="294">
        <v>46.1</v>
      </c>
      <c r="C249" s="126">
        <v>4.8600000000000003</v>
      </c>
      <c r="D249" s="126">
        <v>9.4</v>
      </c>
      <c r="F249" s="126">
        <v>7</v>
      </c>
      <c r="G249" s="126">
        <v>3.0613665213717365</v>
      </c>
      <c r="H249" s="126">
        <v>1.5347437858430921</v>
      </c>
      <c r="I249" s="126">
        <v>1.5347437858430923E-6</v>
      </c>
      <c r="J249" s="126">
        <v>6.25</v>
      </c>
      <c r="L249" s="126">
        <v>16.149999999999999</v>
      </c>
    </row>
    <row r="250" spans="1:12" x14ac:dyDescent="0.3">
      <c r="A250" s="256">
        <v>37102</v>
      </c>
      <c r="B250" s="294">
        <v>45.73</v>
      </c>
      <c r="C250" s="126">
        <v>4.7</v>
      </c>
      <c r="D250" s="126">
        <v>9.4600000000000009</v>
      </c>
      <c r="F250" s="126">
        <v>6.95</v>
      </c>
      <c r="G250" s="126">
        <v>3.0565881586770858</v>
      </c>
      <c r="H250" s="126">
        <v>1.5246530109044563</v>
      </c>
      <c r="I250" s="126">
        <v>1.5246530109044565E-6</v>
      </c>
      <c r="J250" s="126">
        <v>6.4</v>
      </c>
      <c r="L250" s="126">
        <v>15.9</v>
      </c>
    </row>
    <row r="251" spans="1:12" x14ac:dyDescent="0.3">
      <c r="A251" s="256">
        <v>37103</v>
      </c>
      <c r="B251" s="294">
        <v>45.35</v>
      </c>
      <c r="C251" s="126">
        <v>4.45</v>
      </c>
      <c r="D251" s="126">
        <v>8.9</v>
      </c>
      <c r="F251" s="126">
        <v>7</v>
      </c>
      <c r="G251" s="126">
        <v>3.050867855073097</v>
      </c>
      <c r="H251" s="126">
        <v>1.5162531748303905</v>
      </c>
      <c r="I251" s="126">
        <v>1.5162531748303906E-6</v>
      </c>
      <c r="J251" s="126">
        <v>6.35</v>
      </c>
      <c r="L251" s="126">
        <v>16.2</v>
      </c>
    </row>
    <row r="252" spans="1:12" x14ac:dyDescent="0.3">
      <c r="A252" s="256">
        <v>37104</v>
      </c>
      <c r="B252" s="294">
        <v>45.61</v>
      </c>
      <c r="C252" s="126">
        <v>4.41</v>
      </c>
      <c r="D252" s="126">
        <v>8.8000000000000007</v>
      </c>
      <c r="F252" s="126">
        <v>6.81</v>
      </c>
      <c r="G252" s="126">
        <v>3.0544819445164562</v>
      </c>
      <c r="H252" s="126">
        <v>1.5189852618810753</v>
      </c>
      <c r="I252" s="126">
        <v>1.5189852618810758E-6</v>
      </c>
      <c r="J252" s="126">
        <v>6.5</v>
      </c>
      <c r="L252" s="126">
        <v>16.670000000000002</v>
      </c>
    </row>
    <row r="253" spans="1:12" x14ac:dyDescent="0.3">
      <c r="A253" s="256">
        <v>37105</v>
      </c>
      <c r="B253" s="294">
        <v>45.58</v>
      </c>
      <c r="C253" s="126">
        <v>4.53</v>
      </c>
      <c r="D253" s="126">
        <v>8.51</v>
      </c>
      <c r="F253" s="126">
        <v>6.95</v>
      </c>
      <c r="G253" s="126">
        <v>3.0595263648027902</v>
      </c>
      <c r="H253" s="126">
        <v>1.5222644744289937</v>
      </c>
      <c r="I253" s="126">
        <v>1.5222644744289939E-6</v>
      </c>
      <c r="J253" s="126">
        <v>6.6</v>
      </c>
      <c r="L253" s="126">
        <v>16.02</v>
      </c>
    </row>
    <row r="254" spans="1:12" x14ac:dyDescent="0.3">
      <c r="A254" s="256">
        <v>37106</v>
      </c>
      <c r="B254" s="294">
        <v>45.36</v>
      </c>
      <c r="C254" s="126">
        <v>4.6500000000000004</v>
      </c>
      <c r="D254" s="126">
        <v>8.5500000000000007</v>
      </c>
      <c r="F254" s="126">
        <v>6.99</v>
      </c>
      <c r="G254" s="126">
        <v>3.0595263648027902</v>
      </c>
      <c r="H254" s="126">
        <v>1.5222644744289937</v>
      </c>
      <c r="I254" s="126">
        <v>1.5222644744289939E-6</v>
      </c>
      <c r="J254" s="126">
        <v>6.7</v>
      </c>
      <c r="L254" s="126">
        <v>15.75</v>
      </c>
    </row>
    <row r="255" spans="1:12" x14ac:dyDescent="0.3">
      <c r="A255" s="256">
        <v>37109</v>
      </c>
      <c r="B255" s="294">
        <v>44.5</v>
      </c>
      <c r="C255" s="126">
        <v>4.71</v>
      </c>
      <c r="D255" s="126">
        <v>7.83</v>
      </c>
      <c r="F255" s="126">
        <v>6.75</v>
      </c>
      <c r="G255" s="126">
        <v>3.0570245287802704</v>
      </c>
      <c r="H255" s="126">
        <v>1.5120477570973199</v>
      </c>
      <c r="I255" s="126">
        <v>1.5120477570973201E-6</v>
      </c>
      <c r="J255" s="126">
        <v>6.56</v>
      </c>
      <c r="L255" s="126">
        <v>13.89</v>
      </c>
    </row>
    <row r="256" spans="1:12" x14ac:dyDescent="0.3">
      <c r="A256" s="256">
        <v>37110</v>
      </c>
      <c r="B256" s="294">
        <v>43.6</v>
      </c>
      <c r="C256" s="126">
        <v>5.04</v>
      </c>
      <c r="D256" s="126">
        <v>7.75</v>
      </c>
      <c r="F256" s="126">
        <v>6.75</v>
      </c>
      <c r="G256" s="126">
        <v>3.0563894543813004</v>
      </c>
      <c r="H256" s="126">
        <v>1.5102209791336216</v>
      </c>
      <c r="I256" s="126">
        <v>1.5102209791336217E-6</v>
      </c>
      <c r="J256" s="126">
        <v>6.25</v>
      </c>
      <c r="L256" s="126">
        <v>12.18</v>
      </c>
    </row>
    <row r="257" spans="1:12" x14ac:dyDescent="0.3">
      <c r="A257" s="256">
        <v>37111</v>
      </c>
      <c r="B257" s="294">
        <v>42.85</v>
      </c>
      <c r="C257" s="126">
        <v>4.79</v>
      </c>
      <c r="D257" s="126">
        <v>7.83</v>
      </c>
      <c r="F257" s="126">
        <v>6.55</v>
      </c>
      <c r="G257" s="126">
        <v>3.0463289254680497</v>
      </c>
      <c r="H257" s="126">
        <v>1.4967194924062968</v>
      </c>
      <c r="I257" s="126">
        <v>1.4967194924062969E-6</v>
      </c>
      <c r="J257" s="126">
        <v>6.08</v>
      </c>
      <c r="L257" s="126">
        <v>10.51</v>
      </c>
    </row>
    <row r="258" spans="1:12" x14ac:dyDescent="0.3">
      <c r="A258" s="256">
        <v>37112</v>
      </c>
      <c r="B258" s="294">
        <v>42.78</v>
      </c>
      <c r="C258" s="126">
        <v>4.42</v>
      </c>
      <c r="D258" s="126">
        <v>7.54</v>
      </c>
      <c r="F258" s="126">
        <v>6.65</v>
      </c>
      <c r="G258" s="126">
        <v>3.0462697212114112</v>
      </c>
      <c r="H258" s="126">
        <v>1.493953815448323</v>
      </c>
      <c r="I258" s="126">
        <v>1.4939538154483232E-6</v>
      </c>
      <c r="J258" s="126">
        <v>6.07</v>
      </c>
      <c r="L258" s="126">
        <v>10.45</v>
      </c>
    </row>
    <row r="259" spans="1:12" x14ac:dyDescent="0.3">
      <c r="A259" s="256">
        <v>37113</v>
      </c>
      <c r="B259" s="294">
        <v>42.81</v>
      </c>
      <c r="C259" s="126">
        <v>4.28</v>
      </c>
      <c r="D259" s="126">
        <v>7</v>
      </c>
      <c r="F259" s="126">
        <v>6.68</v>
      </c>
      <c r="G259" s="126">
        <v>3.0433176733828144</v>
      </c>
      <c r="H259" s="126">
        <v>1.4895445894109463</v>
      </c>
      <c r="I259" s="126">
        <v>1.4895445894109465E-6</v>
      </c>
      <c r="J259" s="126">
        <v>6.07</v>
      </c>
      <c r="L259" s="126">
        <v>10.63</v>
      </c>
    </row>
    <row r="260" spans="1:12" x14ac:dyDescent="0.3">
      <c r="A260" s="256">
        <v>37116</v>
      </c>
      <c r="B260" s="294">
        <v>42.15</v>
      </c>
      <c r="C260" s="126">
        <v>4.32</v>
      </c>
      <c r="D260" s="126">
        <v>6.35</v>
      </c>
      <c r="F260" s="126">
        <v>6.11</v>
      </c>
      <c r="G260" s="126">
        <v>3.0378606854533658</v>
      </c>
      <c r="H260" s="126">
        <v>1.4771852339529778</v>
      </c>
      <c r="I260" s="126">
        <v>1.4771852339529783E-6</v>
      </c>
      <c r="J260" s="126">
        <v>6.05</v>
      </c>
      <c r="L260" s="126">
        <v>10.66</v>
      </c>
    </row>
    <row r="261" spans="1:12" x14ac:dyDescent="0.3">
      <c r="A261" s="256">
        <v>37117</v>
      </c>
      <c r="B261" s="294">
        <v>42.93</v>
      </c>
      <c r="C261" s="126">
        <v>4.2</v>
      </c>
      <c r="D261" s="126">
        <v>5.63</v>
      </c>
      <c r="F261" s="126">
        <v>6</v>
      </c>
      <c r="G261" s="126">
        <v>3.0406783829587685</v>
      </c>
      <c r="H261" s="126">
        <v>1.4811054632353793</v>
      </c>
      <c r="I261" s="126">
        <v>1.4811054632353794E-6</v>
      </c>
      <c r="J261" s="126">
        <v>5.96</v>
      </c>
      <c r="L261" s="126">
        <v>10.451000000000001</v>
      </c>
    </row>
    <row r="262" spans="1:12" x14ac:dyDescent="0.3">
      <c r="A262" s="256">
        <v>37118</v>
      </c>
      <c r="B262" s="294">
        <v>40.25</v>
      </c>
      <c r="C262" s="126">
        <v>4.0999999999999996</v>
      </c>
      <c r="D262" s="126">
        <v>6</v>
      </c>
      <c r="F262" s="126">
        <v>5.95</v>
      </c>
      <c r="G262" s="126">
        <v>3.0442676832401303</v>
      </c>
      <c r="H262" s="126">
        <v>1.4837229910432201</v>
      </c>
      <c r="I262" s="126">
        <v>1.4837229910432204E-6</v>
      </c>
      <c r="J262" s="126">
        <v>6.03</v>
      </c>
      <c r="L262" s="126">
        <v>10</v>
      </c>
    </row>
    <row r="263" spans="1:12" x14ac:dyDescent="0.3">
      <c r="A263" s="256">
        <v>37119</v>
      </c>
      <c r="B263" s="294">
        <v>36.85</v>
      </c>
      <c r="C263" s="126">
        <v>3.91</v>
      </c>
      <c r="D263" s="126">
        <v>6.06</v>
      </c>
      <c r="F263" s="126">
        <v>5.95</v>
      </c>
      <c r="G263" s="126">
        <v>3.039287773694757</v>
      </c>
      <c r="H263" s="126">
        <v>1.4762790880875718</v>
      </c>
      <c r="I263" s="126">
        <v>1.4762790880875717E-6</v>
      </c>
      <c r="J263" s="126">
        <v>6.2</v>
      </c>
      <c r="L263" s="126">
        <v>9.4600000000000009</v>
      </c>
    </row>
    <row r="264" spans="1:12" x14ac:dyDescent="0.3">
      <c r="A264" s="256">
        <v>37120</v>
      </c>
      <c r="B264" s="294">
        <v>36.67</v>
      </c>
      <c r="C264" s="126">
        <v>3.81</v>
      </c>
      <c r="D264" s="126">
        <v>5.95</v>
      </c>
      <c r="F264" s="126">
        <v>5.61</v>
      </c>
      <c r="G264" s="126">
        <v>3.0321527029972501</v>
      </c>
      <c r="H264" s="126">
        <v>1.467524396709643</v>
      </c>
      <c r="I264" s="126">
        <v>1.4675243967096431E-6</v>
      </c>
      <c r="J264" s="126">
        <v>6.03</v>
      </c>
      <c r="L264" s="126">
        <v>9.0500000000000007</v>
      </c>
    </row>
    <row r="265" spans="1:12" x14ac:dyDescent="0.3">
      <c r="A265" s="256">
        <v>37123</v>
      </c>
      <c r="B265" s="294">
        <v>36.25</v>
      </c>
      <c r="C265" s="126">
        <v>3.65</v>
      </c>
      <c r="D265" s="126">
        <v>6.36</v>
      </c>
      <c r="F265" s="126">
        <v>5.8</v>
      </c>
      <c r="G265" s="126">
        <v>3.0354748185277458</v>
      </c>
      <c r="H265" s="126">
        <v>1.466271915674402</v>
      </c>
      <c r="I265" s="126">
        <v>1.4662719156744023E-6</v>
      </c>
      <c r="J265" s="126">
        <v>6</v>
      </c>
      <c r="L265" s="126">
        <v>9.0589999999999993</v>
      </c>
    </row>
    <row r="266" spans="1:12" x14ac:dyDescent="0.3">
      <c r="A266" s="256">
        <v>37124</v>
      </c>
      <c r="B266" s="294">
        <v>36.880000000000003</v>
      </c>
      <c r="C266" s="126">
        <v>3.65</v>
      </c>
      <c r="D266" s="126">
        <v>6.89</v>
      </c>
      <c r="F266" s="126">
        <v>5.95</v>
      </c>
      <c r="G266" s="126">
        <v>3.0335838434361055</v>
      </c>
      <c r="H266" s="126">
        <v>1.462283311336146</v>
      </c>
      <c r="I266" s="126">
        <v>1.4622833113361462E-6</v>
      </c>
      <c r="J266" s="126">
        <v>6.03</v>
      </c>
      <c r="L266" s="126">
        <v>9.02</v>
      </c>
    </row>
    <row r="267" spans="1:12" x14ac:dyDescent="0.3">
      <c r="A267" s="256">
        <v>37125</v>
      </c>
      <c r="B267" s="294">
        <v>37.26</v>
      </c>
      <c r="C267" s="126">
        <v>3.78</v>
      </c>
      <c r="D267" s="126">
        <v>6.93</v>
      </c>
      <c r="F267" s="126">
        <v>5.99</v>
      </c>
      <c r="G267" s="126">
        <v>3.0361406745750377</v>
      </c>
      <c r="H267" s="126">
        <v>1.4644946117224915</v>
      </c>
      <c r="I267" s="126">
        <v>1.4644946117224917E-6</v>
      </c>
      <c r="J267" s="126">
        <v>6.03</v>
      </c>
      <c r="L267" s="126">
        <v>8.4</v>
      </c>
    </row>
    <row r="268" spans="1:12" x14ac:dyDescent="0.3">
      <c r="A268" s="256">
        <v>37126</v>
      </c>
      <c r="B268" s="294">
        <v>36.96</v>
      </c>
      <c r="C268" s="126">
        <v>4.04</v>
      </c>
      <c r="D268" s="126">
        <v>6.9</v>
      </c>
      <c r="F268" s="126">
        <v>6.23</v>
      </c>
      <c r="G268" s="126">
        <v>3.033140817059039</v>
      </c>
      <c r="H268" s="126">
        <v>1.4595429261331381</v>
      </c>
      <c r="I268" s="126">
        <v>1.4595429261331384E-6</v>
      </c>
      <c r="J268" s="126">
        <v>6.03</v>
      </c>
      <c r="L268" s="126">
        <v>8.73</v>
      </c>
    </row>
    <row r="269" spans="1:12" x14ac:dyDescent="0.3">
      <c r="A269" s="256">
        <v>37127</v>
      </c>
      <c r="B269" s="294">
        <v>36.35</v>
      </c>
      <c r="C269" s="126">
        <v>4.21</v>
      </c>
      <c r="D269" s="126">
        <v>6.9</v>
      </c>
      <c r="F269" s="126">
        <v>6.35</v>
      </c>
      <c r="G269" s="126">
        <v>3.0343259894804793</v>
      </c>
      <c r="H269" s="126">
        <v>1.4589403352248373</v>
      </c>
      <c r="I269" s="126">
        <v>1.4589403352248377E-6</v>
      </c>
      <c r="J269" s="126">
        <v>6.01</v>
      </c>
      <c r="L269" s="126">
        <v>9</v>
      </c>
    </row>
    <row r="270" spans="1:12" x14ac:dyDescent="0.3">
      <c r="A270" s="256">
        <v>37130</v>
      </c>
      <c r="B270" s="294">
        <v>37.76</v>
      </c>
      <c r="C270" s="126">
        <v>3.8</v>
      </c>
      <c r="D270" s="126">
        <v>6.75</v>
      </c>
      <c r="F270" s="126">
        <v>6.25</v>
      </c>
      <c r="G270" s="126">
        <v>3.0337790983356614</v>
      </c>
      <c r="H270" s="126">
        <v>1.4533893996068334</v>
      </c>
      <c r="I270" s="126">
        <v>1.4533893996068336E-6</v>
      </c>
      <c r="J270" s="126">
        <v>5.9</v>
      </c>
      <c r="L270" s="126">
        <v>8.75</v>
      </c>
    </row>
    <row r="271" spans="1:12" x14ac:dyDescent="0.3">
      <c r="A271" s="256">
        <v>37131</v>
      </c>
      <c r="B271" s="294">
        <v>38.159999999999997</v>
      </c>
      <c r="C271" s="126">
        <v>3.69</v>
      </c>
      <c r="D271" s="126">
        <v>6.34</v>
      </c>
      <c r="F271" s="126">
        <v>6.1</v>
      </c>
      <c r="G271" s="126">
        <v>3.026947624997689</v>
      </c>
      <c r="H271" s="126">
        <v>1.4442676092584463</v>
      </c>
      <c r="I271" s="126">
        <v>1.4442676092584467E-6</v>
      </c>
      <c r="J271" s="126">
        <v>5.83</v>
      </c>
      <c r="L271" s="126">
        <v>8.35</v>
      </c>
    </row>
    <row r="272" spans="1:12" x14ac:dyDescent="0.3">
      <c r="A272" s="256">
        <v>37132</v>
      </c>
      <c r="B272" s="294">
        <v>37.299999999999997</v>
      </c>
      <c r="C272" s="126">
        <v>3.5</v>
      </c>
      <c r="D272" s="126">
        <v>6.05</v>
      </c>
      <c r="F272" s="126">
        <v>5.9</v>
      </c>
      <c r="G272" s="126">
        <v>3.0229480390104624</v>
      </c>
      <c r="H272" s="126">
        <v>1.4390314379080738</v>
      </c>
      <c r="I272" s="126">
        <v>1.4390314379080739E-6</v>
      </c>
      <c r="J272" s="126">
        <v>5.75</v>
      </c>
      <c r="L272" s="126">
        <v>8</v>
      </c>
    </row>
    <row r="273" spans="1:12" x14ac:dyDescent="0.3">
      <c r="A273" s="256">
        <v>37133</v>
      </c>
      <c r="B273" s="294">
        <v>35.5</v>
      </c>
      <c r="C273" s="126">
        <v>3.45</v>
      </c>
      <c r="D273" s="126">
        <v>5.9</v>
      </c>
      <c r="F273" s="126">
        <v>6.07</v>
      </c>
      <c r="G273" s="126">
        <v>3.020434131829663</v>
      </c>
      <c r="H273" s="126">
        <v>1.4331281574554158</v>
      </c>
      <c r="I273" s="126">
        <v>1.433128157455416E-6</v>
      </c>
      <c r="J273" s="126">
        <v>5.75</v>
      </c>
      <c r="L273" s="126">
        <v>8</v>
      </c>
    </row>
    <row r="274" spans="1:12" x14ac:dyDescent="0.3">
      <c r="A274" s="256">
        <v>37134</v>
      </c>
      <c r="B274" s="294">
        <v>34.99</v>
      </c>
      <c r="C274" s="126">
        <v>3.3</v>
      </c>
      <c r="D274" s="126">
        <v>5.56</v>
      </c>
      <c r="F274" s="126">
        <v>6</v>
      </c>
      <c r="G274" s="126">
        <v>3.0209981816457643</v>
      </c>
      <c r="H274" s="126">
        <v>1.4323509588281222</v>
      </c>
      <c r="I274" s="126">
        <v>1.4323509588281225E-6</v>
      </c>
      <c r="J274" s="126">
        <v>6.05</v>
      </c>
      <c r="L274" s="126">
        <v>7.95</v>
      </c>
    </row>
    <row r="275" spans="1:12" x14ac:dyDescent="0.3">
      <c r="A275" s="256">
        <v>37138</v>
      </c>
      <c r="B275" s="294">
        <v>35</v>
      </c>
      <c r="C275" s="126">
        <v>3.2</v>
      </c>
      <c r="D275" s="126">
        <v>6.18</v>
      </c>
      <c r="F275" s="126">
        <v>5.798</v>
      </c>
      <c r="G275" s="126">
        <v>3.0182301013848791</v>
      </c>
      <c r="H275" s="126">
        <v>1.4227767939201943</v>
      </c>
      <c r="I275" s="126">
        <v>1.4227767939201945E-6</v>
      </c>
      <c r="J275" s="126">
        <v>5.79</v>
      </c>
      <c r="L275" s="126">
        <v>8.15</v>
      </c>
    </row>
    <row r="276" spans="1:12" x14ac:dyDescent="0.3">
      <c r="A276" s="256">
        <v>37139</v>
      </c>
      <c r="B276" s="294">
        <v>32.36</v>
      </c>
      <c r="C276" s="126">
        <v>3.07</v>
      </c>
      <c r="D276" s="126">
        <v>6.01</v>
      </c>
      <c r="F276" s="126">
        <v>6</v>
      </c>
      <c r="G276" s="126">
        <v>3.0293265443024837</v>
      </c>
      <c r="H276" s="126">
        <v>1.4328734883718286</v>
      </c>
      <c r="I276" s="126">
        <v>1.4328734883718289E-6</v>
      </c>
      <c r="J276" s="126">
        <v>5.31</v>
      </c>
      <c r="L276" s="126">
        <v>8.24</v>
      </c>
    </row>
    <row r="277" spans="1:12" x14ac:dyDescent="0.3">
      <c r="A277" s="256">
        <v>37140</v>
      </c>
      <c r="B277" s="294">
        <v>30.49</v>
      </c>
      <c r="C277" s="126">
        <v>2.82</v>
      </c>
      <c r="D277" s="126">
        <v>5.79</v>
      </c>
      <c r="F277" s="126">
        <v>6.0350000000000001</v>
      </c>
      <c r="G277" s="126">
        <v>3.0187021594518226</v>
      </c>
      <c r="H277" s="126">
        <v>1.4197378297521555</v>
      </c>
      <c r="I277" s="126">
        <v>1.4197378297521558E-6</v>
      </c>
      <c r="J277" s="126">
        <v>5.5</v>
      </c>
      <c r="L277" s="126">
        <v>8.19</v>
      </c>
    </row>
    <row r="278" spans="1:12" x14ac:dyDescent="0.3">
      <c r="A278" s="256">
        <v>37141</v>
      </c>
      <c r="B278" s="294">
        <v>31.57</v>
      </c>
      <c r="C278" s="126">
        <v>2.78</v>
      </c>
      <c r="D278" s="126">
        <v>5.39</v>
      </c>
      <c r="F278" s="126">
        <v>6.3</v>
      </c>
      <c r="G278" s="126">
        <v>3.0094997869327464</v>
      </c>
      <c r="H278" s="126">
        <v>1.4077167905064445</v>
      </c>
      <c r="I278" s="126">
        <v>1.4077167905064444E-6</v>
      </c>
      <c r="J278" s="126">
        <v>5.44</v>
      </c>
      <c r="L278" s="126">
        <v>8.1</v>
      </c>
    </row>
    <row r="279" spans="1:12" x14ac:dyDescent="0.3">
      <c r="A279" s="256">
        <v>37144</v>
      </c>
      <c r="B279" s="294">
        <v>32.76</v>
      </c>
      <c r="C279" s="126">
        <v>1.99</v>
      </c>
      <c r="D279" s="126">
        <v>5</v>
      </c>
      <c r="F279" s="126">
        <v>6.05</v>
      </c>
      <c r="G279" s="126">
        <v>3.0080768990155344</v>
      </c>
      <c r="H279" s="126">
        <v>1.4007740286690367</v>
      </c>
      <c r="I279" s="126">
        <v>1.400774028669037E-6</v>
      </c>
      <c r="J279" s="126">
        <v>5.2</v>
      </c>
      <c r="L279" s="126">
        <v>8</v>
      </c>
    </row>
    <row r="280" spans="1:12" x14ac:dyDescent="0.3">
      <c r="A280" s="256">
        <v>37148</v>
      </c>
      <c r="B280" s="294">
        <v>32.76</v>
      </c>
      <c r="C280" s="126">
        <v>1.99</v>
      </c>
      <c r="D280" s="126">
        <v>5</v>
      </c>
      <c r="F280" s="126">
        <v>6.05</v>
      </c>
      <c r="G280" s="126">
        <v>2.9606853122703898</v>
      </c>
      <c r="H280" s="126">
        <v>1.3414897618114736</v>
      </c>
      <c r="I280" s="126">
        <v>1.3414897618114739E-6</v>
      </c>
      <c r="J280" s="126">
        <v>5.2</v>
      </c>
      <c r="L280" s="126">
        <v>8</v>
      </c>
    </row>
    <row r="281" spans="1:12" x14ac:dyDescent="0.3">
      <c r="A281" s="256">
        <v>37151</v>
      </c>
      <c r="B281" s="294">
        <v>30.67</v>
      </c>
      <c r="C281" s="126">
        <v>2.0299999999999998</v>
      </c>
      <c r="D281" s="126">
        <v>5.12</v>
      </c>
      <c r="F281" s="126">
        <v>5.9</v>
      </c>
      <c r="G281" s="126">
        <v>2.9635452501861392</v>
      </c>
      <c r="H281" s="126">
        <v>1.3393870344221672</v>
      </c>
      <c r="I281" s="126">
        <v>1.3393870344221674E-6</v>
      </c>
      <c r="J281" s="126">
        <v>5</v>
      </c>
      <c r="L281" s="126">
        <v>7.12</v>
      </c>
    </row>
    <row r="282" spans="1:12" x14ac:dyDescent="0.3">
      <c r="A282" s="256">
        <v>37152</v>
      </c>
      <c r="B282" s="294">
        <v>28.08</v>
      </c>
      <c r="C282" s="126">
        <v>1.89</v>
      </c>
      <c r="D282" s="126">
        <v>4.6500000000000004</v>
      </c>
      <c r="F282" s="126">
        <v>6.5</v>
      </c>
      <c r="G282" s="126">
        <v>2.9656674022304896</v>
      </c>
      <c r="H282" s="126">
        <v>1.3390041597595257</v>
      </c>
      <c r="I282" s="126">
        <v>1.3390041597595257E-6</v>
      </c>
      <c r="J282" s="126">
        <v>4.5599999999999996</v>
      </c>
      <c r="L282" s="126">
        <v>7.1</v>
      </c>
    </row>
    <row r="283" spans="1:12" x14ac:dyDescent="0.3">
      <c r="A283" s="256">
        <v>37153</v>
      </c>
      <c r="B283" s="294">
        <v>26.41</v>
      </c>
      <c r="C283" s="126">
        <v>1.7949999999999999</v>
      </c>
      <c r="D283" s="126">
        <v>4.1399999999999997</v>
      </c>
      <c r="F283" s="126">
        <v>5.95</v>
      </c>
      <c r="G283" s="126">
        <v>2.9559081613268847</v>
      </c>
      <c r="H283" s="126">
        <v>1.3262167101141116</v>
      </c>
      <c r="I283" s="126">
        <v>1.3262167101141116E-6</v>
      </c>
      <c r="J283" s="126">
        <v>3.89</v>
      </c>
      <c r="L283" s="126">
        <v>6.82</v>
      </c>
    </row>
    <row r="284" spans="1:12" x14ac:dyDescent="0.3">
      <c r="A284" s="256">
        <v>37154</v>
      </c>
      <c r="B284" s="294">
        <v>28.39</v>
      </c>
      <c r="C284" s="126">
        <v>1.59</v>
      </c>
      <c r="D284" s="126">
        <v>4</v>
      </c>
      <c r="F284" s="126">
        <v>5.65</v>
      </c>
      <c r="G284" s="126">
        <v>2.9630876459241309</v>
      </c>
      <c r="H284" s="126">
        <v>1.3329067105566259</v>
      </c>
      <c r="I284" s="126">
        <v>1.3329067105566262E-6</v>
      </c>
      <c r="J284" s="126">
        <v>3.8</v>
      </c>
      <c r="L284" s="126">
        <v>5.95</v>
      </c>
    </row>
    <row r="285" spans="1:12" x14ac:dyDescent="0.3">
      <c r="A285" s="256">
        <v>37155</v>
      </c>
      <c r="B285" s="294">
        <v>28.3</v>
      </c>
      <c r="C285" s="126">
        <v>1.68</v>
      </c>
      <c r="D285" s="126">
        <v>4.7</v>
      </c>
      <c r="F285" s="126">
        <v>5.55</v>
      </c>
      <c r="G285" s="126">
        <v>2.959355231645052</v>
      </c>
      <c r="H285" s="126">
        <v>1.3274859320328289</v>
      </c>
      <c r="I285" s="126">
        <v>1.3274859320328289E-6</v>
      </c>
      <c r="J285" s="126">
        <v>4.0999999999999996</v>
      </c>
      <c r="L285" s="126">
        <v>6.15</v>
      </c>
    </row>
    <row r="286" spans="1:12" x14ac:dyDescent="0.3">
      <c r="A286" s="256">
        <v>37158</v>
      </c>
      <c r="B286" s="294">
        <v>27</v>
      </c>
      <c r="C286" s="126">
        <v>1.65</v>
      </c>
      <c r="D286" s="126">
        <v>5.2</v>
      </c>
      <c r="F286" s="126">
        <v>5.74</v>
      </c>
      <c r="G286" s="126">
        <v>2.9606499257024961</v>
      </c>
      <c r="H286" s="126">
        <v>1.3237524443854154</v>
      </c>
      <c r="I286" s="126">
        <v>1.3237524443854157E-6</v>
      </c>
      <c r="J286" s="126">
        <v>4.18</v>
      </c>
      <c r="L286" s="126">
        <v>6.14</v>
      </c>
    </row>
    <row r="287" spans="1:12" x14ac:dyDescent="0.3">
      <c r="A287" s="256">
        <v>37159</v>
      </c>
      <c r="B287" s="294">
        <v>27</v>
      </c>
      <c r="C287" s="126">
        <v>1.46</v>
      </c>
      <c r="D287" s="126">
        <v>5.25</v>
      </c>
      <c r="F287" s="126">
        <v>5.5</v>
      </c>
      <c r="G287" s="126">
        <v>2.959960540242792</v>
      </c>
      <c r="H287" s="126">
        <v>1.3214426361992722</v>
      </c>
      <c r="I287" s="126">
        <v>1.3214426361992722E-6</v>
      </c>
      <c r="J287" s="126">
        <v>3.69</v>
      </c>
      <c r="L287" s="126">
        <v>7.1</v>
      </c>
    </row>
    <row r="288" spans="1:12" x14ac:dyDescent="0.3">
      <c r="A288" s="256">
        <v>37160</v>
      </c>
      <c r="B288" s="294">
        <v>25.15</v>
      </c>
      <c r="C288" s="126">
        <v>1.22</v>
      </c>
      <c r="D288" s="126">
        <v>5.29</v>
      </c>
      <c r="F288" s="126">
        <v>5.25</v>
      </c>
      <c r="G288" s="126">
        <v>2.9511008271957797</v>
      </c>
      <c r="H288" s="126">
        <v>1.3101495982820808</v>
      </c>
      <c r="I288" s="126">
        <v>1.3101495982820809E-6</v>
      </c>
      <c r="J288" s="126">
        <v>3.7</v>
      </c>
      <c r="L288" s="126">
        <v>7.25</v>
      </c>
    </row>
    <row r="289" spans="1:12" x14ac:dyDescent="0.3">
      <c r="A289" s="256">
        <v>37161</v>
      </c>
      <c r="B289" s="294">
        <v>25.25</v>
      </c>
      <c r="C289" s="126">
        <v>1.17</v>
      </c>
      <c r="D289" s="126">
        <v>5</v>
      </c>
      <c r="F289" s="126">
        <v>5.4</v>
      </c>
      <c r="G289" s="126">
        <v>2.9409419704735926</v>
      </c>
      <c r="H289" s="126">
        <v>1.3036963389685119</v>
      </c>
      <c r="I289" s="126">
        <v>1.303696338968512E-6</v>
      </c>
      <c r="J289" s="126">
        <v>3.9</v>
      </c>
      <c r="L289" s="126">
        <v>7.72</v>
      </c>
    </row>
    <row r="290" spans="1:12" x14ac:dyDescent="0.3">
      <c r="A290" s="256"/>
      <c r="B290" s="294"/>
    </row>
    <row r="291" spans="1:12" x14ac:dyDescent="0.3">
      <c r="A291" s="256"/>
      <c r="B291" s="294"/>
    </row>
    <row r="377" spans="1:12" x14ac:dyDescent="0.3">
      <c r="A377" s="1" t="s">
        <v>175</v>
      </c>
    </row>
    <row r="379" spans="1:12" x14ac:dyDescent="0.3">
      <c r="A379" s="256">
        <f>+[1]Table!$B$3</f>
        <v>37161</v>
      </c>
      <c r="B379" s="294">
        <f>+[1]Table!$B$5</f>
        <v>25.25</v>
      </c>
      <c r="C379" s="126">
        <f>INDEX(MPRR, MATCH("Avici EBS Raptor I",'MPR Raptor'!$E$3:$E$140,), MATCH("Per Share",'MPR Raptor'!$E$3:$CM$3,))</f>
        <v>1.17</v>
      </c>
      <c r="D379" s="126">
        <f>INDEX(MPRR, MATCH("Active Power Raptor I",'MPR Raptor'!$E$3:$E$140,), MATCH("Per Share",'MPR Raptor'!$E$3:$CM$3,))</f>
        <v>5</v>
      </c>
      <c r="F379" s="126">
        <f>INDEX(MPRR, MATCH("DevX Energy Common Raptor I",'MPR Raptor'!$E$3:$E$140,), MATCH("Per Share",'MPR Raptor'!$E$3:$CM$3,))</f>
        <v>5.4</v>
      </c>
      <c r="G379" s="126">
        <f>INDEX(MPRR, MATCH("Carrizo Warrants Raptor I",'MPR Raptor'!$E$3:$E$140,), MATCH("Per Share",'MPR Raptor'!$E$3:$CM$3,))</f>
        <v>2.9409419704735926</v>
      </c>
      <c r="H379" s="126">
        <f>INDEX(MPRR, MATCH("3TEC Warrants Raptor I",'MPR Raptor'!$E$3:$E$140,), MATCH("Per Share",'MPR Raptor'!$E$3:$CM$3,))</f>
        <v>1.3036963389685119</v>
      </c>
      <c r="I379" s="126">
        <f>INDEX(MPRR, MATCH("3TEC Warrants EGF Raptor I",'MPR Raptor'!$E$3:$E$140,), MATCH("Per Share",'MPR Raptor'!$E$3:$CM$3,))</f>
        <v>1.303696338968512E-6</v>
      </c>
      <c r="J379" s="126">
        <f>INDEX(MPRR, MATCH("Paradigm Common Raptor I",'MPR Raptor'!$E$3:$E$140,), MATCH("Per Share",'MPR Raptor'!$E$3:$CM$3,))</f>
        <v>3.9</v>
      </c>
      <c r="L379" s="126">
        <f>INDEX(MPRR, MATCH("Catalytica Common Raptor I",'MPR Raptor'!$E$3:$E$140,), MATCH("Per Share",'MPR Raptor'!$E$3:$CM$3,))</f>
        <v>7.72</v>
      </c>
    </row>
    <row r="380" spans="1:12" x14ac:dyDescent="0.3">
      <c r="A380" s="256"/>
      <c r="B380"/>
      <c r="C380"/>
      <c r="D380"/>
      <c r="E380"/>
      <c r="F380"/>
      <c r="G380"/>
      <c r="H380"/>
      <c r="I380"/>
      <c r="J380"/>
      <c r="K380"/>
      <c r="L380"/>
    </row>
    <row r="381" spans="1:12" x14ac:dyDescent="0.3">
      <c r="B381"/>
      <c r="C381"/>
      <c r="D381"/>
      <c r="E381"/>
      <c r="F381"/>
      <c r="G381"/>
      <c r="H381"/>
      <c r="I381"/>
      <c r="J381"/>
      <c r="K381"/>
      <c r="L381"/>
    </row>
    <row r="382" spans="1:12" x14ac:dyDescent="0.3">
      <c r="B382"/>
      <c r="C382"/>
      <c r="D382"/>
      <c r="E382"/>
      <c r="F382"/>
      <c r="G382"/>
      <c r="H382"/>
      <c r="I382"/>
      <c r="J382"/>
      <c r="K382"/>
      <c r="L382"/>
    </row>
    <row r="383" spans="1:12" x14ac:dyDescent="0.3">
      <c r="B383"/>
      <c r="C383"/>
      <c r="D383"/>
      <c r="E383"/>
      <c r="F383"/>
      <c r="G383"/>
      <c r="H383"/>
      <c r="I383"/>
      <c r="J383"/>
      <c r="K383"/>
      <c r="L383"/>
    </row>
    <row r="384" spans="1:12" x14ac:dyDescent="0.3">
      <c r="B384"/>
      <c r="C384"/>
      <c r="D384"/>
      <c r="E384"/>
      <c r="F384"/>
      <c r="G384"/>
      <c r="H384"/>
      <c r="I384"/>
      <c r="J384"/>
      <c r="K384"/>
      <c r="L384"/>
    </row>
    <row r="385" spans="2:12" x14ac:dyDescent="0.3">
      <c r="B385"/>
      <c r="C385"/>
      <c r="D385"/>
      <c r="E385"/>
      <c r="F385"/>
      <c r="G385"/>
      <c r="H385"/>
      <c r="I385"/>
      <c r="J385"/>
      <c r="K385"/>
      <c r="L385"/>
    </row>
    <row r="386" spans="2:12" x14ac:dyDescent="0.3">
      <c r="B386"/>
      <c r="C386"/>
      <c r="D386"/>
      <c r="E386"/>
      <c r="F386"/>
      <c r="G386"/>
      <c r="H386"/>
      <c r="I386"/>
      <c r="J386"/>
      <c r="K386"/>
      <c r="L386"/>
    </row>
    <row r="387" spans="2:12" x14ac:dyDescent="0.3">
      <c r="B387"/>
      <c r="C387"/>
      <c r="D387"/>
      <c r="E387"/>
      <c r="F387"/>
      <c r="G387"/>
      <c r="H387"/>
      <c r="I387"/>
      <c r="J387"/>
      <c r="K387"/>
      <c r="L387"/>
    </row>
    <row r="388" spans="2:12" x14ac:dyDescent="0.3">
      <c r="B388"/>
      <c r="C388"/>
      <c r="D388"/>
      <c r="E388"/>
      <c r="F388"/>
      <c r="G388"/>
      <c r="H388"/>
      <c r="I388"/>
      <c r="J388"/>
      <c r="K388"/>
      <c r="L388"/>
    </row>
    <row r="389" spans="2:12" x14ac:dyDescent="0.3">
      <c r="B389"/>
      <c r="C389"/>
      <c r="D389"/>
      <c r="E389"/>
      <c r="F389"/>
      <c r="G389"/>
      <c r="H389"/>
      <c r="I389"/>
      <c r="J389"/>
      <c r="K389"/>
      <c r="L389"/>
    </row>
    <row r="390" spans="2:12" x14ac:dyDescent="0.3">
      <c r="B390"/>
      <c r="C390"/>
      <c r="D390"/>
      <c r="E390"/>
      <c r="F390"/>
      <c r="G390"/>
      <c r="H390"/>
      <c r="I390"/>
      <c r="J390"/>
      <c r="K390"/>
      <c r="L390"/>
    </row>
    <row r="391" spans="2:12" x14ac:dyDescent="0.3">
      <c r="B391"/>
      <c r="C391"/>
      <c r="D391"/>
      <c r="E391"/>
      <c r="F391"/>
      <c r="G391"/>
      <c r="H391"/>
      <c r="I391"/>
      <c r="J391"/>
      <c r="K391"/>
      <c r="L391"/>
    </row>
    <row r="392" spans="2:12" x14ac:dyDescent="0.3">
      <c r="B392"/>
      <c r="C392"/>
      <c r="D392"/>
      <c r="E392"/>
      <c r="F392"/>
      <c r="G392"/>
      <c r="H392"/>
      <c r="I392"/>
      <c r="J392"/>
      <c r="K392"/>
      <c r="L392"/>
    </row>
    <row r="393" spans="2:12" x14ac:dyDescent="0.3">
      <c r="B393"/>
      <c r="C393"/>
      <c r="D393"/>
      <c r="E393"/>
      <c r="F393"/>
      <c r="G393"/>
      <c r="H393"/>
      <c r="I393"/>
      <c r="J393"/>
      <c r="K393"/>
      <c r="L393"/>
    </row>
    <row r="394" spans="2:12" x14ac:dyDescent="0.3">
      <c r="B394"/>
      <c r="C394"/>
      <c r="D394"/>
      <c r="E394"/>
      <c r="F394"/>
      <c r="G394"/>
      <c r="H394"/>
      <c r="I394"/>
      <c r="J394"/>
      <c r="K394"/>
      <c r="L394"/>
    </row>
    <row r="395" spans="2:12" x14ac:dyDescent="0.3">
      <c r="B395"/>
      <c r="C395"/>
      <c r="D395"/>
      <c r="E395"/>
      <c r="F395"/>
      <c r="G395"/>
      <c r="H395"/>
      <c r="I395"/>
      <c r="J395"/>
      <c r="K395"/>
      <c r="L395"/>
    </row>
    <row r="396" spans="2:12" x14ac:dyDescent="0.3">
      <c r="B396"/>
      <c r="C396"/>
      <c r="D396"/>
      <c r="E396"/>
      <c r="F396"/>
      <c r="G396"/>
      <c r="H396"/>
      <c r="I396"/>
      <c r="J396"/>
      <c r="K396"/>
      <c r="L396"/>
    </row>
    <row r="397" spans="2:12" x14ac:dyDescent="0.3">
      <c r="B397"/>
      <c r="C397"/>
      <c r="D397"/>
      <c r="E397"/>
      <c r="F397"/>
      <c r="G397"/>
      <c r="H397"/>
      <c r="I397"/>
      <c r="J397"/>
      <c r="K397"/>
      <c r="L397"/>
    </row>
    <row r="398" spans="2:12" x14ac:dyDescent="0.3">
      <c r="B398"/>
      <c r="C398"/>
      <c r="D398"/>
      <c r="E398"/>
      <c r="F398"/>
      <c r="G398"/>
      <c r="H398"/>
      <c r="I398"/>
      <c r="J398"/>
      <c r="K398"/>
      <c r="L398"/>
    </row>
    <row r="399" spans="2:12" x14ac:dyDescent="0.3">
      <c r="B399"/>
      <c r="C399"/>
      <c r="D399"/>
      <c r="E399"/>
      <c r="F399"/>
      <c r="G399"/>
      <c r="H399"/>
      <c r="I399"/>
      <c r="J399"/>
      <c r="K399"/>
      <c r="L399"/>
    </row>
    <row r="400" spans="2:12" x14ac:dyDescent="0.3">
      <c r="B400"/>
      <c r="C400"/>
      <c r="D400"/>
      <c r="E400"/>
      <c r="F400"/>
      <c r="G400"/>
      <c r="H400"/>
      <c r="I400"/>
      <c r="J400"/>
      <c r="K400"/>
      <c r="L400"/>
    </row>
    <row r="401" spans="2:12" x14ac:dyDescent="0.3">
      <c r="B401"/>
      <c r="C401"/>
      <c r="D401"/>
      <c r="E401"/>
      <c r="F401"/>
      <c r="G401"/>
      <c r="H401"/>
      <c r="I401"/>
      <c r="J401"/>
      <c r="K401"/>
      <c r="L401"/>
    </row>
    <row r="402" spans="2:12" x14ac:dyDescent="0.3">
      <c r="B402"/>
      <c r="C402"/>
      <c r="D402"/>
      <c r="E402"/>
      <c r="F402"/>
      <c r="G402"/>
      <c r="H402"/>
      <c r="I402"/>
      <c r="J402"/>
      <c r="K402"/>
      <c r="L402"/>
    </row>
    <row r="403" spans="2:12" x14ac:dyDescent="0.3">
      <c r="B403"/>
      <c r="C403"/>
      <c r="D403"/>
      <c r="E403"/>
      <c r="F403"/>
      <c r="G403"/>
      <c r="H403"/>
      <c r="I403"/>
      <c r="J403"/>
      <c r="K403"/>
      <c r="L403"/>
    </row>
    <row r="404" spans="2:12" x14ac:dyDescent="0.3">
      <c r="B404"/>
      <c r="C404"/>
      <c r="D404"/>
      <c r="E404"/>
      <c r="F404"/>
      <c r="G404"/>
      <c r="H404"/>
      <c r="I404"/>
      <c r="J404"/>
      <c r="K404"/>
      <c r="L404"/>
    </row>
    <row r="405" spans="2:12" x14ac:dyDescent="0.3">
      <c r="B405"/>
      <c r="C405"/>
      <c r="D405"/>
      <c r="E405"/>
      <c r="F405"/>
      <c r="G405"/>
      <c r="H405"/>
      <c r="I405"/>
      <c r="J405"/>
      <c r="K405"/>
      <c r="L405"/>
    </row>
    <row r="406" spans="2:12" x14ac:dyDescent="0.3">
      <c r="B406"/>
      <c r="C406"/>
      <c r="D406"/>
      <c r="E406"/>
      <c r="F406"/>
      <c r="G406"/>
      <c r="H406"/>
      <c r="I406"/>
      <c r="J406"/>
      <c r="K406"/>
      <c r="L406"/>
    </row>
    <row r="407" spans="2:12" x14ac:dyDescent="0.3">
      <c r="B407"/>
      <c r="C407"/>
      <c r="D407"/>
      <c r="E407"/>
      <c r="F407"/>
      <c r="G407"/>
      <c r="H407"/>
      <c r="I407"/>
      <c r="J407"/>
      <c r="K407"/>
      <c r="L407"/>
    </row>
    <row r="408" spans="2:12" x14ac:dyDescent="0.3">
      <c r="B408"/>
      <c r="C408"/>
      <c r="D408"/>
      <c r="E408"/>
      <c r="F408"/>
      <c r="G408"/>
      <c r="H408"/>
      <c r="I408"/>
      <c r="J408"/>
      <c r="K408"/>
      <c r="L408"/>
    </row>
    <row r="409" spans="2:12" x14ac:dyDescent="0.3">
      <c r="B409"/>
      <c r="C409"/>
      <c r="D409"/>
      <c r="E409"/>
      <c r="F409"/>
      <c r="G409"/>
      <c r="H409"/>
      <c r="I409"/>
      <c r="J409"/>
      <c r="K409"/>
      <c r="L409"/>
    </row>
    <row r="410" spans="2:12" x14ac:dyDescent="0.3">
      <c r="B410"/>
      <c r="C410"/>
      <c r="D410"/>
      <c r="E410"/>
      <c r="F410"/>
      <c r="G410"/>
      <c r="H410"/>
      <c r="I410"/>
      <c r="J410"/>
      <c r="K410"/>
      <c r="L410"/>
    </row>
    <row r="411" spans="2:12" x14ac:dyDescent="0.3">
      <c r="B411"/>
      <c r="C411"/>
      <c r="D411"/>
      <c r="E411"/>
      <c r="F411"/>
      <c r="G411"/>
      <c r="H411"/>
      <c r="I411"/>
      <c r="J411"/>
      <c r="K411"/>
      <c r="L411"/>
    </row>
    <row r="412" spans="2:12" x14ac:dyDescent="0.3">
      <c r="B412"/>
      <c r="C412"/>
      <c r="D412"/>
      <c r="E412"/>
      <c r="F412"/>
      <c r="G412"/>
      <c r="H412"/>
      <c r="I412"/>
      <c r="J412"/>
      <c r="K412"/>
      <c r="L412"/>
    </row>
    <row r="413" spans="2:12" x14ac:dyDescent="0.3">
      <c r="B413"/>
      <c r="C413"/>
      <c r="D413"/>
      <c r="E413"/>
      <c r="F413"/>
      <c r="G413"/>
      <c r="H413"/>
      <c r="I413"/>
      <c r="J413"/>
      <c r="K413"/>
      <c r="L413"/>
    </row>
    <row r="414" spans="2:12" x14ac:dyDescent="0.3">
      <c r="B414"/>
      <c r="C414"/>
      <c r="D414"/>
      <c r="E414"/>
      <c r="F414"/>
      <c r="G414"/>
      <c r="H414"/>
      <c r="I414"/>
      <c r="J414"/>
      <c r="K414"/>
      <c r="L414"/>
    </row>
    <row r="415" spans="2:12" x14ac:dyDescent="0.3">
      <c r="B415"/>
      <c r="C415"/>
      <c r="D415"/>
      <c r="E415"/>
      <c r="F415"/>
      <c r="G415"/>
      <c r="H415"/>
      <c r="I415"/>
      <c r="J415"/>
      <c r="K415"/>
      <c r="L415"/>
    </row>
    <row r="416" spans="2:12" x14ac:dyDescent="0.3">
      <c r="B416"/>
      <c r="C416"/>
      <c r="D416"/>
      <c r="E416"/>
      <c r="F416"/>
      <c r="G416"/>
      <c r="H416"/>
      <c r="I416"/>
      <c r="J416"/>
      <c r="K416"/>
      <c r="L416"/>
    </row>
    <row r="417" spans="2:12" x14ac:dyDescent="0.3">
      <c r="B417"/>
      <c r="C417"/>
      <c r="D417"/>
      <c r="E417"/>
      <c r="F417"/>
      <c r="G417"/>
      <c r="H417"/>
      <c r="I417"/>
      <c r="J417"/>
      <c r="K417"/>
      <c r="L417"/>
    </row>
    <row r="418" spans="2:12" x14ac:dyDescent="0.3">
      <c r="B418"/>
      <c r="C418"/>
      <c r="D418"/>
      <c r="E418"/>
      <c r="F418"/>
      <c r="G418"/>
      <c r="H418"/>
      <c r="I418"/>
      <c r="J418"/>
      <c r="K418"/>
      <c r="L418"/>
    </row>
    <row r="419" spans="2:12" x14ac:dyDescent="0.3">
      <c r="B419"/>
      <c r="C419"/>
      <c r="D419"/>
      <c r="E419"/>
      <c r="F419"/>
      <c r="G419"/>
      <c r="H419"/>
      <c r="I419"/>
      <c r="J419"/>
      <c r="K419"/>
      <c r="L419"/>
    </row>
    <row r="420" spans="2:12" x14ac:dyDescent="0.3">
      <c r="B420"/>
      <c r="C420"/>
      <c r="D420"/>
      <c r="E420"/>
      <c r="F420"/>
      <c r="G420"/>
      <c r="H420"/>
      <c r="I420"/>
      <c r="J420"/>
      <c r="K420"/>
      <c r="L420"/>
    </row>
  </sheetData>
  <phoneticPr fontId="0" type="noConversion"/>
  <pageMargins left="0.75" right="0.75" top="1" bottom="1" header="0.5" footer="0.5"/>
  <pageSetup scale="70" fitToHeight="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17"/>
  <sheetViews>
    <sheetView topLeftCell="A2" zoomScaleNormal="100" workbookViewId="0">
      <pane xSplit="1" ySplit="2" topLeftCell="B284" activePane="bottomRight" state="frozen"/>
      <selection activeCell="B35" sqref="B35"/>
      <selection pane="topRight" activeCell="B35" sqref="B35"/>
      <selection pane="bottomLeft" activeCell="B35" sqref="B35"/>
      <selection pane="bottomRight" activeCell="A290" sqref="A290"/>
    </sheetView>
  </sheetViews>
  <sheetFormatPr defaultRowHeight="15.6" x14ac:dyDescent="0.3"/>
  <cols>
    <col min="1" max="1" width="8.69921875" style="256" customWidth="1"/>
    <col min="2" max="2" width="14.69921875" style="126" bestFit="1" customWidth="1"/>
    <col min="3" max="3" width="11.59765625" bestFit="1" customWidth="1"/>
    <col min="4" max="4" width="11.59765625" style="126" bestFit="1" customWidth="1"/>
    <col min="5" max="5" width="11.69921875" bestFit="1" customWidth="1"/>
    <col min="6" max="6" width="12.19921875" style="126" bestFit="1" customWidth="1"/>
    <col min="7" max="7" width="13.19921875" bestFit="1" customWidth="1"/>
    <col min="8" max="8" width="11.59765625" style="126" bestFit="1" customWidth="1"/>
    <col min="9" max="9" width="12.3984375" bestFit="1" customWidth="1"/>
    <col min="10" max="10" width="11.19921875" style="128" bestFit="1" customWidth="1"/>
    <col min="11" max="11" width="12.3984375" bestFit="1" customWidth="1"/>
    <col min="12" max="12" width="12.3984375" style="126" bestFit="1" customWidth="1"/>
    <col min="13" max="13" width="11.3984375" bestFit="1" customWidth="1"/>
    <col min="14" max="14" width="11.3984375" style="126" bestFit="1" customWidth="1"/>
    <col min="15" max="15" width="11.59765625" bestFit="1" customWidth="1"/>
    <col min="16" max="16" width="9.8984375" style="126" bestFit="1" customWidth="1"/>
    <col min="17" max="17" width="12.59765625" style="126" bestFit="1" customWidth="1"/>
    <col min="18" max="18" width="11.3984375" style="126" bestFit="1" customWidth="1"/>
    <col min="19" max="19" width="11.19921875" bestFit="1" customWidth="1"/>
    <col min="20" max="20" width="12.19921875" style="127" bestFit="1" customWidth="1"/>
    <col min="21" max="21" width="11.19921875" bestFit="1" customWidth="1"/>
    <col min="22" max="22" width="11.69921875" style="126" bestFit="1" customWidth="1"/>
    <col min="23" max="23" width="11.19921875" bestFit="1" customWidth="1"/>
    <col min="24" max="24" width="11.19921875" style="126" bestFit="1" customWidth="1"/>
    <col min="25" max="25" width="11.19921875" bestFit="1" customWidth="1"/>
    <col min="26" max="26" width="11.19921875" style="126" bestFit="1" customWidth="1"/>
    <col min="27" max="28" width="11.19921875" bestFit="1" customWidth="1"/>
    <col min="29" max="29" width="13.19921875" bestFit="1" customWidth="1"/>
    <col min="30" max="30" width="11.19921875" bestFit="1" customWidth="1"/>
    <col min="31" max="31" width="12.19921875" bestFit="1" customWidth="1"/>
    <col min="32" max="32" width="11.19921875" bestFit="1" customWidth="1"/>
    <col min="33" max="33" width="12.19921875" bestFit="1" customWidth="1"/>
    <col min="34" max="34" width="12.69921875" bestFit="1" customWidth="1"/>
  </cols>
  <sheetData>
    <row r="1" spans="1:35" x14ac:dyDescent="0.3">
      <c r="A1" s="253" t="s">
        <v>159</v>
      </c>
      <c r="B1" s="122"/>
      <c r="C1" s="2"/>
      <c r="D1" s="125"/>
    </row>
    <row r="2" spans="1:35" s="101" customFormat="1" x14ac:dyDescent="0.3">
      <c r="A2" s="254"/>
      <c r="B2" s="101">
        <v>2</v>
      </c>
      <c r="C2" s="101">
        <v>3</v>
      </c>
      <c r="D2" s="101">
        <v>4</v>
      </c>
      <c r="E2" s="101">
        <v>5</v>
      </c>
      <c r="F2" s="101">
        <v>6</v>
      </c>
      <c r="G2" s="101">
        <v>7</v>
      </c>
      <c r="H2" s="101">
        <v>8</v>
      </c>
      <c r="I2" s="101">
        <v>9</v>
      </c>
      <c r="J2" s="101">
        <v>10</v>
      </c>
      <c r="K2" s="101">
        <v>11</v>
      </c>
      <c r="L2" s="101">
        <v>12</v>
      </c>
      <c r="M2" s="101">
        <v>13</v>
      </c>
      <c r="N2" s="101">
        <v>14</v>
      </c>
      <c r="O2" s="101">
        <v>15</v>
      </c>
      <c r="P2" s="101">
        <v>16</v>
      </c>
      <c r="Q2" s="101">
        <v>17</v>
      </c>
      <c r="R2" s="101">
        <v>18</v>
      </c>
      <c r="S2" s="101">
        <v>19</v>
      </c>
      <c r="T2" s="101">
        <v>20</v>
      </c>
      <c r="U2" s="101">
        <v>21</v>
      </c>
      <c r="V2" s="101">
        <v>22</v>
      </c>
      <c r="W2" s="101">
        <v>23</v>
      </c>
      <c r="X2" s="101">
        <v>24</v>
      </c>
      <c r="Y2" s="101">
        <v>25</v>
      </c>
      <c r="Z2" s="101">
        <v>26</v>
      </c>
      <c r="AA2" s="101">
        <v>27</v>
      </c>
      <c r="AB2" s="101">
        <v>28</v>
      </c>
      <c r="AC2" s="101">
        <v>29</v>
      </c>
      <c r="AD2" s="101">
        <v>30</v>
      </c>
      <c r="AE2" s="101">
        <v>31</v>
      </c>
      <c r="AF2" s="101">
        <v>32</v>
      </c>
      <c r="AG2" s="101">
        <v>33</v>
      </c>
      <c r="AH2" s="101">
        <v>34</v>
      </c>
    </row>
    <row r="3" spans="1:35" s="226" customFormat="1" ht="46.8" x14ac:dyDescent="0.3">
      <c r="A3" s="255" t="s">
        <v>1</v>
      </c>
      <c r="B3" s="224" t="s">
        <v>414</v>
      </c>
      <c r="C3" s="225" t="s">
        <v>214</v>
      </c>
      <c r="D3" s="225" t="s">
        <v>389</v>
      </c>
      <c r="E3" s="225" t="s">
        <v>215</v>
      </c>
      <c r="F3" s="225" t="s">
        <v>216</v>
      </c>
      <c r="G3" s="225" t="s">
        <v>178</v>
      </c>
      <c r="H3" s="225" t="s">
        <v>217</v>
      </c>
      <c r="I3" s="226" t="s">
        <v>412</v>
      </c>
      <c r="J3" s="225" t="s">
        <v>218</v>
      </c>
      <c r="K3" s="225" t="s">
        <v>403</v>
      </c>
      <c r="L3" s="225" t="s">
        <v>381</v>
      </c>
      <c r="M3" s="225" t="s">
        <v>404</v>
      </c>
      <c r="N3" s="225" t="s">
        <v>405</v>
      </c>
      <c r="O3" s="225" t="s">
        <v>219</v>
      </c>
      <c r="P3" s="225" t="s">
        <v>220</v>
      </c>
      <c r="Q3" s="225" t="s">
        <v>180</v>
      </c>
      <c r="R3" s="225" t="s">
        <v>221</v>
      </c>
      <c r="S3" s="225" t="s">
        <v>179</v>
      </c>
      <c r="T3" s="225" t="s">
        <v>222</v>
      </c>
      <c r="U3" s="225" t="s">
        <v>229</v>
      </c>
      <c r="V3" s="225" t="s">
        <v>223</v>
      </c>
      <c r="W3" s="225" t="s">
        <v>224</v>
      </c>
      <c r="X3" s="225" t="s">
        <v>225</v>
      </c>
      <c r="Y3" s="225" t="s">
        <v>226</v>
      </c>
      <c r="Z3" s="225" t="s">
        <v>413</v>
      </c>
      <c r="AA3" s="225" t="s">
        <v>227</v>
      </c>
      <c r="AB3" s="225" t="s">
        <v>230</v>
      </c>
      <c r="AC3" s="226" t="s">
        <v>406</v>
      </c>
      <c r="AD3" s="226" t="s">
        <v>407</v>
      </c>
      <c r="AE3" s="225" t="s">
        <v>383</v>
      </c>
      <c r="AF3" s="225" t="s">
        <v>382</v>
      </c>
      <c r="AG3" s="225" t="s">
        <v>181</v>
      </c>
      <c r="AH3" s="225" t="s">
        <v>231</v>
      </c>
    </row>
    <row r="4" spans="1:35" x14ac:dyDescent="0.3">
      <c r="A4" s="256">
        <v>36739</v>
      </c>
      <c r="B4" s="4">
        <v>1250000</v>
      </c>
      <c r="C4" s="4">
        <v>4563600</v>
      </c>
      <c r="D4" s="4">
        <v>2136334</v>
      </c>
      <c r="E4" s="4">
        <v>429975</v>
      </c>
      <c r="F4" s="4">
        <v>12500000</v>
      </c>
      <c r="G4" s="4">
        <v>116115000</v>
      </c>
      <c r="H4" s="4">
        <v>1663000</v>
      </c>
      <c r="I4" s="4">
        <v>12878050</v>
      </c>
      <c r="J4" s="4">
        <v>1012500</v>
      </c>
      <c r="K4" s="4">
        <v>23507914.999999996</v>
      </c>
      <c r="L4" s="4">
        <v>10372212</v>
      </c>
      <c r="M4" s="4">
        <v>1302980</v>
      </c>
      <c r="N4" s="4">
        <v>3486752</v>
      </c>
      <c r="O4" s="4">
        <v>429210</v>
      </c>
      <c r="P4" s="4">
        <v>470790</v>
      </c>
      <c r="Q4" s="4">
        <v>27082500</v>
      </c>
      <c r="R4" s="4">
        <v>7121810</v>
      </c>
      <c r="S4" s="4">
        <v>5644007</v>
      </c>
      <c r="T4" s="4">
        <v>20916875</v>
      </c>
      <c r="U4" s="4">
        <v>2560525</v>
      </c>
      <c r="V4" s="4">
        <v>4774950</v>
      </c>
      <c r="W4" s="4">
        <v>1822363</v>
      </c>
      <c r="X4" s="4">
        <v>1374750</v>
      </c>
      <c r="Y4" s="4">
        <v>1803840</v>
      </c>
      <c r="Z4" s="4">
        <v>2300803</v>
      </c>
      <c r="AA4" s="4">
        <v>7483750</v>
      </c>
      <c r="AB4" s="4">
        <v>2343750</v>
      </c>
      <c r="AC4" s="4">
        <v>16316247</v>
      </c>
      <c r="AD4" s="4">
        <v>1050000</v>
      </c>
      <c r="AE4" s="4">
        <v>81480000</v>
      </c>
      <c r="AF4" s="4">
        <v>1360000</v>
      </c>
      <c r="AG4" s="4">
        <v>93746588.676477998</v>
      </c>
      <c r="AH4" s="4">
        <f>(+P4+C4+'Stock Prices'!H5*'Daily Position'!$H$4+'Stock Prices'!E5*'Daily Position'!$H$28+'Stock Prices'!F5*'Daily Position'!$H$29+'Stock Prices'!K5*'Daily Position'!$H$31)/0.6*0.3612</f>
        <v>7305134.8357232939</v>
      </c>
      <c r="AI4" s="138"/>
    </row>
    <row r="5" spans="1:35" x14ac:dyDescent="0.3">
      <c r="A5" s="256">
        <v>36740</v>
      </c>
      <c r="B5" s="4">
        <v>1250000</v>
      </c>
      <c r="C5" s="4">
        <v>4563600</v>
      </c>
      <c r="D5" s="4">
        <v>2136334</v>
      </c>
      <c r="E5" s="4">
        <v>429975</v>
      </c>
      <c r="F5" s="4">
        <v>12500000</v>
      </c>
      <c r="G5" s="4">
        <v>116115000</v>
      </c>
      <c r="H5" s="4">
        <v>1663000</v>
      </c>
      <c r="I5" s="4">
        <v>12878050</v>
      </c>
      <c r="J5" s="4">
        <v>1012500</v>
      </c>
      <c r="K5" s="4">
        <v>23507914.999999996</v>
      </c>
      <c r="L5" s="4">
        <v>10372212</v>
      </c>
      <c r="M5" s="4">
        <v>1302980</v>
      </c>
      <c r="N5" s="4">
        <v>3486752</v>
      </c>
      <c r="O5" s="4">
        <v>429210</v>
      </c>
      <c r="P5" s="4">
        <v>470790</v>
      </c>
      <c r="Q5" s="4">
        <v>27082500</v>
      </c>
      <c r="R5" s="4">
        <v>7121810</v>
      </c>
      <c r="S5" s="4">
        <v>5644007</v>
      </c>
      <c r="T5" s="4">
        <v>20916875</v>
      </c>
      <c r="U5" s="4">
        <v>2560525</v>
      </c>
      <c r="V5" s="4">
        <v>4774950</v>
      </c>
      <c r="W5" s="4">
        <v>1822363</v>
      </c>
      <c r="X5" s="4">
        <v>1374750</v>
      </c>
      <c r="Y5" s="4">
        <v>1803840</v>
      </c>
      <c r="Z5" s="4">
        <v>2300803</v>
      </c>
      <c r="AA5" s="4">
        <v>7483750</v>
      </c>
      <c r="AB5" s="4">
        <v>2343750</v>
      </c>
      <c r="AC5" s="4">
        <v>16316247</v>
      </c>
      <c r="AD5" s="4">
        <v>1050000</v>
      </c>
      <c r="AE5" s="4">
        <v>81480000</v>
      </c>
      <c r="AF5" s="4">
        <v>1360000</v>
      </c>
      <c r="AG5" s="4">
        <v>93746588.676477998</v>
      </c>
      <c r="AH5" s="4">
        <f>(+P5+C5+'Stock Prices'!H6*'Daily Position'!$H$4+'Stock Prices'!E6*'Daily Position'!$H$28+'Stock Prices'!F6*'Daily Position'!$H$29+'Stock Prices'!K6*'Daily Position'!$H$31)/0.6*0.3612</f>
        <v>7404719.3011017488</v>
      </c>
      <c r="AI5" s="138"/>
    </row>
    <row r="6" spans="1:35" x14ac:dyDescent="0.3">
      <c r="A6" s="256">
        <v>36741</v>
      </c>
      <c r="B6" s="4">
        <v>1250000</v>
      </c>
      <c r="C6" s="4">
        <v>4563600</v>
      </c>
      <c r="D6" s="4">
        <v>2136334</v>
      </c>
      <c r="E6" s="4">
        <v>429975</v>
      </c>
      <c r="F6" s="4">
        <v>12500000</v>
      </c>
      <c r="G6" s="4">
        <v>116115000</v>
      </c>
      <c r="H6" s="4">
        <v>1663000</v>
      </c>
      <c r="I6" s="4">
        <v>12878050</v>
      </c>
      <c r="J6" s="4">
        <v>1012500</v>
      </c>
      <c r="K6" s="4">
        <v>23507914.999999996</v>
      </c>
      <c r="L6" s="4">
        <v>10372212</v>
      </c>
      <c r="M6" s="4">
        <v>1302980</v>
      </c>
      <c r="N6" s="4">
        <v>3486752</v>
      </c>
      <c r="O6" s="4">
        <v>429210</v>
      </c>
      <c r="P6" s="4">
        <v>470790</v>
      </c>
      <c r="Q6" s="4">
        <v>27082500</v>
      </c>
      <c r="R6" s="4">
        <v>7121810</v>
      </c>
      <c r="S6" s="4">
        <v>5644007</v>
      </c>
      <c r="T6" s="4">
        <v>20916875</v>
      </c>
      <c r="U6" s="4">
        <v>2560525</v>
      </c>
      <c r="V6" s="4">
        <v>4774950</v>
      </c>
      <c r="W6" s="4">
        <v>1822363</v>
      </c>
      <c r="X6" s="4">
        <v>1374750</v>
      </c>
      <c r="Y6" s="4">
        <v>1803840</v>
      </c>
      <c r="Z6" s="4">
        <v>2300803</v>
      </c>
      <c r="AA6" s="4">
        <v>7483750</v>
      </c>
      <c r="AB6" s="4">
        <v>2343750</v>
      </c>
      <c r="AC6" s="4">
        <v>16316247</v>
      </c>
      <c r="AD6" s="4">
        <v>1050000</v>
      </c>
      <c r="AE6" s="4">
        <v>81480000</v>
      </c>
      <c r="AF6" s="4">
        <v>1360000</v>
      </c>
      <c r="AG6" s="4">
        <v>93746588.676477998</v>
      </c>
      <c r="AH6" s="4">
        <f>(+P6+C6+'Stock Prices'!H7*'Daily Position'!$H$4+'Stock Prices'!E7*'Daily Position'!$H$28+'Stock Prices'!F7*'Daily Position'!$H$29+'Stock Prices'!K7*'Daily Position'!$H$31)/0.6*0.3612</f>
        <v>7523398.6784797823</v>
      </c>
      <c r="AI6" s="138"/>
    </row>
    <row r="7" spans="1:35" x14ac:dyDescent="0.3">
      <c r="A7" s="256">
        <v>36742</v>
      </c>
      <c r="B7" s="4">
        <v>1250000</v>
      </c>
      <c r="C7" s="4">
        <v>4563600</v>
      </c>
      <c r="D7" s="4">
        <v>2136334</v>
      </c>
      <c r="E7" s="4">
        <v>429975</v>
      </c>
      <c r="F7" s="4">
        <v>12500000</v>
      </c>
      <c r="G7" s="4">
        <v>116115000</v>
      </c>
      <c r="H7" s="4">
        <v>1663000</v>
      </c>
      <c r="I7" s="4">
        <v>12878050</v>
      </c>
      <c r="J7" s="4">
        <v>1012500</v>
      </c>
      <c r="K7" s="4">
        <v>23507914.999999996</v>
      </c>
      <c r="L7" s="4">
        <v>10372212</v>
      </c>
      <c r="M7" s="4">
        <v>1302980</v>
      </c>
      <c r="N7" s="4">
        <v>3486752</v>
      </c>
      <c r="O7" s="4">
        <v>429210</v>
      </c>
      <c r="P7" s="4">
        <v>470790</v>
      </c>
      <c r="Q7" s="4">
        <v>27082500</v>
      </c>
      <c r="R7" s="4">
        <v>7121810</v>
      </c>
      <c r="S7" s="4">
        <v>5644007</v>
      </c>
      <c r="T7" s="4">
        <v>20916875</v>
      </c>
      <c r="U7" s="4">
        <v>2560525</v>
      </c>
      <c r="V7" s="4">
        <v>4774950</v>
      </c>
      <c r="W7" s="4">
        <v>1822363</v>
      </c>
      <c r="X7" s="4">
        <v>1374750</v>
      </c>
      <c r="Y7" s="4">
        <v>1803840</v>
      </c>
      <c r="Z7" s="4">
        <v>2300803</v>
      </c>
      <c r="AA7" s="4">
        <v>7483750</v>
      </c>
      <c r="AB7" s="4">
        <v>2343750</v>
      </c>
      <c r="AC7" s="4">
        <v>16316247</v>
      </c>
      <c r="AD7" s="4">
        <v>1050000</v>
      </c>
      <c r="AE7" s="4">
        <v>81480000</v>
      </c>
      <c r="AF7" s="4">
        <v>1360000</v>
      </c>
      <c r="AG7" s="4">
        <v>93746588.676477998</v>
      </c>
      <c r="AH7" s="4">
        <f>(+P7+C7+'Stock Prices'!H8*'Daily Position'!$H$4+'Stock Prices'!E8*'Daily Position'!$H$28+'Stock Prices'!F8*'Daily Position'!$H$29+'Stock Prices'!K8*'Daily Position'!$H$31)/0.6*0.3612</f>
        <v>7458213.0824981257</v>
      </c>
      <c r="AI7" s="138"/>
    </row>
    <row r="8" spans="1:35" x14ac:dyDescent="0.3">
      <c r="A8" s="256">
        <v>36745</v>
      </c>
      <c r="B8" s="4">
        <v>1250000</v>
      </c>
      <c r="C8" s="4">
        <v>4563600</v>
      </c>
      <c r="D8" s="4">
        <v>2136334</v>
      </c>
      <c r="E8" s="4">
        <v>429975</v>
      </c>
      <c r="F8" s="4">
        <v>12500000</v>
      </c>
      <c r="G8" s="4">
        <v>116115000</v>
      </c>
      <c r="H8" s="4">
        <v>1663000</v>
      </c>
      <c r="I8" s="4">
        <v>12878050</v>
      </c>
      <c r="J8" s="4">
        <v>1012500</v>
      </c>
      <c r="K8" s="4">
        <v>23507914.999999996</v>
      </c>
      <c r="L8" s="4">
        <v>10372212</v>
      </c>
      <c r="M8" s="4">
        <v>1302980</v>
      </c>
      <c r="N8" s="4">
        <v>3486752</v>
      </c>
      <c r="O8" s="4">
        <v>429210</v>
      </c>
      <c r="P8" s="4">
        <v>470790</v>
      </c>
      <c r="Q8" s="4">
        <v>27082500</v>
      </c>
      <c r="R8" s="4">
        <v>7121810</v>
      </c>
      <c r="S8" s="4">
        <v>5644007</v>
      </c>
      <c r="T8" s="4">
        <v>20916875</v>
      </c>
      <c r="U8" s="4">
        <v>2560525</v>
      </c>
      <c r="V8" s="4">
        <v>4774950</v>
      </c>
      <c r="W8" s="4">
        <v>1822363</v>
      </c>
      <c r="X8" s="4">
        <v>1374750</v>
      </c>
      <c r="Y8" s="4">
        <v>1803840</v>
      </c>
      <c r="Z8" s="4">
        <v>2300803</v>
      </c>
      <c r="AA8" s="4">
        <v>7483750</v>
      </c>
      <c r="AB8" s="4">
        <v>2343750</v>
      </c>
      <c r="AC8" s="4">
        <v>16316247</v>
      </c>
      <c r="AD8" s="4">
        <v>1050000</v>
      </c>
      <c r="AE8" s="4">
        <v>81480000</v>
      </c>
      <c r="AF8" s="4">
        <v>1360000</v>
      </c>
      <c r="AG8" s="4">
        <v>93746588.676477998</v>
      </c>
      <c r="AH8" s="4">
        <f>(+P8+C8+'Stock Prices'!H9*'Daily Position'!$H$4+'Stock Prices'!E9*'Daily Position'!$H$28+'Stock Prices'!F9*'Daily Position'!$H$29+'Stock Prices'!K9*'Daily Position'!$H$31)/0.6*0.3612</f>
        <v>7578794.9510216443</v>
      </c>
      <c r="AI8" s="138"/>
    </row>
    <row r="9" spans="1:35" x14ac:dyDescent="0.3">
      <c r="A9" s="256">
        <v>36746</v>
      </c>
      <c r="B9" s="4">
        <v>1250000</v>
      </c>
      <c r="C9" s="4">
        <v>4563600</v>
      </c>
      <c r="D9" s="4">
        <v>2136334</v>
      </c>
      <c r="E9" s="4">
        <v>429975</v>
      </c>
      <c r="F9" s="4">
        <v>12500000</v>
      </c>
      <c r="G9" s="4">
        <v>116115000</v>
      </c>
      <c r="H9" s="4">
        <v>1663000</v>
      </c>
      <c r="I9" s="4">
        <v>12878050</v>
      </c>
      <c r="J9" s="4">
        <v>1012500</v>
      </c>
      <c r="K9" s="4">
        <v>23507914.999999996</v>
      </c>
      <c r="L9" s="4">
        <v>10372212</v>
      </c>
      <c r="M9" s="4">
        <v>1302980</v>
      </c>
      <c r="N9" s="4">
        <v>3486752</v>
      </c>
      <c r="O9" s="4">
        <v>429210</v>
      </c>
      <c r="P9" s="4">
        <v>470790</v>
      </c>
      <c r="Q9" s="4">
        <v>27082500</v>
      </c>
      <c r="R9" s="4">
        <v>7121810</v>
      </c>
      <c r="S9" s="4">
        <v>5644007</v>
      </c>
      <c r="T9" s="4">
        <v>20916875</v>
      </c>
      <c r="U9" s="4">
        <v>2560525</v>
      </c>
      <c r="V9" s="4">
        <v>4774950</v>
      </c>
      <c r="W9" s="4">
        <v>1822363</v>
      </c>
      <c r="X9" s="4">
        <v>1374750</v>
      </c>
      <c r="Y9" s="4">
        <v>1803840</v>
      </c>
      <c r="Z9" s="4">
        <v>2300803</v>
      </c>
      <c r="AA9" s="4">
        <v>7483750</v>
      </c>
      <c r="AB9" s="4">
        <v>2343750</v>
      </c>
      <c r="AC9" s="4">
        <v>16316247</v>
      </c>
      <c r="AD9" s="4">
        <v>1050000</v>
      </c>
      <c r="AE9" s="4">
        <v>81480000</v>
      </c>
      <c r="AF9" s="4">
        <v>1360000</v>
      </c>
      <c r="AG9" s="4">
        <v>93746588.676477998</v>
      </c>
      <c r="AH9" s="4">
        <f>(+P9+C9+'Stock Prices'!H10*'Daily Position'!$H$4+'Stock Prices'!E10*'Daily Position'!$H$28+'Stock Prices'!F10*'Daily Position'!$H$29+'Stock Prices'!K10*'Daily Position'!$H$31)/0.6*0.3612</f>
        <v>7549277.3709103456</v>
      </c>
      <c r="AI9" s="138"/>
    </row>
    <row r="10" spans="1:35" x14ac:dyDescent="0.3">
      <c r="A10" s="256">
        <v>36747</v>
      </c>
      <c r="B10" s="4">
        <v>1250000</v>
      </c>
      <c r="C10" s="4">
        <v>4563600</v>
      </c>
      <c r="D10" s="4">
        <v>2136334</v>
      </c>
      <c r="E10" s="4">
        <v>429975</v>
      </c>
      <c r="F10" s="4">
        <v>12500000</v>
      </c>
      <c r="G10" s="4">
        <v>116115000</v>
      </c>
      <c r="H10" s="4">
        <v>1663000</v>
      </c>
      <c r="I10" s="4">
        <v>12878050</v>
      </c>
      <c r="J10" s="4">
        <v>1012500</v>
      </c>
      <c r="K10" s="4">
        <v>23507914.999999996</v>
      </c>
      <c r="L10" s="4">
        <v>10372212</v>
      </c>
      <c r="M10" s="4">
        <v>1302980</v>
      </c>
      <c r="N10" s="4">
        <v>3486752</v>
      </c>
      <c r="O10" s="4">
        <v>429210</v>
      </c>
      <c r="P10" s="4">
        <v>470790</v>
      </c>
      <c r="Q10" s="4">
        <v>27082500</v>
      </c>
      <c r="R10" s="4">
        <v>7121810</v>
      </c>
      <c r="S10" s="4">
        <v>5644007</v>
      </c>
      <c r="T10" s="4">
        <v>20916875</v>
      </c>
      <c r="U10" s="4">
        <v>2560525</v>
      </c>
      <c r="V10" s="4">
        <v>4774950</v>
      </c>
      <c r="W10" s="4">
        <v>1822363</v>
      </c>
      <c r="X10" s="4">
        <v>1374750</v>
      </c>
      <c r="Y10" s="4">
        <v>1803840</v>
      </c>
      <c r="Z10" s="4">
        <v>2300803</v>
      </c>
      <c r="AA10" s="4">
        <v>7483750</v>
      </c>
      <c r="AB10" s="4">
        <v>2343750</v>
      </c>
      <c r="AC10" s="4">
        <v>16316247</v>
      </c>
      <c r="AD10" s="4">
        <v>1050000</v>
      </c>
      <c r="AE10" s="4">
        <v>81480000</v>
      </c>
      <c r="AF10" s="4">
        <v>1360000</v>
      </c>
      <c r="AG10" s="4">
        <v>93746588.676477998</v>
      </c>
      <c r="AH10" s="4">
        <f>(+P10+C10+'Stock Prices'!H11*'Daily Position'!$H$4+'Stock Prices'!E11*'Daily Position'!$H$28+'Stock Prices'!F11*'Daily Position'!$H$29+'Stock Prices'!K11*'Daily Position'!$H$31)/0.6*0.3612</f>
        <v>7558431.5867028479</v>
      </c>
      <c r="AI10" s="138"/>
    </row>
    <row r="11" spans="1:35" x14ac:dyDescent="0.3">
      <c r="A11" s="256">
        <v>36748</v>
      </c>
      <c r="B11" s="4">
        <v>1250000</v>
      </c>
      <c r="C11" s="4">
        <v>4563600</v>
      </c>
      <c r="D11" s="4">
        <v>2136334</v>
      </c>
      <c r="E11" s="4">
        <v>429975</v>
      </c>
      <c r="F11" s="4">
        <v>12500000</v>
      </c>
      <c r="G11" s="4">
        <v>116115000</v>
      </c>
      <c r="H11" s="4">
        <v>1663000</v>
      </c>
      <c r="I11" s="4">
        <v>12878050</v>
      </c>
      <c r="J11" s="4">
        <v>1012500</v>
      </c>
      <c r="K11" s="4">
        <v>23507914.999999996</v>
      </c>
      <c r="L11" s="4">
        <v>10372212</v>
      </c>
      <c r="M11" s="4">
        <v>1302980</v>
      </c>
      <c r="N11" s="4">
        <v>3486752</v>
      </c>
      <c r="O11" s="4">
        <v>429210</v>
      </c>
      <c r="P11" s="4">
        <v>470790</v>
      </c>
      <c r="Q11" s="4">
        <v>27082500</v>
      </c>
      <c r="R11" s="4">
        <v>7121810</v>
      </c>
      <c r="S11" s="4">
        <v>5644007</v>
      </c>
      <c r="T11" s="4">
        <v>20916875</v>
      </c>
      <c r="U11" s="4">
        <v>2560525</v>
      </c>
      <c r="V11" s="4">
        <v>4774950</v>
      </c>
      <c r="W11" s="4">
        <v>1822363</v>
      </c>
      <c r="X11" s="4">
        <v>1374750</v>
      </c>
      <c r="Y11" s="4">
        <v>1803840</v>
      </c>
      <c r="Z11" s="4">
        <v>2300803</v>
      </c>
      <c r="AA11" s="4">
        <v>7483750</v>
      </c>
      <c r="AB11" s="4">
        <v>2343750</v>
      </c>
      <c r="AC11" s="4">
        <v>16316247</v>
      </c>
      <c r="AD11" s="4">
        <v>1050000</v>
      </c>
      <c r="AE11" s="4">
        <v>81480000</v>
      </c>
      <c r="AF11" s="4">
        <v>1360000</v>
      </c>
      <c r="AG11" s="4">
        <v>93746588.676477998</v>
      </c>
      <c r="AH11" s="4">
        <f>(+P11+C11+'Stock Prices'!H12*'Daily Position'!$H$4+'Stock Prices'!E12*'Daily Position'!$H$28+'Stock Prices'!F12*'Daily Position'!$H$29+'Stock Prices'!K12*'Daily Position'!$H$31)/0.6*0.3612</f>
        <v>7589274.5056273108</v>
      </c>
      <c r="AI11" s="138"/>
    </row>
    <row r="12" spans="1:35" x14ac:dyDescent="0.3">
      <c r="A12" s="256">
        <v>36749</v>
      </c>
      <c r="B12" s="4">
        <v>1250000</v>
      </c>
      <c r="C12" s="4">
        <v>4563600</v>
      </c>
      <c r="D12" s="4">
        <v>2136334</v>
      </c>
      <c r="E12" s="4">
        <v>429975</v>
      </c>
      <c r="F12" s="4">
        <v>12500000</v>
      </c>
      <c r="G12" s="4">
        <v>116115000</v>
      </c>
      <c r="H12" s="4">
        <v>1663000</v>
      </c>
      <c r="I12" s="4">
        <v>12878050</v>
      </c>
      <c r="J12" s="4">
        <v>1012500</v>
      </c>
      <c r="K12" s="4">
        <v>23507914.999999996</v>
      </c>
      <c r="L12" s="4">
        <v>10372212</v>
      </c>
      <c r="M12" s="4">
        <v>1302980</v>
      </c>
      <c r="N12" s="4">
        <v>3486752</v>
      </c>
      <c r="O12" s="4">
        <v>429210</v>
      </c>
      <c r="P12" s="4">
        <v>470790</v>
      </c>
      <c r="Q12" s="4">
        <v>27082500</v>
      </c>
      <c r="R12" s="4">
        <v>7121810</v>
      </c>
      <c r="S12" s="4">
        <v>5644007</v>
      </c>
      <c r="T12" s="4">
        <v>20916875</v>
      </c>
      <c r="U12" s="4">
        <v>2560525</v>
      </c>
      <c r="V12" s="4">
        <v>4774950</v>
      </c>
      <c r="W12" s="4">
        <v>1822363</v>
      </c>
      <c r="X12" s="4">
        <v>1374750</v>
      </c>
      <c r="Y12" s="4">
        <v>1803840</v>
      </c>
      <c r="Z12" s="4">
        <v>2300803</v>
      </c>
      <c r="AA12" s="4">
        <v>7483750</v>
      </c>
      <c r="AB12" s="4">
        <v>2343750</v>
      </c>
      <c r="AC12" s="4">
        <v>16316247</v>
      </c>
      <c r="AD12" s="4">
        <v>1050000</v>
      </c>
      <c r="AE12" s="4">
        <v>81480000</v>
      </c>
      <c r="AF12" s="4">
        <v>1360000</v>
      </c>
      <c r="AG12" s="4">
        <v>93746588.676477998</v>
      </c>
      <c r="AH12" s="4">
        <f>(+P12+C12+'Stock Prices'!H13*'Daily Position'!$H$4+'Stock Prices'!E13*'Daily Position'!$H$28+'Stock Prices'!F13*'Daily Position'!$H$29+'Stock Prices'!K13*'Daily Position'!$H$31)/0.6*0.3612</f>
        <v>7624613.174546469</v>
      </c>
      <c r="AI12" s="138"/>
    </row>
    <row r="13" spans="1:35" x14ac:dyDescent="0.3">
      <c r="A13" s="256">
        <v>36752</v>
      </c>
      <c r="B13" s="4">
        <v>1250000</v>
      </c>
      <c r="C13" s="4">
        <v>4563600</v>
      </c>
      <c r="D13" s="4">
        <v>2136334</v>
      </c>
      <c r="E13" s="4">
        <v>429975</v>
      </c>
      <c r="F13" s="4">
        <v>12500000</v>
      </c>
      <c r="G13" s="4">
        <v>116115000</v>
      </c>
      <c r="H13" s="4">
        <v>1663000</v>
      </c>
      <c r="I13" s="4">
        <v>12878050</v>
      </c>
      <c r="J13" s="4">
        <v>1012500</v>
      </c>
      <c r="K13" s="4">
        <v>23507914.999999996</v>
      </c>
      <c r="L13" s="4">
        <v>10372212</v>
      </c>
      <c r="M13" s="4">
        <v>1302980</v>
      </c>
      <c r="N13" s="4">
        <v>3486752</v>
      </c>
      <c r="O13" s="4">
        <v>429210</v>
      </c>
      <c r="P13" s="4">
        <v>470790</v>
      </c>
      <c r="Q13" s="4">
        <v>27082500</v>
      </c>
      <c r="R13" s="4">
        <v>7121810</v>
      </c>
      <c r="S13" s="4">
        <v>5644007</v>
      </c>
      <c r="T13" s="4">
        <v>20916875</v>
      </c>
      <c r="U13" s="4">
        <v>2560525</v>
      </c>
      <c r="V13" s="4">
        <v>4774950</v>
      </c>
      <c r="W13" s="4">
        <v>1822363</v>
      </c>
      <c r="X13" s="4">
        <v>1374750</v>
      </c>
      <c r="Y13" s="4">
        <v>1803840</v>
      </c>
      <c r="Z13" s="4">
        <v>2300803</v>
      </c>
      <c r="AA13" s="4">
        <v>7483750</v>
      </c>
      <c r="AB13" s="4">
        <v>2343750</v>
      </c>
      <c r="AC13" s="4">
        <v>16316247</v>
      </c>
      <c r="AD13" s="4">
        <v>1050000</v>
      </c>
      <c r="AE13" s="4">
        <v>81480000</v>
      </c>
      <c r="AF13" s="4">
        <v>1360000</v>
      </c>
      <c r="AG13" s="4">
        <v>93746588.676477998</v>
      </c>
      <c r="AH13" s="4">
        <f>(+P13+C13+'Stock Prices'!H14*'Daily Position'!$H$4+'Stock Prices'!E14*'Daily Position'!$H$28+'Stock Prices'!F14*'Daily Position'!$H$29+'Stock Prices'!K14*'Daily Position'!$H$31)/0.6*0.3612</f>
        <v>7765227.0797651503</v>
      </c>
      <c r="AI13" s="138"/>
    </row>
    <row r="14" spans="1:35" x14ac:dyDescent="0.3">
      <c r="A14" s="256">
        <v>36753</v>
      </c>
      <c r="B14" s="4">
        <v>1250000</v>
      </c>
      <c r="C14" s="4">
        <v>4563600</v>
      </c>
      <c r="D14" s="4">
        <v>2136334</v>
      </c>
      <c r="E14" s="4">
        <v>429975</v>
      </c>
      <c r="F14" s="4">
        <v>12500000</v>
      </c>
      <c r="G14" s="4">
        <v>116115000</v>
      </c>
      <c r="H14" s="4">
        <v>1663000</v>
      </c>
      <c r="I14" s="4">
        <v>12878050</v>
      </c>
      <c r="J14" s="4">
        <v>1012500</v>
      </c>
      <c r="K14" s="4">
        <v>23507914.999999996</v>
      </c>
      <c r="L14" s="4">
        <v>10372212</v>
      </c>
      <c r="M14" s="4">
        <v>1302980</v>
      </c>
      <c r="N14" s="4">
        <v>3486752</v>
      </c>
      <c r="O14" s="4">
        <v>429210</v>
      </c>
      <c r="P14" s="4">
        <v>470790</v>
      </c>
      <c r="Q14" s="4">
        <v>27082500</v>
      </c>
      <c r="R14" s="4">
        <v>7121810</v>
      </c>
      <c r="S14" s="4">
        <v>5644007</v>
      </c>
      <c r="T14" s="4">
        <v>20916875</v>
      </c>
      <c r="U14" s="4">
        <v>2560525</v>
      </c>
      <c r="V14" s="4">
        <v>4774950</v>
      </c>
      <c r="W14" s="4">
        <v>1822363</v>
      </c>
      <c r="X14" s="4">
        <v>1374750</v>
      </c>
      <c r="Y14" s="4">
        <v>1803840</v>
      </c>
      <c r="Z14" s="4">
        <v>2300803</v>
      </c>
      <c r="AA14" s="4">
        <v>7483750</v>
      </c>
      <c r="AB14" s="4">
        <v>2343750</v>
      </c>
      <c r="AC14" s="4">
        <v>16316247</v>
      </c>
      <c r="AD14" s="4">
        <v>1050000</v>
      </c>
      <c r="AE14" s="4">
        <v>81480000</v>
      </c>
      <c r="AF14" s="4">
        <v>1360000</v>
      </c>
      <c r="AG14" s="4">
        <v>93746588.676477998</v>
      </c>
      <c r="AH14" s="4">
        <f>(+P14+C14+'Stock Prices'!H15*'Daily Position'!$H$4+'Stock Prices'!E15*'Daily Position'!$H$28+'Stock Prices'!F15*'Daily Position'!$H$29+'Stock Prices'!K15*'Daily Position'!$H$31)/0.6*0.3612</f>
        <v>7672091.1006598137</v>
      </c>
      <c r="AI14" s="138"/>
    </row>
    <row r="15" spans="1:35" x14ac:dyDescent="0.3">
      <c r="A15" s="256">
        <v>36754</v>
      </c>
      <c r="B15" s="4">
        <v>1250000</v>
      </c>
      <c r="C15" s="4">
        <v>4563600</v>
      </c>
      <c r="D15" s="4">
        <v>2136334</v>
      </c>
      <c r="E15" s="4">
        <v>429975</v>
      </c>
      <c r="F15" s="4">
        <v>12500000</v>
      </c>
      <c r="G15" s="4">
        <v>116115000</v>
      </c>
      <c r="H15" s="4">
        <v>1663000</v>
      </c>
      <c r="I15" s="4">
        <v>12878050</v>
      </c>
      <c r="J15" s="4">
        <v>1012500</v>
      </c>
      <c r="K15" s="4">
        <v>23507914.999999996</v>
      </c>
      <c r="L15" s="4">
        <v>10372212</v>
      </c>
      <c r="M15" s="4">
        <v>1302980</v>
      </c>
      <c r="N15" s="4">
        <v>3486752</v>
      </c>
      <c r="O15" s="4">
        <v>429210</v>
      </c>
      <c r="P15" s="4">
        <v>470790</v>
      </c>
      <c r="Q15" s="4">
        <v>27082500</v>
      </c>
      <c r="R15" s="4">
        <v>7121810</v>
      </c>
      <c r="S15" s="4">
        <v>5644007</v>
      </c>
      <c r="T15" s="4">
        <v>20916875</v>
      </c>
      <c r="U15" s="4">
        <v>2560525</v>
      </c>
      <c r="V15" s="4">
        <v>4774950</v>
      </c>
      <c r="W15" s="4">
        <v>1822363</v>
      </c>
      <c r="X15" s="4">
        <v>1374750</v>
      </c>
      <c r="Y15" s="4">
        <v>1803840</v>
      </c>
      <c r="Z15" s="4">
        <v>2300803</v>
      </c>
      <c r="AA15" s="4">
        <v>7483750</v>
      </c>
      <c r="AB15" s="4">
        <v>2343750</v>
      </c>
      <c r="AC15" s="4">
        <v>16316247</v>
      </c>
      <c r="AD15" s="4">
        <v>1050000</v>
      </c>
      <c r="AE15" s="4">
        <v>81480000</v>
      </c>
      <c r="AF15" s="4">
        <v>1360000</v>
      </c>
      <c r="AG15" s="4">
        <v>93746588.676477998</v>
      </c>
      <c r="AH15" s="4">
        <f>(+P15+C15+'Stock Prices'!H16*'Daily Position'!$H$4+'Stock Prices'!E16*'Daily Position'!$H$28+'Stock Prices'!F16*'Daily Position'!$H$29+'Stock Prices'!K16*'Daily Position'!$H$31)/0.6*0.3612</f>
        <v>7589777.6129987463</v>
      </c>
      <c r="AI15" s="138"/>
    </row>
    <row r="16" spans="1:35" x14ac:dyDescent="0.3">
      <c r="A16" s="256">
        <v>36755</v>
      </c>
      <c r="B16" s="4">
        <v>1250000</v>
      </c>
      <c r="C16" s="4">
        <v>4563600</v>
      </c>
      <c r="D16" s="4">
        <v>2136334</v>
      </c>
      <c r="E16" s="4">
        <v>429975</v>
      </c>
      <c r="F16" s="4">
        <v>12500000</v>
      </c>
      <c r="G16" s="4">
        <v>116115000</v>
      </c>
      <c r="H16" s="4">
        <v>1663000</v>
      </c>
      <c r="I16" s="4">
        <v>12878050</v>
      </c>
      <c r="J16" s="4">
        <v>1012500</v>
      </c>
      <c r="K16" s="4">
        <v>23507914.999999996</v>
      </c>
      <c r="L16" s="4">
        <v>10372212</v>
      </c>
      <c r="M16" s="4">
        <v>1302980</v>
      </c>
      <c r="N16" s="4">
        <v>3486752</v>
      </c>
      <c r="O16" s="4">
        <v>429210</v>
      </c>
      <c r="P16" s="4">
        <v>470790</v>
      </c>
      <c r="Q16" s="4">
        <v>27082500</v>
      </c>
      <c r="R16" s="4">
        <v>7121810</v>
      </c>
      <c r="S16" s="4">
        <v>5644007</v>
      </c>
      <c r="T16" s="4">
        <v>20916875</v>
      </c>
      <c r="U16" s="4">
        <v>2560525</v>
      </c>
      <c r="V16" s="4">
        <v>4774950</v>
      </c>
      <c r="W16" s="4">
        <v>1822363</v>
      </c>
      <c r="X16" s="4">
        <v>1374750</v>
      </c>
      <c r="Y16" s="4">
        <v>1803840</v>
      </c>
      <c r="Z16" s="4">
        <v>2300803</v>
      </c>
      <c r="AA16" s="4">
        <v>7483750</v>
      </c>
      <c r="AB16" s="4">
        <v>2343750</v>
      </c>
      <c r="AC16" s="4">
        <v>16316247</v>
      </c>
      <c r="AD16" s="4">
        <v>1050000</v>
      </c>
      <c r="AE16" s="4">
        <v>81480000</v>
      </c>
      <c r="AF16" s="4">
        <v>1360000</v>
      </c>
      <c r="AG16" s="4">
        <v>93746588.676477998</v>
      </c>
      <c r="AH16" s="4">
        <f>(+P16+C16+'Stock Prices'!H17*'Daily Position'!$H$4+'Stock Prices'!E17*'Daily Position'!$H$28+'Stock Prices'!F17*'Daily Position'!$H$29+'Stock Prices'!K17*'Daily Position'!$H$31)/0.6*0.3612</f>
        <v>7678466.0108692711</v>
      </c>
      <c r="AI16" s="138"/>
    </row>
    <row r="17" spans="1:35" x14ac:dyDescent="0.3">
      <c r="A17" s="256">
        <v>36756</v>
      </c>
      <c r="B17" s="4">
        <v>1250000</v>
      </c>
      <c r="C17" s="4">
        <v>4563600</v>
      </c>
      <c r="D17" s="4">
        <v>2136334</v>
      </c>
      <c r="E17" s="4">
        <v>429975</v>
      </c>
      <c r="F17" s="4">
        <v>12500000</v>
      </c>
      <c r="G17" s="4">
        <v>116115000</v>
      </c>
      <c r="H17" s="4">
        <v>1663000</v>
      </c>
      <c r="I17" s="4">
        <v>12878050</v>
      </c>
      <c r="J17" s="4">
        <v>1012500</v>
      </c>
      <c r="K17" s="4">
        <v>23507914.999999996</v>
      </c>
      <c r="L17" s="4">
        <v>10372212</v>
      </c>
      <c r="M17" s="4">
        <v>1302980</v>
      </c>
      <c r="N17" s="4">
        <v>3486752</v>
      </c>
      <c r="O17" s="4">
        <v>429210</v>
      </c>
      <c r="P17" s="4">
        <v>470790</v>
      </c>
      <c r="Q17" s="4">
        <v>27082500</v>
      </c>
      <c r="R17" s="4">
        <v>7121810</v>
      </c>
      <c r="S17" s="4">
        <v>5644007</v>
      </c>
      <c r="T17" s="4">
        <v>20916875</v>
      </c>
      <c r="U17" s="4">
        <v>2560525</v>
      </c>
      <c r="V17" s="4">
        <v>4774950</v>
      </c>
      <c r="W17" s="4">
        <v>1822363</v>
      </c>
      <c r="X17" s="4">
        <v>1374750</v>
      </c>
      <c r="Y17" s="4">
        <v>1803840</v>
      </c>
      <c r="Z17" s="4">
        <v>2300803</v>
      </c>
      <c r="AA17" s="4">
        <v>7483750</v>
      </c>
      <c r="AB17" s="4">
        <v>2343750</v>
      </c>
      <c r="AC17" s="4">
        <v>16316247</v>
      </c>
      <c r="AD17" s="4">
        <v>1050000</v>
      </c>
      <c r="AE17" s="4">
        <v>81480000</v>
      </c>
      <c r="AF17" s="4">
        <v>1360000</v>
      </c>
      <c r="AG17" s="4">
        <v>93746588.676477998</v>
      </c>
      <c r="AH17" s="4">
        <f>(+P17+C17+'Stock Prices'!H18*'Daily Position'!$H$4+'Stock Prices'!E18*'Daily Position'!$H$28+'Stock Prices'!F18*'Daily Position'!$H$29+'Stock Prices'!K18*'Daily Position'!$H$31)/0.6*0.3612</f>
        <v>7679632.9722745679</v>
      </c>
      <c r="AI17" s="138"/>
    </row>
    <row r="18" spans="1:35" x14ac:dyDescent="0.3">
      <c r="A18" s="256">
        <v>36759</v>
      </c>
      <c r="B18" s="4">
        <v>1250000</v>
      </c>
      <c r="C18" s="4">
        <v>4563600</v>
      </c>
      <c r="D18" s="4">
        <v>2136334</v>
      </c>
      <c r="E18" s="4">
        <v>429975</v>
      </c>
      <c r="F18" s="4">
        <v>12500000</v>
      </c>
      <c r="G18" s="4">
        <v>116115000</v>
      </c>
      <c r="H18" s="4">
        <v>1663000</v>
      </c>
      <c r="I18" s="4">
        <v>12878050</v>
      </c>
      <c r="J18" s="4">
        <v>1012500</v>
      </c>
      <c r="K18" s="4">
        <v>23507914.999999996</v>
      </c>
      <c r="L18" s="4">
        <v>10372212</v>
      </c>
      <c r="M18" s="4">
        <v>1302980</v>
      </c>
      <c r="N18" s="4">
        <v>3486752</v>
      </c>
      <c r="O18" s="4">
        <v>429210</v>
      </c>
      <c r="P18" s="4">
        <v>470790</v>
      </c>
      <c r="Q18" s="4">
        <v>27082500</v>
      </c>
      <c r="R18" s="4">
        <v>7121810</v>
      </c>
      <c r="S18" s="4">
        <v>5644007</v>
      </c>
      <c r="T18" s="4">
        <v>20916875</v>
      </c>
      <c r="U18" s="4">
        <v>2560525</v>
      </c>
      <c r="V18" s="4">
        <v>4774950</v>
      </c>
      <c r="W18" s="4">
        <v>1822363</v>
      </c>
      <c r="X18" s="4">
        <v>1374750</v>
      </c>
      <c r="Y18" s="4">
        <v>1803840</v>
      </c>
      <c r="Z18" s="4">
        <v>2300803</v>
      </c>
      <c r="AA18" s="4">
        <v>7483750</v>
      </c>
      <c r="AB18" s="4">
        <v>2343750</v>
      </c>
      <c r="AC18" s="4">
        <v>16316247</v>
      </c>
      <c r="AD18" s="4">
        <v>1050000</v>
      </c>
      <c r="AE18" s="4">
        <v>81480000</v>
      </c>
      <c r="AF18" s="4">
        <v>1360000</v>
      </c>
      <c r="AG18" s="4">
        <v>93746588.676477998</v>
      </c>
      <c r="AH18" s="4">
        <f>(+P18+C18+'Stock Prices'!H19*'Daily Position'!$H$4+'Stock Prices'!E19*'Daily Position'!$H$28+'Stock Prices'!F19*'Daily Position'!$H$29+'Stock Prices'!K19*'Daily Position'!$H$31)/0.6*0.3612</f>
        <v>7884064.5074093426</v>
      </c>
      <c r="AI18" s="138"/>
    </row>
    <row r="19" spans="1:35" x14ac:dyDescent="0.3">
      <c r="A19" s="256">
        <v>36760</v>
      </c>
      <c r="B19" s="4">
        <v>1250000</v>
      </c>
      <c r="C19" s="4">
        <v>4563600</v>
      </c>
      <c r="D19" s="4">
        <v>2136334</v>
      </c>
      <c r="E19" s="4">
        <v>429975</v>
      </c>
      <c r="F19" s="4">
        <v>12500000</v>
      </c>
      <c r="G19" s="4">
        <v>116115000</v>
      </c>
      <c r="H19" s="4">
        <v>1663000</v>
      </c>
      <c r="I19" s="4">
        <v>12878050</v>
      </c>
      <c r="J19" s="4">
        <v>1012500</v>
      </c>
      <c r="K19" s="4">
        <v>23507914.999999996</v>
      </c>
      <c r="L19" s="4">
        <v>10372212</v>
      </c>
      <c r="M19" s="4">
        <v>1302980</v>
      </c>
      <c r="N19" s="4">
        <v>3486752</v>
      </c>
      <c r="O19" s="4">
        <v>429210</v>
      </c>
      <c r="P19" s="4">
        <v>470790</v>
      </c>
      <c r="Q19" s="4">
        <v>27082500</v>
      </c>
      <c r="R19" s="4">
        <v>7121810</v>
      </c>
      <c r="S19" s="4">
        <v>5644007</v>
      </c>
      <c r="T19" s="4">
        <v>20916875</v>
      </c>
      <c r="U19" s="4">
        <v>2560525</v>
      </c>
      <c r="V19" s="4">
        <v>4774950</v>
      </c>
      <c r="W19" s="4">
        <v>1822363</v>
      </c>
      <c r="X19" s="4">
        <v>1374750</v>
      </c>
      <c r="Y19" s="4">
        <v>1803840</v>
      </c>
      <c r="Z19" s="4">
        <v>2300803</v>
      </c>
      <c r="AA19" s="4">
        <v>7483750</v>
      </c>
      <c r="AB19" s="4">
        <v>2343750</v>
      </c>
      <c r="AC19" s="4">
        <v>16316247</v>
      </c>
      <c r="AD19" s="4">
        <v>1050000</v>
      </c>
      <c r="AE19" s="4">
        <v>81480000</v>
      </c>
      <c r="AF19" s="4">
        <v>1360000</v>
      </c>
      <c r="AG19" s="4">
        <v>93746588.676477998</v>
      </c>
      <c r="AH19" s="4">
        <f>(+P19+C19+'Stock Prices'!H20*'Daily Position'!$H$4+'Stock Prices'!E20*'Daily Position'!$H$28+'Stock Prices'!F20*'Daily Position'!$H$29+'Stock Prices'!K20*'Daily Position'!$H$31)/0.6*0.3612</f>
        <v>7978494.0437594904</v>
      </c>
    </row>
    <row r="20" spans="1:35" x14ac:dyDescent="0.3">
      <c r="A20" s="256">
        <v>36761</v>
      </c>
      <c r="B20" s="4">
        <v>1250000</v>
      </c>
      <c r="C20" s="4">
        <v>4563600</v>
      </c>
      <c r="D20" s="4">
        <v>2136334</v>
      </c>
      <c r="E20" s="4">
        <v>429975</v>
      </c>
      <c r="F20" s="4">
        <v>12500000</v>
      </c>
      <c r="G20" s="4">
        <v>116115000</v>
      </c>
      <c r="H20" s="4">
        <v>1663000</v>
      </c>
      <c r="I20" s="4">
        <v>12878050</v>
      </c>
      <c r="J20" s="4">
        <v>1012500</v>
      </c>
      <c r="K20" s="4">
        <v>23507914.999999996</v>
      </c>
      <c r="L20" s="4">
        <v>10372212</v>
      </c>
      <c r="M20" s="4">
        <v>1302980</v>
      </c>
      <c r="N20" s="4">
        <v>3486752</v>
      </c>
      <c r="O20" s="4">
        <v>429210</v>
      </c>
      <c r="P20" s="4">
        <v>470790</v>
      </c>
      <c r="Q20" s="4">
        <v>27082500</v>
      </c>
      <c r="R20" s="4">
        <v>7121810</v>
      </c>
      <c r="S20" s="4">
        <v>5644007</v>
      </c>
      <c r="T20" s="4">
        <v>20916875</v>
      </c>
      <c r="U20" s="4">
        <v>2560525</v>
      </c>
      <c r="V20" s="4">
        <v>4774950</v>
      </c>
      <c r="W20" s="4">
        <v>1822363</v>
      </c>
      <c r="X20" s="4">
        <v>1374750</v>
      </c>
      <c r="Y20" s="4">
        <v>1803840</v>
      </c>
      <c r="Z20" s="4">
        <v>2300803</v>
      </c>
      <c r="AA20" s="4">
        <v>7483750</v>
      </c>
      <c r="AB20" s="4">
        <v>2343750</v>
      </c>
      <c r="AC20" s="4">
        <v>16316247</v>
      </c>
      <c r="AD20" s="4">
        <v>1050000</v>
      </c>
      <c r="AE20" s="4">
        <v>81480000</v>
      </c>
      <c r="AF20" s="4">
        <v>1360000</v>
      </c>
      <c r="AG20" s="4">
        <v>93746588.676477998</v>
      </c>
      <c r="AH20" s="4">
        <f>(+P20+C20+'Stock Prices'!H21*'Daily Position'!$H$4+'Stock Prices'!E21*'Daily Position'!$H$28+'Stock Prices'!F21*'Daily Position'!$H$29+'Stock Prices'!K21*'Daily Position'!$H$31)/0.6*0.3612</f>
        <v>7963994.1778202429</v>
      </c>
    </row>
    <row r="21" spans="1:35" x14ac:dyDescent="0.3">
      <c r="A21" s="256">
        <v>36762</v>
      </c>
      <c r="B21" s="4">
        <v>1250000</v>
      </c>
      <c r="C21" s="4">
        <v>4563600</v>
      </c>
      <c r="D21" s="4">
        <v>2136334</v>
      </c>
      <c r="E21" s="4">
        <v>429975</v>
      </c>
      <c r="F21" s="4">
        <v>12500000</v>
      </c>
      <c r="G21" s="4">
        <v>116115000</v>
      </c>
      <c r="H21" s="4">
        <v>1663000</v>
      </c>
      <c r="I21" s="4">
        <v>12878050</v>
      </c>
      <c r="J21" s="4">
        <v>1012500</v>
      </c>
      <c r="K21" s="4">
        <v>23507914.999999996</v>
      </c>
      <c r="L21" s="4">
        <v>10372212</v>
      </c>
      <c r="M21" s="4">
        <v>1302980</v>
      </c>
      <c r="N21" s="4">
        <v>3486752</v>
      </c>
      <c r="O21" s="4">
        <v>429210</v>
      </c>
      <c r="P21" s="4">
        <v>470790</v>
      </c>
      <c r="Q21" s="4">
        <v>27082500</v>
      </c>
      <c r="R21" s="4">
        <v>7121810</v>
      </c>
      <c r="S21" s="4">
        <v>5644007</v>
      </c>
      <c r="T21" s="4">
        <v>20916875</v>
      </c>
      <c r="U21" s="4">
        <v>2560525</v>
      </c>
      <c r="V21" s="4">
        <v>4774950</v>
      </c>
      <c r="W21" s="4">
        <v>1822363</v>
      </c>
      <c r="X21" s="4">
        <v>1374750</v>
      </c>
      <c r="Y21" s="4">
        <v>1803840</v>
      </c>
      <c r="Z21" s="4">
        <v>2300803</v>
      </c>
      <c r="AA21" s="4">
        <v>7483750</v>
      </c>
      <c r="AB21" s="4">
        <v>2343750</v>
      </c>
      <c r="AC21" s="4">
        <v>16316247</v>
      </c>
      <c r="AD21" s="4">
        <v>1050000</v>
      </c>
      <c r="AE21" s="4">
        <v>81480000</v>
      </c>
      <c r="AF21" s="4">
        <v>1360000</v>
      </c>
      <c r="AG21" s="4">
        <v>93746588.676477998</v>
      </c>
      <c r="AH21" s="4">
        <f>(+P21+C21+'Stock Prices'!H22*'Daily Position'!$H$4+'Stock Prices'!E22*'Daily Position'!$H$28+'Stock Prices'!F22*'Daily Position'!$H$29+'Stock Prices'!K22*'Daily Position'!$H$31)/0.6*0.3612</f>
        <v>7939636.0084839938</v>
      </c>
    </row>
    <row r="22" spans="1:35" x14ac:dyDescent="0.3">
      <c r="A22" s="256">
        <v>36763</v>
      </c>
      <c r="B22" s="4">
        <v>1250000</v>
      </c>
      <c r="C22" s="4">
        <v>4563600</v>
      </c>
      <c r="D22" s="4">
        <v>2136334</v>
      </c>
      <c r="E22" s="4">
        <v>429975</v>
      </c>
      <c r="F22" s="4">
        <v>12500000</v>
      </c>
      <c r="G22" s="4">
        <v>116115000</v>
      </c>
      <c r="H22" s="4">
        <v>1663000</v>
      </c>
      <c r="I22" s="4">
        <v>12878050</v>
      </c>
      <c r="J22" s="4">
        <v>1012500</v>
      </c>
      <c r="K22" s="4">
        <v>23507914.999999996</v>
      </c>
      <c r="L22" s="4">
        <v>10372212</v>
      </c>
      <c r="M22" s="4">
        <v>1302980</v>
      </c>
      <c r="N22" s="4">
        <v>3486752</v>
      </c>
      <c r="O22" s="4">
        <v>429210</v>
      </c>
      <c r="P22" s="4">
        <v>470790</v>
      </c>
      <c r="Q22" s="4">
        <v>27082500</v>
      </c>
      <c r="R22" s="4">
        <v>7121810</v>
      </c>
      <c r="S22" s="4">
        <v>5644007</v>
      </c>
      <c r="T22" s="4">
        <v>20916875</v>
      </c>
      <c r="U22" s="4">
        <v>2560525</v>
      </c>
      <c r="V22" s="4">
        <v>4774950</v>
      </c>
      <c r="W22" s="4">
        <v>1822363</v>
      </c>
      <c r="X22" s="4">
        <v>1374750</v>
      </c>
      <c r="Y22" s="4">
        <v>1803840</v>
      </c>
      <c r="Z22" s="4">
        <v>2300803</v>
      </c>
      <c r="AA22" s="4">
        <v>7483750</v>
      </c>
      <c r="AB22" s="4">
        <v>2343750</v>
      </c>
      <c r="AC22" s="4">
        <v>16316247</v>
      </c>
      <c r="AD22" s="4">
        <v>1050000</v>
      </c>
      <c r="AE22" s="4">
        <v>81480000</v>
      </c>
      <c r="AF22" s="4">
        <v>1360000</v>
      </c>
      <c r="AG22" s="4">
        <v>93746588.676477998</v>
      </c>
      <c r="AH22" s="4">
        <f>(+P22+C22+'Stock Prices'!H23*'Daily Position'!$H$4+'Stock Prices'!E23*'Daily Position'!$H$28+'Stock Prices'!F23*'Daily Position'!$H$29+'Stock Prices'!K23*'Daily Position'!$H$31)/0.6*0.3612</f>
        <v>7914166.4943286357</v>
      </c>
    </row>
    <row r="23" spans="1:35" x14ac:dyDescent="0.3">
      <c r="A23" s="256">
        <v>36766</v>
      </c>
      <c r="B23" s="4">
        <v>1250000</v>
      </c>
      <c r="C23" s="4">
        <v>4563600</v>
      </c>
      <c r="D23" s="4">
        <v>2136334</v>
      </c>
      <c r="E23" s="4">
        <v>429975</v>
      </c>
      <c r="F23" s="4">
        <v>12500000</v>
      </c>
      <c r="G23" s="4">
        <v>116115000</v>
      </c>
      <c r="H23" s="4">
        <v>1663000</v>
      </c>
      <c r="I23" s="4">
        <v>12878050</v>
      </c>
      <c r="J23" s="4">
        <v>1012500</v>
      </c>
      <c r="K23" s="4">
        <v>23507914.999999996</v>
      </c>
      <c r="L23" s="4">
        <v>10372212</v>
      </c>
      <c r="M23" s="4">
        <v>1302980</v>
      </c>
      <c r="N23" s="4">
        <v>3486752</v>
      </c>
      <c r="O23" s="4">
        <v>429210</v>
      </c>
      <c r="P23" s="4">
        <v>470790</v>
      </c>
      <c r="Q23" s="4">
        <v>27082500</v>
      </c>
      <c r="R23" s="4">
        <v>7121810</v>
      </c>
      <c r="S23" s="4">
        <v>5644007</v>
      </c>
      <c r="T23" s="4">
        <v>20916875</v>
      </c>
      <c r="U23" s="4">
        <v>2560525</v>
      </c>
      <c r="V23" s="4">
        <v>4774950</v>
      </c>
      <c r="W23" s="4">
        <v>1822363</v>
      </c>
      <c r="X23" s="4">
        <v>1374750</v>
      </c>
      <c r="Y23" s="4">
        <v>1803840</v>
      </c>
      <c r="Z23" s="4">
        <v>2300803</v>
      </c>
      <c r="AA23" s="4">
        <v>7483750</v>
      </c>
      <c r="AB23" s="4">
        <v>2343750</v>
      </c>
      <c r="AC23" s="4">
        <v>16316247</v>
      </c>
      <c r="AD23" s="4">
        <v>1050000</v>
      </c>
      <c r="AE23" s="4">
        <v>81480000</v>
      </c>
      <c r="AF23" s="4">
        <v>1360000</v>
      </c>
      <c r="AG23" s="4">
        <v>93746588.676477998</v>
      </c>
      <c r="AH23" s="4">
        <f>(+P23+C23+'Stock Prices'!H24*'Daily Position'!$H$4+'Stock Prices'!E24*'Daily Position'!$H$28+'Stock Prices'!F24*'Daily Position'!$H$29+'Stock Prices'!K24*'Daily Position'!$H$31)/0.6*0.3612</f>
        <v>8012561.3421022631</v>
      </c>
    </row>
    <row r="24" spans="1:35" x14ac:dyDescent="0.3">
      <c r="A24" s="256">
        <v>36767</v>
      </c>
      <c r="B24" s="4">
        <v>1250000</v>
      </c>
      <c r="C24" s="4">
        <v>4563600</v>
      </c>
      <c r="D24" s="4">
        <v>2136334</v>
      </c>
      <c r="E24" s="4">
        <v>429975</v>
      </c>
      <c r="F24" s="4">
        <v>12500000</v>
      </c>
      <c r="G24" s="4">
        <v>116115000</v>
      </c>
      <c r="H24" s="4">
        <v>1663000</v>
      </c>
      <c r="I24" s="4">
        <v>12878050</v>
      </c>
      <c r="J24" s="4">
        <v>1012500</v>
      </c>
      <c r="K24" s="4">
        <v>23507914.999999996</v>
      </c>
      <c r="L24" s="4">
        <v>10372212</v>
      </c>
      <c r="M24" s="4">
        <v>1302980</v>
      </c>
      <c r="N24" s="4">
        <v>3486752</v>
      </c>
      <c r="O24" s="4">
        <v>429210</v>
      </c>
      <c r="P24" s="4">
        <v>470790</v>
      </c>
      <c r="Q24" s="4">
        <v>27082500</v>
      </c>
      <c r="R24" s="4">
        <v>7121810</v>
      </c>
      <c r="S24" s="4">
        <v>5644007</v>
      </c>
      <c r="T24" s="4">
        <v>20916875</v>
      </c>
      <c r="U24" s="4">
        <v>2560525</v>
      </c>
      <c r="V24" s="4">
        <v>4774950</v>
      </c>
      <c r="W24" s="4">
        <v>1822363</v>
      </c>
      <c r="X24" s="4">
        <v>1374750</v>
      </c>
      <c r="Y24" s="4">
        <v>1803840</v>
      </c>
      <c r="Z24" s="4">
        <v>2300803</v>
      </c>
      <c r="AA24" s="4">
        <v>7483750</v>
      </c>
      <c r="AB24" s="4">
        <v>2343750</v>
      </c>
      <c r="AC24" s="4">
        <v>16316247</v>
      </c>
      <c r="AD24" s="4">
        <v>1050000</v>
      </c>
      <c r="AE24" s="4">
        <v>81480000</v>
      </c>
      <c r="AF24" s="4">
        <v>1360000</v>
      </c>
      <c r="AG24" s="4">
        <v>93746588.676477998</v>
      </c>
      <c r="AH24" s="4">
        <f>(+P24+C24+'Stock Prices'!H25*'Daily Position'!$H$4+'Stock Prices'!E25*'Daily Position'!$H$28+'Stock Prices'!F25*'Daily Position'!$H$29+'Stock Prices'!K25*'Daily Position'!$H$31)/0.6*0.3612</f>
        <v>8039327.0979289468</v>
      </c>
    </row>
    <row r="25" spans="1:35" x14ac:dyDescent="0.3">
      <c r="A25" s="256">
        <v>36768</v>
      </c>
      <c r="B25" s="4">
        <v>1250000</v>
      </c>
      <c r="C25" s="4">
        <v>4563600</v>
      </c>
      <c r="D25" s="4">
        <v>2136334</v>
      </c>
      <c r="E25" s="4">
        <v>429975</v>
      </c>
      <c r="F25" s="4">
        <v>12500000</v>
      </c>
      <c r="G25" s="4">
        <v>116115000</v>
      </c>
      <c r="H25" s="4">
        <v>1663000</v>
      </c>
      <c r="I25" s="4">
        <v>12878050</v>
      </c>
      <c r="J25" s="4">
        <v>1012500</v>
      </c>
      <c r="K25" s="4">
        <v>23507914.999999996</v>
      </c>
      <c r="L25" s="4">
        <v>10372212</v>
      </c>
      <c r="M25" s="4">
        <v>1302980</v>
      </c>
      <c r="N25" s="4">
        <v>3486752</v>
      </c>
      <c r="O25" s="4">
        <v>429210</v>
      </c>
      <c r="P25" s="4">
        <v>470790</v>
      </c>
      <c r="Q25" s="4">
        <v>27082500</v>
      </c>
      <c r="R25" s="4">
        <v>7121810</v>
      </c>
      <c r="S25" s="4">
        <v>5644007</v>
      </c>
      <c r="T25" s="4">
        <v>20916875</v>
      </c>
      <c r="U25" s="4">
        <v>2560525</v>
      </c>
      <c r="V25" s="4">
        <v>4774950</v>
      </c>
      <c r="W25" s="4">
        <v>1822363</v>
      </c>
      <c r="X25" s="4">
        <v>1374750</v>
      </c>
      <c r="Y25" s="4">
        <v>1803840</v>
      </c>
      <c r="Z25" s="4">
        <v>2300803</v>
      </c>
      <c r="AA25" s="4">
        <v>7483750</v>
      </c>
      <c r="AB25" s="4">
        <v>2343750</v>
      </c>
      <c r="AC25" s="4">
        <v>16316247</v>
      </c>
      <c r="AD25" s="4">
        <v>1050000</v>
      </c>
      <c r="AE25" s="4">
        <v>81480000</v>
      </c>
      <c r="AF25" s="4">
        <v>1360000</v>
      </c>
      <c r="AG25" s="4">
        <v>93746588.676477998</v>
      </c>
      <c r="AH25" s="4">
        <f>(+P25+C25+'Stock Prices'!H26*'Daily Position'!$H$4+'Stock Prices'!E26*'Daily Position'!$H$28+'Stock Prices'!F26*'Daily Position'!$H$29+'Stock Prices'!K26*'Daily Position'!$H$31)/0.6*0.3612</f>
        <v>7955869.867276758</v>
      </c>
    </row>
    <row r="26" spans="1:35" x14ac:dyDescent="0.3">
      <c r="A26" s="256">
        <v>36769</v>
      </c>
      <c r="B26" s="4">
        <v>1250000</v>
      </c>
      <c r="C26" s="4">
        <v>4563600</v>
      </c>
      <c r="D26" s="4">
        <v>2136334</v>
      </c>
      <c r="E26" s="4">
        <v>429975</v>
      </c>
      <c r="F26" s="4">
        <v>12500000</v>
      </c>
      <c r="G26" s="4">
        <v>116115000</v>
      </c>
      <c r="H26" s="4">
        <v>1663000</v>
      </c>
      <c r="I26" s="4">
        <v>12878050</v>
      </c>
      <c r="J26" s="4">
        <v>1012500</v>
      </c>
      <c r="K26" s="4">
        <v>23507914.999999996</v>
      </c>
      <c r="L26" s="4">
        <v>10372212</v>
      </c>
      <c r="M26" s="4">
        <v>1302980</v>
      </c>
      <c r="N26" s="4">
        <v>3486752</v>
      </c>
      <c r="O26" s="4">
        <v>429210</v>
      </c>
      <c r="P26" s="4">
        <v>470790</v>
      </c>
      <c r="Q26" s="4">
        <v>27082500</v>
      </c>
      <c r="R26" s="4">
        <v>7121810</v>
      </c>
      <c r="S26" s="4">
        <v>5644007</v>
      </c>
      <c r="T26" s="4">
        <v>20916875</v>
      </c>
      <c r="U26" s="4">
        <v>2560525</v>
      </c>
      <c r="V26" s="4">
        <v>4774950</v>
      </c>
      <c r="W26" s="4">
        <v>1822363</v>
      </c>
      <c r="X26" s="4">
        <v>1374750</v>
      </c>
      <c r="Y26" s="4">
        <v>1803840</v>
      </c>
      <c r="Z26" s="4">
        <v>2300803</v>
      </c>
      <c r="AA26" s="4">
        <v>7483750</v>
      </c>
      <c r="AB26" s="4">
        <v>2343750</v>
      </c>
      <c r="AC26" s="4">
        <v>16316247</v>
      </c>
      <c r="AD26" s="4">
        <v>1050000</v>
      </c>
      <c r="AE26" s="4">
        <v>81480000</v>
      </c>
      <c r="AF26" s="4">
        <v>1360000</v>
      </c>
      <c r="AG26" s="4">
        <v>93746588.676477998</v>
      </c>
      <c r="AH26" s="4">
        <f>(+P26+C26+'Stock Prices'!H27*'Daily Position'!$H$4+'Stock Prices'!E27*'Daily Position'!$H$28+'Stock Prices'!F27*'Daily Position'!$H$29+'Stock Prices'!K27*'Daily Position'!$H$31)/0.6*0.3612</f>
        <v>7918418.8541880371</v>
      </c>
    </row>
    <row r="27" spans="1:35" x14ac:dyDescent="0.3">
      <c r="A27" s="256">
        <v>36770</v>
      </c>
      <c r="B27" s="4">
        <v>1250000</v>
      </c>
      <c r="C27" s="4">
        <v>4563600</v>
      </c>
      <c r="D27" s="4">
        <v>2136334</v>
      </c>
      <c r="E27" s="4">
        <v>429975</v>
      </c>
      <c r="F27" s="4">
        <v>12500000</v>
      </c>
      <c r="G27" s="4">
        <v>116115000</v>
      </c>
      <c r="H27" s="4">
        <v>1663000</v>
      </c>
      <c r="I27" s="4">
        <v>12878050</v>
      </c>
      <c r="J27" s="4">
        <v>1012500</v>
      </c>
      <c r="K27" s="4">
        <v>23507914.999999996</v>
      </c>
      <c r="L27" s="4">
        <v>10372212</v>
      </c>
      <c r="M27" s="4">
        <v>1302980</v>
      </c>
      <c r="N27" s="4">
        <v>3486752</v>
      </c>
      <c r="O27" s="4">
        <v>429210</v>
      </c>
      <c r="P27" s="4">
        <v>470790</v>
      </c>
      <c r="Q27" s="4">
        <v>27082500</v>
      </c>
      <c r="R27" s="4">
        <v>7121810</v>
      </c>
      <c r="S27" s="4">
        <v>5644007</v>
      </c>
      <c r="T27" s="4">
        <v>20916875</v>
      </c>
      <c r="U27" s="4">
        <v>2560525</v>
      </c>
      <c r="V27" s="4">
        <v>4774950</v>
      </c>
      <c r="W27" s="4">
        <v>1822363</v>
      </c>
      <c r="X27" s="4">
        <v>1374750</v>
      </c>
      <c r="Y27" s="4">
        <v>1803840</v>
      </c>
      <c r="Z27" s="4">
        <v>2300803</v>
      </c>
      <c r="AA27" s="4">
        <v>7483750</v>
      </c>
      <c r="AB27" s="4">
        <v>2343750</v>
      </c>
      <c r="AC27" s="4">
        <v>16316247</v>
      </c>
      <c r="AD27" s="4">
        <v>1050000</v>
      </c>
      <c r="AE27" s="4">
        <v>81480000</v>
      </c>
      <c r="AF27" s="4">
        <v>1360000</v>
      </c>
      <c r="AG27" s="4">
        <v>93746588.676477998</v>
      </c>
      <c r="AH27" s="4">
        <f>(+P27+C27+'Stock Prices'!H28*'Daily Position'!$H$4+'Stock Prices'!E28*'Daily Position'!$H$28+'Stock Prices'!F28*'Daily Position'!$H$29+'Stock Prices'!K28*'Daily Position'!$H$31)/0.6*0.3612</f>
        <v>8068205.5580421966</v>
      </c>
    </row>
    <row r="28" spans="1:35" x14ac:dyDescent="0.3">
      <c r="A28" s="256">
        <v>36774</v>
      </c>
      <c r="B28" s="4">
        <v>1250000</v>
      </c>
      <c r="C28" s="4">
        <v>4563600</v>
      </c>
      <c r="D28" s="4">
        <v>2136334</v>
      </c>
      <c r="E28" s="4">
        <v>429975</v>
      </c>
      <c r="F28" s="4">
        <v>12500000</v>
      </c>
      <c r="G28" s="4">
        <v>116115000</v>
      </c>
      <c r="H28" s="4">
        <v>1663000</v>
      </c>
      <c r="I28" s="4">
        <v>12878050</v>
      </c>
      <c r="J28" s="4">
        <v>1012500</v>
      </c>
      <c r="K28" s="4">
        <v>23507914.999999996</v>
      </c>
      <c r="L28" s="4">
        <v>10372212</v>
      </c>
      <c r="M28" s="4">
        <v>1302980</v>
      </c>
      <c r="N28" s="4">
        <v>3486752</v>
      </c>
      <c r="O28" s="4">
        <v>429210</v>
      </c>
      <c r="P28" s="4">
        <v>470790</v>
      </c>
      <c r="Q28" s="4">
        <v>27082500</v>
      </c>
      <c r="R28" s="4">
        <v>7121810</v>
      </c>
      <c r="S28" s="4">
        <v>5644007</v>
      </c>
      <c r="T28" s="4">
        <v>20916875</v>
      </c>
      <c r="U28" s="4">
        <v>2560525</v>
      </c>
      <c r="V28" s="4">
        <v>4774950</v>
      </c>
      <c r="W28" s="4">
        <v>1822363</v>
      </c>
      <c r="X28" s="4">
        <v>1374750</v>
      </c>
      <c r="Y28" s="4">
        <v>1803840</v>
      </c>
      <c r="Z28" s="4">
        <v>2300803</v>
      </c>
      <c r="AA28" s="4">
        <v>7483750</v>
      </c>
      <c r="AB28" s="4">
        <v>2343750</v>
      </c>
      <c r="AC28" s="4">
        <v>16316247</v>
      </c>
      <c r="AD28" s="4">
        <v>1050000</v>
      </c>
      <c r="AE28" s="4">
        <v>81480000</v>
      </c>
      <c r="AF28" s="4">
        <v>1360000</v>
      </c>
      <c r="AG28" s="4">
        <v>93746588.676477998</v>
      </c>
      <c r="AH28" s="4">
        <f>(+P28+C28+'Stock Prices'!H29*'Daily Position'!$H$4+'Stock Prices'!E29*'Daily Position'!$H$28+'Stock Prices'!F29*'Daily Position'!$H$29+'Stock Prices'!K29*'Daily Position'!$H$31)/0.6*0.3612</f>
        <v>8041950.6123933112</v>
      </c>
    </row>
    <row r="29" spans="1:35" x14ac:dyDescent="0.3">
      <c r="A29" s="256">
        <v>36775</v>
      </c>
      <c r="B29" s="4">
        <v>1250000</v>
      </c>
      <c r="C29" s="4">
        <v>4563600</v>
      </c>
      <c r="D29" s="4">
        <v>2136334</v>
      </c>
      <c r="E29" s="4">
        <v>429975</v>
      </c>
      <c r="F29" s="4">
        <v>12500000</v>
      </c>
      <c r="G29" s="4">
        <v>116115000</v>
      </c>
      <c r="H29" s="4">
        <v>1663000</v>
      </c>
      <c r="I29" s="4">
        <v>12878050</v>
      </c>
      <c r="J29" s="4">
        <v>1012500</v>
      </c>
      <c r="K29" s="4">
        <v>23507914.999999996</v>
      </c>
      <c r="L29" s="4">
        <v>10372212</v>
      </c>
      <c r="M29" s="4">
        <v>1302980</v>
      </c>
      <c r="N29" s="4">
        <v>3486752</v>
      </c>
      <c r="O29" s="4">
        <v>429210</v>
      </c>
      <c r="P29" s="4">
        <v>470790</v>
      </c>
      <c r="Q29" s="4">
        <v>27082500</v>
      </c>
      <c r="R29" s="4">
        <v>7121810</v>
      </c>
      <c r="S29" s="4">
        <v>5644007</v>
      </c>
      <c r="T29" s="4">
        <v>20916875</v>
      </c>
      <c r="U29" s="4">
        <v>2560525</v>
      </c>
      <c r="V29" s="4">
        <v>4774950</v>
      </c>
      <c r="W29" s="4">
        <v>1822363</v>
      </c>
      <c r="X29" s="4">
        <v>1374750</v>
      </c>
      <c r="Y29" s="4">
        <v>1803840</v>
      </c>
      <c r="Z29" s="4">
        <v>2300803</v>
      </c>
      <c r="AA29" s="4">
        <v>7483750</v>
      </c>
      <c r="AB29" s="4">
        <v>2343750</v>
      </c>
      <c r="AC29" s="4">
        <v>16316247</v>
      </c>
      <c r="AD29" s="4">
        <v>1050000</v>
      </c>
      <c r="AE29" s="4">
        <v>81480000</v>
      </c>
      <c r="AF29" s="4">
        <v>1360000</v>
      </c>
      <c r="AG29" s="4">
        <v>93746588.676477998</v>
      </c>
      <c r="AH29" s="4">
        <f>(+P29+C29+'Stock Prices'!H30*'Daily Position'!$H$4+'Stock Prices'!E30*'Daily Position'!$H$28+'Stock Prices'!F30*'Daily Position'!$H$29+'Stock Prices'!K30*'Daily Position'!$H$31)/0.6*0.3612</f>
        <v>7999857.4943882991</v>
      </c>
    </row>
    <row r="30" spans="1:35" x14ac:dyDescent="0.3">
      <c r="A30" s="256">
        <v>36776</v>
      </c>
      <c r="B30" s="4">
        <v>1250000</v>
      </c>
      <c r="C30" s="4">
        <v>4563600</v>
      </c>
      <c r="D30" s="4">
        <v>2136334</v>
      </c>
      <c r="E30" s="4">
        <v>429975</v>
      </c>
      <c r="F30" s="4">
        <v>12500000</v>
      </c>
      <c r="G30" s="4">
        <v>116115000</v>
      </c>
      <c r="H30" s="4">
        <v>1663000</v>
      </c>
      <c r="I30" s="4">
        <v>12878050</v>
      </c>
      <c r="J30" s="4">
        <v>1012500</v>
      </c>
      <c r="K30" s="4">
        <v>23507914.999999996</v>
      </c>
      <c r="L30" s="4">
        <v>10372212</v>
      </c>
      <c r="M30" s="4">
        <v>1302980</v>
      </c>
      <c r="N30" s="4">
        <v>3486752</v>
      </c>
      <c r="O30" s="4">
        <v>429210</v>
      </c>
      <c r="P30" s="4">
        <v>470790</v>
      </c>
      <c r="Q30" s="4">
        <v>27082500</v>
      </c>
      <c r="R30" s="4">
        <v>7121810</v>
      </c>
      <c r="S30" s="4">
        <v>5644007</v>
      </c>
      <c r="T30" s="4">
        <v>20916875</v>
      </c>
      <c r="U30" s="4">
        <v>2560525</v>
      </c>
      <c r="V30" s="4">
        <v>4774950</v>
      </c>
      <c r="W30" s="4">
        <v>1822363</v>
      </c>
      <c r="X30" s="4">
        <v>1374750</v>
      </c>
      <c r="Y30" s="4">
        <v>1803840</v>
      </c>
      <c r="Z30" s="4">
        <v>2300803</v>
      </c>
      <c r="AA30" s="4">
        <v>7483750</v>
      </c>
      <c r="AB30" s="4">
        <v>2343750</v>
      </c>
      <c r="AC30" s="4">
        <v>16316247</v>
      </c>
      <c r="AD30" s="4">
        <v>1050000</v>
      </c>
      <c r="AE30" s="4">
        <v>81480000</v>
      </c>
      <c r="AF30" s="4">
        <v>1360000</v>
      </c>
      <c r="AG30" s="4">
        <v>93746588.676477998</v>
      </c>
      <c r="AH30" s="4">
        <f>(+P30+C30+'Stock Prices'!H31*'Daily Position'!$H$4+'Stock Prices'!E31*'Daily Position'!$H$28+'Stock Prices'!F31*'Daily Position'!$H$29+'Stock Prices'!K31*'Daily Position'!$H$31)/0.6*0.3612</f>
        <v>7889106.9468475962</v>
      </c>
    </row>
    <row r="31" spans="1:35" x14ac:dyDescent="0.3">
      <c r="A31" s="256">
        <v>36777</v>
      </c>
      <c r="B31" s="4">
        <v>1250000</v>
      </c>
      <c r="C31" s="4">
        <v>4563600</v>
      </c>
      <c r="D31" s="4">
        <v>2136334</v>
      </c>
      <c r="E31" s="4">
        <v>429975</v>
      </c>
      <c r="F31" s="4">
        <v>12500000</v>
      </c>
      <c r="G31" s="4">
        <v>116115000</v>
      </c>
      <c r="H31" s="4">
        <v>1663000</v>
      </c>
      <c r="I31" s="4">
        <v>12878050</v>
      </c>
      <c r="J31" s="4">
        <v>1012500</v>
      </c>
      <c r="K31" s="4">
        <v>23507914.999999996</v>
      </c>
      <c r="L31" s="4">
        <v>10372212</v>
      </c>
      <c r="M31" s="4">
        <v>1302980</v>
      </c>
      <c r="N31" s="4">
        <v>3486752</v>
      </c>
      <c r="O31" s="4">
        <v>429210</v>
      </c>
      <c r="P31" s="4">
        <v>470790</v>
      </c>
      <c r="Q31" s="4">
        <v>27082500</v>
      </c>
      <c r="R31" s="4">
        <v>7121810</v>
      </c>
      <c r="S31" s="4">
        <v>5644007</v>
      </c>
      <c r="T31" s="4">
        <v>20916875</v>
      </c>
      <c r="U31" s="4">
        <v>2560525</v>
      </c>
      <c r="V31" s="4">
        <v>4774950</v>
      </c>
      <c r="W31" s="4">
        <v>1822363</v>
      </c>
      <c r="X31" s="4">
        <v>1374750</v>
      </c>
      <c r="Y31" s="4">
        <v>1803840</v>
      </c>
      <c r="Z31" s="4">
        <v>2300803</v>
      </c>
      <c r="AA31" s="4">
        <v>7483750</v>
      </c>
      <c r="AB31" s="4">
        <v>2343750</v>
      </c>
      <c r="AC31" s="4">
        <v>16316247</v>
      </c>
      <c r="AD31" s="4">
        <v>1050000</v>
      </c>
      <c r="AE31" s="4">
        <v>81480000</v>
      </c>
      <c r="AF31" s="4">
        <v>1360000</v>
      </c>
      <c r="AG31" s="4">
        <v>93746588.676477998</v>
      </c>
      <c r="AH31" s="4">
        <f>(+P31+C31+'Stock Prices'!H32*'Daily Position'!$H$4+'Stock Prices'!E32*'Daily Position'!$H$28+'Stock Prices'!F32*'Daily Position'!$H$29+'Stock Prices'!K32*'Daily Position'!$H$31)/0.6*0.3612</f>
        <v>7848589.0523968963</v>
      </c>
    </row>
    <row r="32" spans="1:35" x14ac:dyDescent="0.3">
      <c r="A32" s="256">
        <v>36780</v>
      </c>
      <c r="B32" s="4">
        <v>1250000</v>
      </c>
      <c r="C32" s="4">
        <v>4563600</v>
      </c>
      <c r="D32" s="4">
        <v>2136334</v>
      </c>
      <c r="E32" s="4">
        <v>429975</v>
      </c>
      <c r="F32" s="4">
        <v>12500000</v>
      </c>
      <c r="G32" s="4">
        <v>116115000</v>
      </c>
      <c r="H32" s="4">
        <v>1663000</v>
      </c>
      <c r="I32" s="4">
        <v>12878050</v>
      </c>
      <c r="J32" s="4">
        <v>1012500</v>
      </c>
      <c r="K32" s="4">
        <v>23507914.999999996</v>
      </c>
      <c r="L32" s="4">
        <v>10372212</v>
      </c>
      <c r="M32" s="4">
        <v>1302980</v>
      </c>
      <c r="N32" s="4">
        <v>3486752</v>
      </c>
      <c r="O32" s="4">
        <v>429210</v>
      </c>
      <c r="P32" s="4">
        <v>470790</v>
      </c>
      <c r="Q32" s="4">
        <v>27082500</v>
      </c>
      <c r="R32" s="4">
        <v>7121810</v>
      </c>
      <c r="S32" s="4">
        <v>5644007</v>
      </c>
      <c r="T32" s="4">
        <v>20916875</v>
      </c>
      <c r="U32" s="4">
        <v>2560525</v>
      </c>
      <c r="V32" s="4">
        <v>4774950</v>
      </c>
      <c r="W32" s="4">
        <v>1822363</v>
      </c>
      <c r="X32" s="4">
        <v>1374750</v>
      </c>
      <c r="Y32" s="4">
        <v>1803840</v>
      </c>
      <c r="Z32" s="4">
        <v>2300803</v>
      </c>
      <c r="AA32" s="4">
        <v>7483750</v>
      </c>
      <c r="AB32" s="4">
        <v>2343750</v>
      </c>
      <c r="AC32" s="4">
        <v>16316247</v>
      </c>
      <c r="AD32" s="4">
        <v>1050000</v>
      </c>
      <c r="AE32" s="4">
        <v>81480000</v>
      </c>
      <c r="AF32" s="4">
        <v>1360000</v>
      </c>
      <c r="AG32" s="4">
        <v>93746588.676477998</v>
      </c>
      <c r="AH32" s="4">
        <f>(+P32+C32+'Stock Prices'!H33*'Daily Position'!$H$4+'Stock Prices'!E33*'Daily Position'!$H$28+'Stock Prices'!F33*'Daily Position'!$H$29+'Stock Prices'!K33*'Daily Position'!$H$31)/0.6*0.3612</f>
        <v>7928863.5775729269</v>
      </c>
    </row>
    <row r="33" spans="1:34" x14ac:dyDescent="0.3">
      <c r="A33" s="256">
        <v>36781</v>
      </c>
      <c r="B33" s="4">
        <v>1250000</v>
      </c>
      <c r="C33" s="4">
        <v>4563600</v>
      </c>
      <c r="D33" s="4">
        <v>2136334</v>
      </c>
      <c r="E33" s="4">
        <v>429975</v>
      </c>
      <c r="F33" s="4">
        <v>12500000</v>
      </c>
      <c r="G33" s="4">
        <v>116115000</v>
      </c>
      <c r="H33" s="4">
        <v>1663000</v>
      </c>
      <c r="I33" s="4">
        <v>12878050</v>
      </c>
      <c r="J33" s="4">
        <v>1012500</v>
      </c>
      <c r="K33" s="4">
        <v>23507914.999999996</v>
      </c>
      <c r="L33" s="4">
        <v>10372212</v>
      </c>
      <c r="M33" s="4">
        <v>1302980</v>
      </c>
      <c r="N33" s="4">
        <v>3486752</v>
      </c>
      <c r="O33" s="4">
        <v>429210</v>
      </c>
      <c r="P33" s="4">
        <v>470790</v>
      </c>
      <c r="Q33" s="4">
        <v>27082500</v>
      </c>
      <c r="R33" s="4">
        <v>7121810</v>
      </c>
      <c r="S33" s="4">
        <v>5644007</v>
      </c>
      <c r="T33" s="4">
        <v>20916875</v>
      </c>
      <c r="U33" s="4">
        <v>2560525</v>
      </c>
      <c r="V33" s="4">
        <v>4774950</v>
      </c>
      <c r="W33" s="4">
        <v>1822363</v>
      </c>
      <c r="X33" s="4">
        <v>1374750</v>
      </c>
      <c r="Y33" s="4">
        <v>1803840</v>
      </c>
      <c r="Z33" s="4">
        <v>2300803</v>
      </c>
      <c r="AA33" s="4">
        <v>7483750</v>
      </c>
      <c r="AB33" s="4">
        <v>2343750</v>
      </c>
      <c r="AC33" s="4">
        <v>16316247</v>
      </c>
      <c r="AD33" s="4">
        <v>1050000</v>
      </c>
      <c r="AE33" s="4">
        <v>81480000</v>
      </c>
      <c r="AF33" s="4">
        <v>1360000</v>
      </c>
      <c r="AG33" s="4">
        <v>93746588.676477998</v>
      </c>
      <c r="AH33" s="4">
        <f>(+P33+C33+'Stock Prices'!H34*'Daily Position'!$H$4+'Stock Prices'!E34*'Daily Position'!$H$28+'Stock Prices'!F34*'Daily Position'!$H$29+'Stock Prices'!K34*'Daily Position'!$H$31)/0.6*0.3612</f>
        <v>7935286.0461356817</v>
      </c>
    </row>
    <row r="34" spans="1:34" x14ac:dyDescent="0.3">
      <c r="A34" s="256">
        <v>36782</v>
      </c>
      <c r="B34" s="4">
        <v>1250000</v>
      </c>
      <c r="C34" s="4">
        <v>4563600</v>
      </c>
      <c r="D34" s="4">
        <v>2136334</v>
      </c>
      <c r="E34" s="4">
        <v>429975</v>
      </c>
      <c r="F34" s="4">
        <v>12500000</v>
      </c>
      <c r="G34" s="4">
        <v>116115000</v>
      </c>
      <c r="H34" s="4">
        <v>1663000</v>
      </c>
      <c r="I34" s="4">
        <v>12878050</v>
      </c>
      <c r="J34" s="4">
        <v>1012500</v>
      </c>
      <c r="K34" s="4">
        <v>23507914.999999996</v>
      </c>
      <c r="L34" s="4">
        <v>10372212</v>
      </c>
      <c r="M34" s="4">
        <v>1302980</v>
      </c>
      <c r="N34" s="4">
        <v>3486752</v>
      </c>
      <c r="O34" s="4">
        <v>429210</v>
      </c>
      <c r="P34" s="4">
        <v>470790</v>
      </c>
      <c r="Q34" s="4">
        <v>27082500</v>
      </c>
      <c r="R34" s="4">
        <v>7121810</v>
      </c>
      <c r="S34" s="4">
        <v>5644007</v>
      </c>
      <c r="T34" s="4">
        <v>20916875</v>
      </c>
      <c r="U34" s="4">
        <v>2560525</v>
      </c>
      <c r="V34" s="4">
        <v>4774950</v>
      </c>
      <c r="W34" s="4">
        <v>1822363</v>
      </c>
      <c r="X34" s="4">
        <v>1374750</v>
      </c>
      <c r="Y34" s="4">
        <v>1803840</v>
      </c>
      <c r="Z34" s="4">
        <v>2300803</v>
      </c>
      <c r="AA34" s="4">
        <v>7483750</v>
      </c>
      <c r="AB34" s="4">
        <v>2343750</v>
      </c>
      <c r="AC34" s="4">
        <v>16316247</v>
      </c>
      <c r="AD34" s="4">
        <v>1050000</v>
      </c>
      <c r="AE34" s="4">
        <v>81480000</v>
      </c>
      <c r="AF34" s="4">
        <v>1360000</v>
      </c>
      <c r="AG34" s="4">
        <v>93746588.676477998</v>
      </c>
      <c r="AH34" s="4">
        <f>(+P34+C34+'Stock Prices'!H35*'Daily Position'!$H$4+'Stock Prices'!E35*'Daily Position'!$H$28+'Stock Prices'!F35*'Daily Position'!$H$29+'Stock Prices'!K35*'Daily Position'!$H$31)/0.6*0.3612</f>
        <v>7831755.4341768678</v>
      </c>
    </row>
    <row r="35" spans="1:34" x14ac:dyDescent="0.3">
      <c r="A35" s="256">
        <v>36783</v>
      </c>
      <c r="B35" s="4">
        <v>1250000</v>
      </c>
      <c r="C35" s="4">
        <v>4563600</v>
      </c>
      <c r="D35" s="4">
        <v>2136334</v>
      </c>
      <c r="E35" s="4">
        <v>429975</v>
      </c>
      <c r="F35" s="4">
        <v>12500000</v>
      </c>
      <c r="G35" s="4">
        <v>116115000</v>
      </c>
      <c r="H35" s="4">
        <v>1663000</v>
      </c>
      <c r="I35" s="4">
        <v>12878050</v>
      </c>
      <c r="J35" s="4">
        <v>1012500</v>
      </c>
      <c r="K35" s="4">
        <v>23507914.999999996</v>
      </c>
      <c r="L35" s="4">
        <v>10372212</v>
      </c>
      <c r="M35" s="4">
        <v>1302980</v>
      </c>
      <c r="N35" s="4">
        <v>3486752</v>
      </c>
      <c r="O35" s="4">
        <v>429210</v>
      </c>
      <c r="P35" s="4">
        <v>470790</v>
      </c>
      <c r="Q35" s="4">
        <v>27082500</v>
      </c>
      <c r="R35" s="4">
        <v>7121810</v>
      </c>
      <c r="S35" s="4">
        <v>5644007</v>
      </c>
      <c r="T35" s="4">
        <v>20916875</v>
      </c>
      <c r="U35" s="4">
        <v>2560525</v>
      </c>
      <c r="V35" s="4">
        <v>4774950</v>
      </c>
      <c r="W35" s="4">
        <v>2340380.6120532257</v>
      </c>
      <c r="X35" s="4">
        <v>1374750</v>
      </c>
      <c r="Y35" s="4">
        <v>2177389.5</v>
      </c>
      <c r="Z35" s="4">
        <v>1927253.5</v>
      </c>
      <c r="AA35" s="4">
        <v>7483750</v>
      </c>
      <c r="AB35" s="4">
        <v>2343750</v>
      </c>
      <c r="AC35" s="4">
        <v>16316247</v>
      </c>
      <c r="AD35" s="4">
        <v>1050000</v>
      </c>
      <c r="AE35" s="4">
        <v>81480000</v>
      </c>
      <c r="AF35" s="4">
        <v>1360000</v>
      </c>
      <c r="AG35" s="4">
        <v>93746588.676477998</v>
      </c>
      <c r="AH35" s="4">
        <v>8181870.9616273884</v>
      </c>
    </row>
    <row r="36" spans="1:34" x14ac:dyDescent="0.3">
      <c r="A36" s="256">
        <v>36784</v>
      </c>
      <c r="B36" s="4">
        <v>1250000</v>
      </c>
      <c r="C36" s="4">
        <v>4563600</v>
      </c>
      <c r="D36" s="4">
        <v>2136334</v>
      </c>
      <c r="E36" s="4">
        <v>429975</v>
      </c>
      <c r="F36" s="4">
        <v>12500000</v>
      </c>
      <c r="G36" s="4">
        <v>116115000</v>
      </c>
      <c r="H36" s="4">
        <v>1663000</v>
      </c>
      <c r="I36" s="4">
        <v>12878050</v>
      </c>
      <c r="J36" s="4">
        <v>1012500</v>
      </c>
      <c r="K36" s="4">
        <v>23507914.999999996</v>
      </c>
      <c r="L36" s="4">
        <v>10372212</v>
      </c>
      <c r="M36" s="4">
        <v>1302980</v>
      </c>
      <c r="N36" s="4">
        <v>3486752</v>
      </c>
      <c r="O36" s="4">
        <v>429210</v>
      </c>
      <c r="P36" s="4">
        <v>470790</v>
      </c>
      <c r="Q36" s="4">
        <v>27082500</v>
      </c>
      <c r="R36" s="4">
        <v>7121810</v>
      </c>
      <c r="S36" s="4">
        <v>5644007</v>
      </c>
      <c r="T36" s="4">
        <v>20916875</v>
      </c>
      <c r="U36" s="4">
        <v>2560525</v>
      </c>
      <c r="V36" s="4">
        <v>4774950</v>
      </c>
      <c r="W36" s="4">
        <v>2345283.662005493</v>
      </c>
      <c r="X36" s="4">
        <v>1374750</v>
      </c>
      <c r="Y36" s="4">
        <v>2177389.5</v>
      </c>
      <c r="Z36" s="4">
        <v>1927253.5</v>
      </c>
      <c r="AA36" s="4">
        <v>7483750</v>
      </c>
      <c r="AB36" s="4">
        <v>2343750</v>
      </c>
      <c r="AC36" s="4">
        <v>16316247</v>
      </c>
      <c r="AD36" s="4">
        <v>1050000</v>
      </c>
      <c r="AE36" s="4">
        <v>81480000</v>
      </c>
      <c r="AF36" s="4">
        <v>1360000</v>
      </c>
      <c r="AG36" s="4">
        <v>93746588.676477998</v>
      </c>
      <c r="AH36" s="4">
        <v>8311096.1479159668</v>
      </c>
    </row>
    <row r="37" spans="1:34" x14ac:dyDescent="0.3">
      <c r="A37" s="256">
        <v>36787</v>
      </c>
      <c r="B37" s="4">
        <v>1250000</v>
      </c>
      <c r="C37" s="4">
        <v>4563600</v>
      </c>
      <c r="D37" s="4">
        <v>2136334</v>
      </c>
      <c r="E37" s="4">
        <v>429975</v>
      </c>
      <c r="F37" s="4">
        <v>12500000</v>
      </c>
      <c r="G37" s="4">
        <v>116115000</v>
      </c>
      <c r="H37" s="4">
        <v>1663000</v>
      </c>
      <c r="I37" s="4">
        <v>12878050</v>
      </c>
      <c r="J37" s="4">
        <v>1012500</v>
      </c>
      <c r="K37" s="4">
        <v>23507914.999999996</v>
      </c>
      <c r="L37" s="4">
        <v>10372212</v>
      </c>
      <c r="M37" s="4">
        <v>1302980</v>
      </c>
      <c r="N37" s="4">
        <v>3486752</v>
      </c>
      <c r="O37" s="4">
        <v>429210</v>
      </c>
      <c r="P37" s="4">
        <v>470790</v>
      </c>
      <c r="Q37" s="4">
        <v>27082500</v>
      </c>
      <c r="R37" s="4">
        <v>7121810</v>
      </c>
      <c r="S37" s="4">
        <v>5644007</v>
      </c>
      <c r="T37" s="4">
        <v>20916875</v>
      </c>
      <c r="U37" s="4">
        <v>2560525</v>
      </c>
      <c r="V37" s="4">
        <v>4774950</v>
      </c>
      <c r="W37" s="4">
        <v>2354608.7512366064</v>
      </c>
      <c r="X37" s="4">
        <v>1374750</v>
      </c>
      <c r="Y37" s="4">
        <v>2177389.5</v>
      </c>
      <c r="Z37" s="4">
        <v>1927253.5</v>
      </c>
      <c r="AA37" s="4">
        <v>7483750</v>
      </c>
      <c r="AB37" s="4">
        <v>2343750</v>
      </c>
      <c r="AC37" s="4">
        <v>16316247</v>
      </c>
      <c r="AD37" s="4">
        <v>1050000</v>
      </c>
      <c r="AE37" s="4">
        <v>81480000</v>
      </c>
      <c r="AF37" s="4">
        <v>1360000</v>
      </c>
      <c r="AG37" s="4">
        <v>93746588.676477998</v>
      </c>
      <c r="AH37" s="4">
        <v>8113315.0260063987</v>
      </c>
    </row>
    <row r="38" spans="1:34" x14ac:dyDescent="0.3">
      <c r="A38" s="256">
        <v>36788</v>
      </c>
      <c r="B38" s="4">
        <v>1250000</v>
      </c>
      <c r="C38" s="4">
        <v>4563600</v>
      </c>
      <c r="D38" s="4">
        <v>2136334</v>
      </c>
      <c r="E38" s="4">
        <v>429975</v>
      </c>
      <c r="F38" s="4">
        <v>12500000</v>
      </c>
      <c r="G38" s="4">
        <v>116115000</v>
      </c>
      <c r="H38" s="4">
        <v>1663000</v>
      </c>
      <c r="I38" s="4">
        <v>12878050</v>
      </c>
      <c r="J38" s="4">
        <v>1012500</v>
      </c>
      <c r="K38" s="4">
        <v>23507914.999999996</v>
      </c>
      <c r="L38" s="4">
        <v>10372212</v>
      </c>
      <c r="M38" s="4">
        <v>1302980</v>
      </c>
      <c r="N38" s="4">
        <v>3486752</v>
      </c>
      <c r="O38" s="4">
        <v>429210</v>
      </c>
      <c r="P38" s="4">
        <v>470790</v>
      </c>
      <c r="Q38" s="4">
        <v>27082500</v>
      </c>
      <c r="R38" s="4">
        <v>7121810</v>
      </c>
      <c r="S38" s="4">
        <v>5644007</v>
      </c>
      <c r="T38" s="4">
        <v>20916875</v>
      </c>
      <c r="U38" s="4">
        <v>2560525</v>
      </c>
      <c r="V38" s="4">
        <v>4774950</v>
      </c>
      <c r="W38" s="4">
        <v>2359001.6518434854</v>
      </c>
      <c r="X38" s="4">
        <v>1374750</v>
      </c>
      <c r="Y38" s="4">
        <v>2177389.5</v>
      </c>
      <c r="Z38" s="4">
        <v>1927253.5</v>
      </c>
      <c r="AA38" s="4">
        <v>7483750</v>
      </c>
      <c r="AB38" s="4">
        <v>2343750</v>
      </c>
      <c r="AC38" s="4">
        <v>16316247</v>
      </c>
      <c r="AD38" s="4">
        <v>1050000</v>
      </c>
      <c r="AE38" s="4">
        <v>81480000</v>
      </c>
      <c r="AF38" s="4">
        <v>1360000</v>
      </c>
      <c r="AG38" s="4">
        <v>93746588.676477998</v>
      </c>
      <c r="AH38" s="4">
        <v>8222498.731563014</v>
      </c>
    </row>
    <row r="39" spans="1:34" x14ac:dyDescent="0.3">
      <c r="A39" s="256">
        <v>36789</v>
      </c>
      <c r="B39" s="4">
        <v>1250000</v>
      </c>
      <c r="C39" s="4">
        <v>4563600</v>
      </c>
      <c r="D39" s="4">
        <v>2136334</v>
      </c>
      <c r="E39" s="4">
        <v>429975</v>
      </c>
      <c r="F39" s="4">
        <v>12500000</v>
      </c>
      <c r="G39" s="4">
        <v>116115000</v>
      </c>
      <c r="H39" s="4">
        <v>1663000</v>
      </c>
      <c r="I39" s="4">
        <v>12878050</v>
      </c>
      <c r="J39" s="4">
        <v>1012500</v>
      </c>
      <c r="K39" s="4">
        <v>23507914.999999996</v>
      </c>
      <c r="L39" s="4">
        <v>10372212</v>
      </c>
      <c r="M39" s="4">
        <v>1302980</v>
      </c>
      <c r="N39" s="4">
        <v>3486752</v>
      </c>
      <c r="O39" s="4">
        <v>429210</v>
      </c>
      <c r="P39" s="4">
        <v>470790</v>
      </c>
      <c r="Q39" s="4">
        <v>27082500</v>
      </c>
      <c r="R39" s="4">
        <v>7121810</v>
      </c>
      <c r="S39" s="4">
        <v>5644007</v>
      </c>
      <c r="T39" s="4">
        <v>20916875</v>
      </c>
      <c r="U39" s="4">
        <v>2560525</v>
      </c>
      <c r="V39" s="4">
        <v>4774950</v>
      </c>
      <c r="W39" s="4">
        <v>2348107.8500882289</v>
      </c>
      <c r="X39" s="4">
        <v>1374750</v>
      </c>
      <c r="Y39" s="4">
        <v>2177389.5</v>
      </c>
      <c r="Z39" s="4">
        <v>1927253.5</v>
      </c>
      <c r="AA39" s="4">
        <v>7483750</v>
      </c>
      <c r="AB39" s="4">
        <v>2343750</v>
      </c>
      <c r="AC39" s="4">
        <v>16316247</v>
      </c>
      <c r="AD39" s="4">
        <v>1050000</v>
      </c>
      <c r="AE39" s="4">
        <v>81480000</v>
      </c>
      <c r="AF39" s="4">
        <v>1360000</v>
      </c>
      <c r="AG39" s="4">
        <v>93746588.676477998</v>
      </c>
      <c r="AH39" s="4">
        <v>8299504.8249137839</v>
      </c>
    </row>
    <row r="40" spans="1:34" x14ac:dyDescent="0.3">
      <c r="A40" s="256">
        <v>36790</v>
      </c>
      <c r="B40" s="4">
        <v>1250000</v>
      </c>
      <c r="C40" s="4">
        <v>4563600</v>
      </c>
      <c r="D40" s="4">
        <v>2136334</v>
      </c>
      <c r="E40" s="4">
        <v>429975</v>
      </c>
      <c r="F40" s="4">
        <v>12500000</v>
      </c>
      <c r="G40" s="4">
        <v>116115000</v>
      </c>
      <c r="H40" s="4">
        <v>1663000</v>
      </c>
      <c r="I40" s="4">
        <v>12878050</v>
      </c>
      <c r="J40" s="4">
        <v>1012500</v>
      </c>
      <c r="K40" s="4">
        <v>23507914.999999996</v>
      </c>
      <c r="L40" s="4">
        <v>10372212</v>
      </c>
      <c r="M40" s="4">
        <v>1302980</v>
      </c>
      <c r="N40" s="4">
        <v>3486752</v>
      </c>
      <c r="O40" s="4">
        <v>429210</v>
      </c>
      <c r="P40" s="4">
        <v>470790</v>
      </c>
      <c r="Q40" s="4">
        <v>27082500</v>
      </c>
      <c r="R40" s="4">
        <v>7121810</v>
      </c>
      <c r="S40" s="4">
        <v>5644007</v>
      </c>
      <c r="T40" s="4">
        <v>20916875</v>
      </c>
      <c r="U40" s="4">
        <v>2560525</v>
      </c>
      <c r="V40" s="4">
        <v>4774950</v>
      </c>
      <c r="W40" s="4">
        <v>2352511.5851241974</v>
      </c>
      <c r="X40" s="4">
        <v>1374750</v>
      </c>
      <c r="Y40" s="4">
        <v>2177389.5</v>
      </c>
      <c r="Z40" s="4">
        <v>1927253.5</v>
      </c>
      <c r="AA40" s="4">
        <v>7483750</v>
      </c>
      <c r="AB40" s="4">
        <v>2343750</v>
      </c>
      <c r="AC40" s="4">
        <v>16316247</v>
      </c>
      <c r="AD40" s="4">
        <v>1050000</v>
      </c>
      <c r="AE40" s="4">
        <v>81480000</v>
      </c>
      <c r="AF40" s="4">
        <v>1360000</v>
      </c>
      <c r="AG40" s="4">
        <v>93746588.676477998</v>
      </c>
      <c r="AH40" s="4">
        <v>8175747.0342703043</v>
      </c>
    </row>
    <row r="41" spans="1:34" x14ac:dyDescent="0.3">
      <c r="A41" s="256">
        <v>36791</v>
      </c>
      <c r="B41" s="4">
        <v>1250000</v>
      </c>
      <c r="C41" s="4">
        <v>4563600</v>
      </c>
      <c r="D41" s="4">
        <v>2136334</v>
      </c>
      <c r="E41" s="4">
        <v>429975</v>
      </c>
      <c r="F41" s="4">
        <v>12500000</v>
      </c>
      <c r="G41" s="4">
        <v>116115000</v>
      </c>
      <c r="H41" s="4">
        <v>1663000</v>
      </c>
      <c r="I41" s="4">
        <v>12878050</v>
      </c>
      <c r="J41" s="4">
        <v>1012500</v>
      </c>
      <c r="K41" s="4">
        <v>23507914.999999996</v>
      </c>
      <c r="L41" s="4">
        <v>10372212</v>
      </c>
      <c r="M41" s="4">
        <v>1302980</v>
      </c>
      <c r="N41" s="4">
        <v>3486752</v>
      </c>
      <c r="O41" s="4">
        <v>429210</v>
      </c>
      <c r="P41" s="4">
        <v>470790</v>
      </c>
      <c r="Q41" s="4">
        <v>27082500</v>
      </c>
      <c r="R41" s="4">
        <v>7121810</v>
      </c>
      <c r="S41" s="4">
        <v>5644007</v>
      </c>
      <c r="T41" s="4">
        <v>20916875</v>
      </c>
      <c r="U41" s="4">
        <v>2560525</v>
      </c>
      <c r="V41" s="4">
        <v>4774950</v>
      </c>
      <c r="W41" s="4">
        <v>2353293.0395529605</v>
      </c>
      <c r="X41" s="4">
        <v>1374750</v>
      </c>
      <c r="Y41" s="4">
        <v>2300803</v>
      </c>
      <c r="Z41" s="4">
        <v>1803840</v>
      </c>
      <c r="AA41" s="4">
        <v>7483750</v>
      </c>
      <c r="AB41" s="4">
        <v>2343750</v>
      </c>
      <c r="AC41" s="4">
        <v>16316247</v>
      </c>
      <c r="AD41" s="4">
        <v>1050000</v>
      </c>
      <c r="AE41" s="4">
        <v>81480000</v>
      </c>
      <c r="AF41" s="4">
        <v>1360000</v>
      </c>
      <c r="AG41" s="4">
        <v>93746588.676477998</v>
      </c>
      <c r="AH41" s="4">
        <v>8324555.2906789985</v>
      </c>
    </row>
    <row r="42" spans="1:34" x14ac:dyDescent="0.3">
      <c r="A42" s="256">
        <v>36794</v>
      </c>
      <c r="B42" s="4">
        <v>1250000</v>
      </c>
      <c r="C42" s="4">
        <v>4563600</v>
      </c>
      <c r="D42" s="4">
        <v>2136334</v>
      </c>
      <c r="E42" s="4">
        <v>429975</v>
      </c>
      <c r="F42" s="4">
        <v>12500000</v>
      </c>
      <c r="G42" s="4">
        <v>116115000</v>
      </c>
      <c r="H42" s="4">
        <v>1663000</v>
      </c>
      <c r="I42" s="4">
        <v>12878050</v>
      </c>
      <c r="J42" s="4">
        <v>1012500</v>
      </c>
      <c r="K42" s="4">
        <v>23507914.999999996</v>
      </c>
      <c r="L42" s="4">
        <v>10372212</v>
      </c>
      <c r="M42" s="4">
        <v>1302980</v>
      </c>
      <c r="N42" s="4">
        <v>3486752</v>
      </c>
      <c r="O42" s="4">
        <v>429210</v>
      </c>
      <c r="P42" s="4">
        <v>470790</v>
      </c>
      <c r="Q42" s="4">
        <v>27082500</v>
      </c>
      <c r="R42" s="4">
        <v>7121810</v>
      </c>
      <c r="S42" s="4">
        <v>5644007</v>
      </c>
      <c r="T42" s="4">
        <v>20916875</v>
      </c>
      <c r="U42" s="4">
        <v>2560525</v>
      </c>
      <c r="V42" s="4">
        <v>4774950</v>
      </c>
      <c r="W42" s="4">
        <v>1699096.7853972565</v>
      </c>
      <c r="X42" s="4">
        <v>1374750</v>
      </c>
      <c r="Y42" s="4">
        <v>2300803</v>
      </c>
      <c r="Z42" s="4">
        <v>1803840</v>
      </c>
      <c r="AA42" s="4">
        <v>7483750</v>
      </c>
      <c r="AB42" s="4">
        <v>2343750</v>
      </c>
      <c r="AC42" s="4">
        <v>16316247</v>
      </c>
      <c r="AD42" s="4">
        <v>1050000</v>
      </c>
      <c r="AE42" s="4">
        <v>81480000</v>
      </c>
      <c r="AF42" s="4">
        <v>1360000</v>
      </c>
      <c r="AG42" s="4">
        <v>93746588.676477998</v>
      </c>
      <c r="AH42" s="4">
        <v>8207201.6639580503</v>
      </c>
    </row>
    <row r="43" spans="1:34" x14ac:dyDescent="0.3">
      <c r="A43" s="256">
        <v>36795</v>
      </c>
      <c r="B43" s="4">
        <v>1250000</v>
      </c>
      <c r="C43" s="4">
        <v>4563600</v>
      </c>
      <c r="D43" s="4">
        <v>2136334</v>
      </c>
      <c r="E43" s="4">
        <v>429975</v>
      </c>
      <c r="F43" s="4">
        <v>12500000</v>
      </c>
      <c r="G43" s="4">
        <v>116115000</v>
      </c>
      <c r="H43" s="4">
        <v>1663000</v>
      </c>
      <c r="I43" s="4">
        <v>12878050</v>
      </c>
      <c r="J43" s="4">
        <v>1012500</v>
      </c>
      <c r="K43" s="4">
        <v>23507914.999999996</v>
      </c>
      <c r="L43" s="4">
        <v>10372212</v>
      </c>
      <c r="M43" s="4">
        <v>1302980</v>
      </c>
      <c r="N43" s="4">
        <v>3486752</v>
      </c>
      <c r="O43" s="4">
        <v>429210</v>
      </c>
      <c r="P43" s="4">
        <v>470790</v>
      </c>
      <c r="Q43" s="4">
        <v>27082500</v>
      </c>
      <c r="R43" s="4">
        <v>7121810</v>
      </c>
      <c r="S43" s="4">
        <v>5644007</v>
      </c>
      <c r="T43" s="4">
        <v>20916875</v>
      </c>
      <c r="U43" s="4">
        <v>2560525</v>
      </c>
      <c r="V43" s="4">
        <v>4774950</v>
      </c>
      <c r="W43" s="4">
        <v>1701579.355056321</v>
      </c>
      <c r="X43" s="4">
        <v>1374750</v>
      </c>
      <c r="Y43" s="4">
        <v>2300803</v>
      </c>
      <c r="Z43" s="4">
        <v>1803840</v>
      </c>
      <c r="AA43" s="4">
        <v>7483750</v>
      </c>
      <c r="AB43" s="4">
        <v>2343750</v>
      </c>
      <c r="AC43" s="4">
        <v>16316247</v>
      </c>
      <c r="AD43" s="4">
        <v>1050000</v>
      </c>
      <c r="AE43" s="4">
        <v>81480000</v>
      </c>
      <c r="AF43" s="4">
        <v>1360000</v>
      </c>
      <c r="AG43" s="4">
        <v>93746588.676477998</v>
      </c>
      <c r="AH43" s="4">
        <v>8178728.1817642581</v>
      </c>
    </row>
    <row r="44" spans="1:34" x14ac:dyDescent="0.3">
      <c r="A44" s="256">
        <v>36796</v>
      </c>
      <c r="B44" s="4">
        <v>1250000</v>
      </c>
      <c r="C44" s="4">
        <v>4563600</v>
      </c>
      <c r="D44" s="4">
        <v>2136334</v>
      </c>
      <c r="E44" s="4">
        <v>429975</v>
      </c>
      <c r="F44" s="4">
        <v>12500000</v>
      </c>
      <c r="G44" s="4">
        <v>116115000</v>
      </c>
      <c r="H44" s="4">
        <v>1663000</v>
      </c>
      <c r="I44" s="4">
        <v>12878050</v>
      </c>
      <c r="J44" s="4">
        <v>1012500</v>
      </c>
      <c r="K44" s="4">
        <v>23507914.999999996</v>
      </c>
      <c r="L44" s="4">
        <v>10372212</v>
      </c>
      <c r="M44" s="4">
        <v>1302980</v>
      </c>
      <c r="N44" s="4">
        <v>3486752</v>
      </c>
      <c r="O44" s="4">
        <v>429210</v>
      </c>
      <c r="P44" s="4">
        <v>470790</v>
      </c>
      <c r="Q44" s="4">
        <v>27082500</v>
      </c>
      <c r="R44" s="4">
        <v>7121810</v>
      </c>
      <c r="S44" s="4">
        <v>5644007</v>
      </c>
      <c r="T44" s="4">
        <v>20916875</v>
      </c>
      <c r="U44" s="4">
        <v>2560525</v>
      </c>
      <c r="V44" s="4">
        <v>4774950</v>
      </c>
      <c r="W44" s="4">
        <v>1702938.2556699589</v>
      </c>
      <c r="X44" s="4">
        <v>1374750</v>
      </c>
      <c r="Y44" s="4">
        <v>2300803</v>
      </c>
      <c r="Z44" s="4">
        <v>1803840</v>
      </c>
      <c r="AA44" s="4">
        <v>7483750</v>
      </c>
      <c r="AB44" s="4">
        <v>2343750</v>
      </c>
      <c r="AC44" s="4">
        <v>16316247</v>
      </c>
      <c r="AD44" s="4">
        <v>1050000</v>
      </c>
      <c r="AE44" s="4">
        <v>81480000</v>
      </c>
      <c r="AF44" s="4">
        <v>1360000</v>
      </c>
      <c r="AG44" s="4">
        <v>93746588.676477998</v>
      </c>
      <c r="AH44" s="4">
        <v>8300164.6548170978</v>
      </c>
    </row>
    <row r="45" spans="1:34" x14ac:dyDescent="0.3">
      <c r="A45" s="256">
        <v>36797</v>
      </c>
      <c r="B45" s="4">
        <v>1250000</v>
      </c>
      <c r="C45" s="4">
        <v>4563600</v>
      </c>
      <c r="D45" s="4">
        <v>2136334</v>
      </c>
      <c r="E45" s="4">
        <v>429975</v>
      </c>
      <c r="F45" s="4">
        <v>12500000</v>
      </c>
      <c r="G45" s="4">
        <v>116115000</v>
      </c>
      <c r="H45" s="4">
        <v>1663000</v>
      </c>
      <c r="I45" s="4">
        <v>12878050</v>
      </c>
      <c r="J45" s="4">
        <v>1012500</v>
      </c>
      <c r="K45" s="4">
        <v>23507914.999999996</v>
      </c>
      <c r="L45" s="4">
        <v>10372212</v>
      </c>
      <c r="M45" s="4">
        <v>1302980</v>
      </c>
      <c r="N45" s="4">
        <v>3486752</v>
      </c>
      <c r="O45" s="4">
        <v>429210</v>
      </c>
      <c r="P45" s="4">
        <v>470790</v>
      </c>
      <c r="Q45" s="4">
        <v>27082500</v>
      </c>
      <c r="R45" s="4">
        <v>7121810</v>
      </c>
      <c r="S45" s="4">
        <v>5644007</v>
      </c>
      <c r="T45" s="4">
        <v>20916875</v>
      </c>
      <c r="U45" s="4">
        <v>2560525</v>
      </c>
      <c r="V45" s="4">
        <v>4774950</v>
      </c>
      <c r="W45" s="4">
        <v>1704238.2804371053</v>
      </c>
      <c r="X45" s="4">
        <v>1374750</v>
      </c>
      <c r="Y45" s="4">
        <v>2300803</v>
      </c>
      <c r="Z45" s="4">
        <v>1803840</v>
      </c>
      <c r="AA45" s="4">
        <v>7483750</v>
      </c>
      <c r="AB45" s="4">
        <v>2343750</v>
      </c>
      <c r="AC45" s="4">
        <v>16316247</v>
      </c>
      <c r="AD45" s="4">
        <v>1050000</v>
      </c>
      <c r="AE45" s="4">
        <v>81480000</v>
      </c>
      <c r="AF45" s="4">
        <v>1360000</v>
      </c>
      <c r="AG45" s="4">
        <v>93746588.676477998</v>
      </c>
      <c r="AH45" s="4">
        <v>8245176.1259276355</v>
      </c>
    </row>
    <row r="46" spans="1:34" x14ac:dyDescent="0.3">
      <c r="A46" s="256">
        <v>36798</v>
      </c>
      <c r="B46" s="4">
        <v>1250000</v>
      </c>
      <c r="C46" s="4">
        <v>4563600</v>
      </c>
      <c r="D46" s="4">
        <v>2136334</v>
      </c>
      <c r="E46" s="4">
        <v>429975</v>
      </c>
      <c r="F46" s="4">
        <v>12500000</v>
      </c>
      <c r="G46" s="4">
        <v>116115000</v>
      </c>
      <c r="H46" s="4">
        <v>1663000</v>
      </c>
      <c r="I46" s="4">
        <v>12878050</v>
      </c>
      <c r="J46" s="4">
        <v>1012500</v>
      </c>
      <c r="K46" s="4">
        <v>23507914.999999996</v>
      </c>
      <c r="L46" s="4">
        <v>10372212</v>
      </c>
      <c r="M46" s="4">
        <v>1302980</v>
      </c>
      <c r="N46" s="4">
        <v>3486752</v>
      </c>
      <c r="O46" s="4">
        <v>429210</v>
      </c>
      <c r="P46" s="4">
        <v>470790</v>
      </c>
      <c r="Q46" s="4">
        <v>27082500</v>
      </c>
      <c r="R46" s="4">
        <v>7121810</v>
      </c>
      <c r="S46" s="4">
        <v>5644007</v>
      </c>
      <c r="T46" s="4">
        <v>20916875</v>
      </c>
      <c r="U46" s="4">
        <v>2560525</v>
      </c>
      <c r="V46" s="4">
        <v>4774950</v>
      </c>
      <c r="W46" s="4">
        <v>2002698.811523003</v>
      </c>
      <c r="X46" s="4">
        <v>1374750</v>
      </c>
      <c r="Y46" s="4">
        <v>1803840</v>
      </c>
      <c r="Z46" s="4">
        <v>2300803</v>
      </c>
      <c r="AA46" s="4">
        <v>7483750</v>
      </c>
      <c r="AB46" s="4">
        <v>2343750</v>
      </c>
      <c r="AC46" s="4">
        <v>16316247</v>
      </c>
      <c r="AD46" s="4">
        <v>1050000</v>
      </c>
      <c r="AE46" s="4">
        <v>81480000</v>
      </c>
      <c r="AF46" s="4">
        <v>1360000</v>
      </c>
      <c r="AG46" s="4">
        <v>93746588.676477998</v>
      </c>
      <c r="AH46" s="4">
        <v>8754483.0367082451</v>
      </c>
    </row>
    <row r="47" spans="1:34" x14ac:dyDescent="0.3">
      <c r="A47" s="256">
        <v>36801</v>
      </c>
      <c r="B47" s="4">
        <v>1250000</v>
      </c>
      <c r="C47" s="4">
        <v>4563600</v>
      </c>
      <c r="D47" s="4">
        <v>2136334</v>
      </c>
      <c r="E47" s="4">
        <v>429975</v>
      </c>
      <c r="F47" s="4">
        <v>12500000</v>
      </c>
      <c r="G47" s="4">
        <v>116115000</v>
      </c>
      <c r="H47" s="4">
        <v>1663000</v>
      </c>
      <c r="I47" s="4">
        <v>12878050</v>
      </c>
      <c r="J47" s="4">
        <v>1012500</v>
      </c>
      <c r="K47" s="4">
        <v>23507914.999999996</v>
      </c>
      <c r="L47" s="4">
        <v>10372212</v>
      </c>
      <c r="M47" s="4">
        <v>1302980</v>
      </c>
      <c r="N47" s="4">
        <v>3486752</v>
      </c>
      <c r="O47" s="4">
        <v>429210</v>
      </c>
      <c r="P47" s="4">
        <v>470790</v>
      </c>
      <c r="Q47" s="4">
        <v>27082500</v>
      </c>
      <c r="R47" s="4">
        <v>7121810</v>
      </c>
      <c r="S47" s="4">
        <v>5644007</v>
      </c>
      <c r="T47" s="4">
        <v>20916875</v>
      </c>
      <c r="U47" s="4">
        <v>2560525</v>
      </c>
      <c r="V47" s="4">
        <v>4774950</v>
      </c>
      <c r="W47" s="4">
        <v>2004958.5071993435</v>
      </c>
      <c r="X47" s="4">
        <v>1374750</v>
      </c>
      <c r="Y47" s="4">
        <v>1803840</v>
      </c>
      <c r="Z47" s="4">
        <v>2300803</v>
      </c>
      <c r="AA47" s="4">
        <v>7483750</v>
      </c>
      <c r="AB47" s="4">
        <v>2343750</v>
      </c>
      <c r="AC47" s="4">
        <v>16316247</v>
      </c>
      <c r="AD47" s="4">
        <v>1050000</v>
      </c>
      <c r="AE47" s="4">
        <v>81480000</v>
      </c>
      <c r="AF47" s="4">
        <v>1360000</v>
      </c>
      <c r="AG47" s="4">
        <v>93746588.676477998</v>
      </c>
      <c r="AH47" s="4">
        <v>8458501.8700410556</v>
      </c>
    </row>
    <row r="48" spans="1:34" x14ac:dyDescent="0.3">
      <c r="A48" s="256">
        <v>36802</v>
      </c>
      <c r="B48" s="4">
        <v>1250000</v>
      </c>
      <c r="C48" s="4">
        <v>4563600</v>
      </c>
      <c r="D48" s="4">
        <v>2136334</v>
      </c>
      <c r="E48" s="4">
        <v>429975</v>
      </c>
      <c r="F48" s="4">
        <v>12500000</v>
      </c>
      <c r="G48" s="4">
        <v>116115000</v>
      </c>
      <c r="H48" s="4">
        <v>1663000</v>
      </c>
      <c r="I48" s="4">
        <v>12878050</v>
      </c>
      <c r="J48" s="4">
        <v>1012500</v>
      </c>
      <c r="K48" s="4">
        <v>23507914.999999996</v>
      </c>
      <c r="L48" s="4">
        <v>10372212</v>
      </c>
      <c r="M48" s="4">
        <v>1302980</v>
      </c>
      <c r="N48" s="4">
        <v>3486752</v>
      </c>
      <c r="O48" s="4">
        <v>429210</v>
      </c>
      <c r="P48" s="4">
        <v>470790</v>
      </c>
      <c r="Q48" s="4">
        <v>27082500</v>
      </c>
      <c r="R48" s="4">
        <v>7121810</v>
      </c>
      <c r="S48" s="4">
        <v>5644007</v>
      </c>
      <c r="T48" s="4">
        <v>20916875</v>
      </c>
      <c r="U48" s="4">
        <v>2560525</v>
      </c>
      <c r="V48" s="4">
        <v>4774950</v>
      </c>
      <c r="W48" s="4">
        <v>2005557.8509598305</v>
      </c>
      <c r="X48" s="4">
        <v>1374750</v>
      </c>
      <c r="Y48" s="4">
        <v>1803840</v>
      </c>
      <c r="Z48" s="4">
        <v>2300803</v>
      </c>
      <c r="AA48" s="4">
        <v>7483750</v>
      </c>
      <c r="AB48" s="4">
        <v>2343750</v>
      </c>
      <c r="AC48" s="4">
        <v>16316247</v>
      </c>
      <c r="AD48" s="4">
        <v>1050000</v>
      </c>
      <c r="AE48" s="4">
        <v>81480000</v>
      </c>
      <c r="AF48" s="4">
        <v>1360000</v>
      </c>
      <c r="AG48" s="4">
        <v>93746588.676477998</v>
      </c>
      <c r="AH48" s="4">
        <v>8370856.0467595328</v>
      </c>
    </row>
    <row r="49" spans="1:34" x14ac:dyDescent="0.3">
      <c r="A49" s="256">
        <v>36803</v>
      </c>
      <c r="B49" s="4">
        <v>1250000</v>
      </c>
      <c r="C49" s="4">
        <v>4563600</v>
      </c>
      <c r="D49" s="4">
        <v>2136334</v>
      </c>
      <c r="E49" s="4">
        <v>429975</v>
      </c>
      <c r="F49" s="4">
        <v>12500000</v>
      </c>
      <c r="G49" s="4">
        <v>116115000</v>
      </c>
      <c r="H49" s="4">
        <v>1663000</v>
      </c>
      <c r="I49" s="4">
        <v>12878050</v>
      </c>
      <c r="J49" s="4">
        <v>1012500</v>
      </c>
      <c r="K49" s="4">
        <v>23507914.999999996</v>
      </c>
      <c r="L49" s="4">
        <v>10372212</v>
      </c>
      <c r="M49" s="4">
        <v>1302980</v>
      </c>
      <c r="N49" s="4">
        <v>3486752</v>
      </c>
      <c r="O49" s="4">
        <v>429210</v>
      </c>
      <c r="P49" s="4">
        <v>470790</v>
      </c>
      <c r="Q49" s="4">
        <v>27082500</v>
      </c>
      <c r="R49" s="4">
        <v>7121810</v>
      </c>
      <c r="S49" s="4">
        <v>5644007</v>
      </c>
      <c r="T49" s="4">
        <v>20916875</v>
      </c>
      <c r="U49" s="4">
        <v>2560525</v>
      </c>
      <c r="V49" s="4">
        <v>4774950</v>
      </c>
      <c r="W49" s="4">
        <v>2006300.5672105032</v>
      </c>
      <c r="X49" s="4">
        <v>1374750</v>
      </c>
      <c r="Y49" s="4">
        <v>1803840</v>
      </c>
      <c r="Z49" s="4">
        <v>2300803</v>
      </c>
      <c r="AA49" s="4">
        <v>7483750</v>
      </c>
      <c r="AB49" s="4">
        <v>2343750</v>
      </c>
      <c r="AC49" s="4">
        <v>16316247</v>
      </c>
      <c r="AD49" s="4">
        <v>1050000</v>
      </c>
      <c r="AE49" s="4">
        <v>81480000</v>
      </c>
      <c r="AF49" s="4">
        <v>1360000</v>
      </c>
      <c r="AG49" s="4">
        <v>93746588.676477998</v>
      </c>
      <c r="AH49" s="4">
        <v>8558370.5629322175</v>
      </c>
    </row>
    <row r="50" spans="1:34" x14ac:dyDescent="0.3">
      <c r="A50" s="256">
        <v>36804</v>
      </c>
      <c r="B50" s="4">
        <v>1250000</v>
      </c>
      <c r="C50" s="4">
        <v>4563600</v>
      </c>
      <c r="D50" s="4">
        <v>2136334</v>
      </c>
      <c r="E50" s="4">
        <v>429975</v>
      </c>
      <c r="F50" s="4">
        <v>12500000</v>
      </c>
      <c r="G50" s="4">
        <v>116115000</v>
      </c>
      <c r="H50" s="4">
        <v>1663000</v>
      </c>
      <c r="I50" s="4">
        <v>12878050</v>
      </c>
      <c r="J50" s="4">
        <v>1012500</v>
      </c>
      <c r="K50" s="4">
        <v>23507914.999999996</v>
      </c>
      <c r="L50" s="4">
        <v>10372212</v>
      </c>
      <c r="M50" s="4">
        <v>1302980</v>
      </c>
      <c r="N50" s="4">
        <v>3486752</v>
      </c>
      <c r="O50" s="4">
        <v>429210</v>
      </c>
      <c r="P50" s="4">
        <v>470790</v>
      </c>
      <c r="Q50" s="4">
        <v>27082500</v>
      </c>
      <c r="R50" s="4">
        <v>7121810</v>
      </c>
      <c r="S50" s="4">
        <v>5644007</v>
      </c>
      <c r="T50" s="4">
        <v>20916875</v>
      </c>
      <c r="U50" s="4">
        <v>2560525</v>
      </c>
      <c r="V50" s="4">
        <v>4774950</v>
      </c>
      <c r="W50" s="4">
        <v>2009139.7770950499</v>
      </c>
      <c r="X50" s="4">
        <v>1374750</v>
      </c>
      <c r="Y50" s="4">
        <v>1803840</v>
      </c>
      <c r="Z50" s="4">
        <v>2300803</v>
      </c>
      <c r="AA50" s="4">
        <v>7483750</v>
      </c>
      <c r="AB50" s="4">
        <v>2343750</v>
      </c>
      <c r="AC50" s="4">
        <v>16316247</v>
      </c>
      <c r="AD50" s="4">
        <v>1050000</v>
      </c>
      <c r="AE50" s="4">
        <v>81480000</v>
      </c>
      <c r="AF50" s="4">
        <v>1360000</v>
      </c>
      <c r="AG50" s="4">
        <v>93746588.676477998</v>
      </c>
      <c r="AH50" s="4">
        <v>8698448.8520311769</v>
      </c>
    </row>
    <row r="51" spans="1:34" x14ac:dyDescent="0.3">
      <c r="A51" s="256">
        <v>36805</v>
      </c>
      <c r="B51" s="4">
        <v>1250000</v>
      </c>
      <c r="C51" s="4">
        <v>4563600</v>
      </c>
      <c r="D51" s="4">
        <v>2136334</v>
      </c>
      <c r="E51" s="4">
        <v>429975</v>
      </c>
      <c r="F51" s="4">
        <v>12500000</v>
      </c>
      <c r="G51" s="4">
        <v>116115000</v>
      </c>
      <c r="H51" s="4">
        <v>1663000</v>
      </c>
      <c r="I51" s="4">
        <v>12878050</v>
      </c>
      <c r="J51" s="4">
        <v>1012500</v>
      </c>
      <c r="K51" s="4">
        <v>23507914.999999996</v>
      </c>
      <c r="L51" s="4">
        <v>10372212</v>
      </c>
      <c r="M51" s="4">
        <v>1302980</v>
      </c>
      <c r="N51" s="4">
        <v>3486752</v>
      </c>
      <c r="O51" s="4">
        <v>429210</v>
      </c>
      <c r="P51" s="4">
        <v>470790</v>
      </c>
      <c r="Q51" s="4">
        <v>27082500</v>
      </c>
      <c r="R51" s="4">
        <v>7121810</v>
      </c>
      <c r="S51" s="4">
        <v>5644007</v>
      </c>
      <c r="T51" s="4">
        <v>20916875</v>
      </c>
      <c r="U51" s="4">
        <v>2560525</v>
      </c>
      <c r="V51" s="4">
        <v>4774950</v>
      </c>
      <c r="W51" s="4">
        <v>2010318.1012884027</v>
      </c>
      <c r="X51" s="4">
        <v>1374750</v>
      </c>
      <c r="Y51" s="4">
        <v>1803840</v>
      </c>
      <c r="Z51" s="4">
        <v>2300803</v>
      </c>
      <c r="AA51" s="4">
        <v>7483750</v>
      </c>
      <c r="AB51" s="4">
        <v>2343750</v>
      </c>
      <c r="AC51" s="4">
        <v>16316247</v>
      </c>
      <c r="AD51" s="4">
        <v>1050000</v>
      </c>
      <c r="AE51" s="4">
        <v>81480000</v>
      </c>
      <c r="AF51" s="4">
        <v>1360000</v>
      </c>
      <c r="AG51" s="4">
        <v>93746588.676477998</v>
      </c>
      <c r="AH51" s="4">
        <v>8456199.711053161</v>
      </c>
    </row>
    <row r="52" spans="1:34" x14ac:dyDescent="0.3">
      <c r="A52" s="256">
        <v>36808</v>
      </c>
      <c r="B52" s="4">
        <v>1250000</v>
      </c>
      <c r="C52" s="4">
        <v>4563600</v>
      </c>
      <c r="D52" s="4">
        <v>2136334</v>
      </c>
      <c r="E52" s="4">
        <v>429975</v>
      </c>
      <c r="F52" s="4">
        <v>12500000</v>
      </c>
      <c r="G52" s="4">
        <v>116115000</v>
      </c>
      <c r="H52" s="4">
        <v>1663000</v>
      </c>
      <c r="I52" s="4">
        <v>12878050</v>
      </c>
      <c r="J52" s="4">
        <v>1012500</v>
      </c>
      <c r="K52" s="4">
        <v>23507915</v>
      </c>
      <c r="L52" s="4">
        <v>10372212</v>
      </c>
      <c r="M52" s="4">
        <v>1302980</v>
      </c>
      <c r="N52" s="4">
        <v>3486752</v>
      </c>
      <c r="O52" s="4">
        <v>429210</v>
      </c>
      <c r="P52" s="4">
        <v>470790</v>
      </c>
      <c r="Q52" s="4">
        <v>27082500</v>
      </c>
      <c r="R52" s="4">
        <v>7121810</v>
      </c>
      <c r="S52" s="4">
        <v>5644007</v>
      </c>
      <c r="T52" s="4">
        <v>20916875</v>
      </c>
      <c r="U52" s="4">
        <v>2560525</v>
      </c>
      <c r="V52" s="4">
        <v>4774950</v>
      </c>
      <c r="W52" s="4">
        <v>2013591.6599838925</v>
      </c>
      <c r="X52" s="4">
        <v>1374750</v>
      </c>
      <c r="Y52" s="4">
        <v>1803840</v>
      </c>
      <c r="Z52" s="4">
        <v>2300803</v>
      </c>
      <c r="AA52" s="4">
        <v>7483750</v>
      </c>
      <c r="AB52" s="4">
        <v>2343750</v>
      </c>
      <c r="AC52" s="4">
        <v>16316247</v>
      </c>
      <c r="AD52" s="4">
        <v>1050000</v>
      </c>
      <c r="AE52" s="4">
        <v>81480000</v>
      </c>
      <c r="AF52" s="4">
        <v>1360000</v>
      </c>
      <c r="AG52" s="4">
        <v>93746588.676477998</v>
      </c>
      <c r="AH52" s="4">
        <v>8497088.3606142513</v>
      </c>
    </row>
    <row r="53" spans="1:34" x14ac:dyDescent="0.3">
      <c r="A53" s="256">
        <v>36809</v>
      </c>
      <c r="B53" s="4">
        <v>1250000</v>
      </c>
      <c r="C53" s="4">
        <v>4563600</v>
      </c>
      <c r="D53" s="4">
        <v>2136334</v>
      </c>
      <c r="E53" s="4">
        <v>429975</v>
      </c>
      <c r="F53" s="4">
        <v>12500000</v>
      </c>
      <c r="G53" s="4">
        <v>116115000</v>
      </c>
      <c r="H53" s="4">
        <v>1663000</v>
      </c>
      <c r="I53" s="4">
        <v>12878050</v>
      </c>
      <c r="J53" s="4">
        <v>1012500</v>
      </c>
      <c r="K53" s="4">
        <v>23507915.000000004</v>
      </c>
      <c r="L53" s="4">
        <v>10372212</v>
      </c>
      <c r="M53" s="4">
        <v>1302980</v>
      </c>
      <c r="N53" s="4">
        <v>3486752</v>
      </c>
      <c r="O53" s="4">
        <v>429210</v>
      </c>
      <c r="P53" s="4">
        <v>470790</v>
      </c>
      <c r="Q53" s="4">
        <v>27082500</v>
      </c>
      <c r="R53" s="4">
        <v>7121810</v>
      </c>
      <c r="S53" s="4">
        <v>5644007</v>
      </c>
      <c r="T53" s="4">
        <v>20916875</v>
      </c>
      <c r="U53" s="4">
        <v>2560525</v>
      </c>
      <c r="V53" s="4">
        <v>4774950</v>
      </c>
      <c r="W53" s="4">
        <v>2015677.7154848531</v>
      </c>
      <c r="X53" s="4">
        <v>1374750</v>
      </c>
      <c r="Y53" s="4">
        <v>1803840</v>
      </c>
      <c r="Z53" s="4">
        <v>2300803</v>
      </c>
      <c r="AA53" s="4">
        <v>7483750</v>
      </c>
      <c r="AB53" s="4">
        <v>2343750</v>
      </c>
      <c r="AC53" s="4">
        <v>16316247</v>
      </c>
      <c r="AD53" s="4">
        <v>1050000</v>
      </c>
      <c r="AE53" s="4">
        <v>81480000</v>
      </c>
      <c r="AF53" s="4">
        <v>1360000</v>
      </c>
      <c r="AG53" s="4">
        <v>93746588.676477998</v>
      </c>
      <c r="AH53" s="4">
        <v>8497088.3606142513</v>
      </c>
    </row>
    <row r="54" spans="1:34" x14ac:dyDescent="0.3">
      <c r="A54" s="256">
        <v>36810</v>
      </c>
      <c r="B54" s="4">
        <v>1250000</v>
      </c>
      <c r="C54" s="4">
        <v>4563600</v>
      </c>
      <c r="D54" s="4">
        <v>2136334</v>
      </c>
      <c r="E54" s="4">
        <v>429975</v>
      </c>
      <c r="F54" s="4">
        <v>12500000</v>
      </c>
      <c r="G54" s="4">
        <v>116115000</v>
      </c>
      <c r="H54" s="4">
        <v>1663000</v>
      </c>
      <c r="I54" s="4">
        <v>12878050</v>
      </c>
      <c r="J54" s="4">
        <v>1012500</v>
      </c>
      <c r="K54" s="4">
        <v>23507915.000000007</v>
      </c>
      <c r="L54" s="4">
        <v>10372212</v>
      </c>
      <c r="M54" s="4">
        <v>1302980</v>
      </c>
      <c r="N54" s="4">
        <v>3486752</v>
      </c>
      <c r="O54" s="4">
        <v>429210</v>
      </c>
      <c r="P54" s="4">
        <v>470790</v>
      </c>
      <c r="Q54" s="4">
        <v>27082500</v>
      </c>
      <c r="R54" s="4">
        <v>7121810</v>
      </c>
      <c r="S54" s="4">
        <v>5644007</v>
      </c>
      <c r="T54" s="4">
        <v>20916875</v>
      </c>
      <c r="U54" s="4">
        <v>2560525</v>
      </c>
      <c r="V54" s="4">
        <v>4774950</v>
      </c>
      <c r="W54" s="4">
        <v>2018571.7518391546</v>
      </c>
      <c r="X54" s="4">
        <v>1374750</v>
      </c>
      <c r="Y54" s="4">
        <v>1803840</v>
      </c>
      <c r="Z54" s="4">
        <v>2300803</v>
      </c>
      <c r="AA54" s="4">
        <v>7483750</v>
      </c>
      <c r="AB54" s="4">
        <v>2343750</v>
      </c>
      <c r="AC54" s="4">
        <v>16316247</v>
      </c>
      <c r="AD54" s="4">
        <v>1050000</v>
      </c>
      <c r="AE54" s="4">
        <v>81480000</v>
      </c>
      <c r="AF54" s="4">
        <v>1360000</v>
      </c>
      <c r="AG54" s="4">
        <v>93746588.676477998</v>
      </c>
      <c r="AH54" s="4">
        <v>8555776.7910983972</v>
      </c>
    </row>
    <row r="55" spans="1:34" x14ac:dyDescent="0.3">
      <c r="A55" s="256">
        <v>36811</v>
      </c>
      <c r="B55" s="4">
        <v>1250000</v>
      </c>
      <c r="C55" s="4">
        <v>4563600</v>
      </c>
      <c r="D55" s="4">
        <v>2136334</v>
      </c>
      <c r="E55" s="4">
        <v>429975</v>
      </c>
      <c r="F55" s="4">
        <v>12500000</v>
      </c>
      <c r="G55" s="4">
        <v>116115000</v>
      </c>
      <c r="H55" s="4">
        <v>1663000</v>
      </c>
      <c r="I55" s="4">
        <v>12878050</v>
      </c>
      <c r="J55" s="4">
        <v>1012500</v>
      </c>
      <c r="K55" s="4">
        <v>23507915.000000011</v>
      </c>
      <c r="L55" s="4">
        <v>10372212</v>
      </c>
      <c r="M55" s="4">
        <v>1302980</v>
      </c>
      <c r="N55" s="4">
        <v>3486752</v>
      </c>
      <c r="O55" s="4">
        <v>429210</v>
      </c>
      <c r="P55" s="4">
        <v>470790</v>
      </c>
      <c r="Q55" s="4">
        <v>27082500</v>
      </c>
      <c r="R55" s="4">
        <v>7121810</v>
      </c>
      <c r="S55" s="4">
        <v>5644007</v>
      </c>
      <c r="T55" s="4">
        <v>20916875</v>
      </c>
      <c r="U55" s="4">
        <v>2560525</v>
      </c>
      <c r="V55" s="4">
        <v>4774950</v>
      </c>
      <c r="W55" s="4">
        <v>2025396.6547067768</v>
      </c>
      <c r="X55" s="4">
        <v>1374750</v>
      </c>
      <c r="Y55" s="4">
        <v>1803840</v>
      </c>
      <c r="Z55" s="4">
        <v>2300803</v>
      </c>
      <c r="AA55" s="4">
        <v>7483750</v>
      </c>
      <c r="AB55" s="4">
        <v>2343750</v>
      </c>
      <c r="AC55" s="4">
        <v>16316247</v>
      </c>
      <c r="AD55" s="4">
        <v>1050000</v>
      </c>
      <c r="AE55" s="4">
        <v>81480000</v>
      </c>
      <c r="AF55" s="4">
        <v>1360000</v>
      </c>
      <c r="AG55" s="4">
        <v>93746588.676477998</v>
      </c>
      <c r="AH55" s="4">
        <v>8594554.415274322</v>
      </c>
    </row>
    <row r="56" spans="1:34" x14ac:dyDescent="0.3">
      <c r="A56" s="256">
        <v>36812</v>
      </c>
      <c r="B56" s="4">
        <v>1250000</v>
      </c>
      <c r="C56" s="4">
        <v>4563600</v>
      </c>
      <c r="D56" s="4">
        <v>2136334</v>
      </c>
      <c r="E56" s="4">
        <v>429975</v>
      </c>
      <c r="F56" s="4">
        <v>12500000</v>
      </c>
      <c r="G56" s="4">
        <v>116115000</v>
      </c>
      <c r="H56" s="4">
        <v>1663000</v>
      </c>
      <c r="I56" s="4">
        <v>12878050</v>
      </c>
      <c r="J56" s="4">
        <v>1012500</v>
      </c>
      <c r="K56" s="4">
        <v>23507915.000000011</v>
      </c>
      <c r="L56" s="4">
        <v>10372212</v>
      </c>
      <c r="M56" s="4">
        <v>1302980</v>
      </c>
      <c r="N56" s="4">
        <v>3486752</v>
      </c>
      <c r="O56" s="4">
        <v>429210</v>
      </c>
      <c r="P56" s="4">
        <v>470790</v>
      </c>
      <c r="Q56" s="4">
        <v>27082500</v>
      </c>
      <c r="R56" s="4">
        <v>7121810</v>
      </c>
      <c r="S56" s="4">
        <v>5644007</v>
      </c>
      <c r="T56" s="4">
        <v>20916875</v>
      </c>
      <c r="U56" s="4">
        <v>2560525</v>
      </c>
      <c r="V56" s="4">
        <v>4774950</v>
      </c>
      <c r="W56" s="4">
        <v>2021597.4397495899</v>
      </c>
      <c r="X56" s="4">
        <v>1374750</v>
      </c>
      <c r="Y56" s="4">
        <v>1803840</v>
      </c>
      <c r="Z56" s="4">
        <v>2300803</v>
      </c>
      <c r="AA56" s="4">
        <v>7483750</v>
      </c>
      <c r="AB56" s="4">
        <v>2343750</v>
      </c>
      <c r="AC56" s="4">
        <v>16316247</v>
      </c>
      <c r="AD56" s="4">
        <v>1050000</v>
      </c>
      <c r="AE56" s="4">
        <v>81480000</v>
      </c>
      <c r="AF56" s="4">
        <v>1360000</v>
      </c>
      <c r="AG56" s="4">
        <v>93746588.676477998</v>
      </c>
      <c r="AH56" s="4">
        <v>8749730.5996974166</v>
      </c>
    </row>
    <row r="57" spans="1:34" x14ac:dyDescent="0.3">
      <c r="A57" s="256">
        <v>36815</v>
      </c>
      <c r="B57" s="4">
        <v>1250000</v>
      </c>
      <c r="C57" s="4">
        <v>4563600</v>
      </c>
      <c r="D57" s="4">
        <v>2136334</v>
      </c>
      <c r="E57" s="4">
        <v>429975</v>
      </c>
      <c r="F57" s="4">
        <v>12500000</v>
      </c>
      <c r="G57" s="4">
        <v>116115000</v>
      </c>
      <c r="H57" s="4">
        <v>1663000</v>
      </c>
      <c r="I57" s="4">
        <v>12878050</v>
      </c>
      <c r="J57" s="4">
        <v>1012500</v>
      </c>
      <c r="K57" s="4">
        <v>23507915.000000019</v>
      </c>
      <c r="L57" s="4">
        <v>10372212</v>
      </c>
      <c r="M57" s="4">
        <v>1302980</v>
      </c>
      <c r="N57" s="4">
        <v>3486752</v>
      </c>
      <c r="O57" s="4">
        <v>429210</v>
      </c>
      <c r="P57" s="4">
        <v>470790</v>
      </c>
      <c r="Q57" s="4">
        <v>27082500</v>
      </c>
      <c r="R57" s="4">
        <v>7121810</v>
      </c>
      <c r="S57" s="4">
        <v>5644007</v>
      </c>
      <c r="T57" s="4">
        <v>20916875</v>
      </c>
      <c r="U57" s="4">
        <v>2560525</v>
      </c>
      <c r="V57" s="4">
        <v>4774950</v>
      </c>
      <c r="W57" s="4">
        <v>2022929.2971664874</v>
      </c>
      <c r="X57" s="4">
        <v>1374750</v>
      </c>
      <c r="Y57" s="4">
        <v>1803840</v>
      </c>
      <c r="Z57" s="4">
        <v>2300803</v>
      </c>
      <c r="AA57" s="4">
        <v>7483750</v>
      </c>
      <c r="AB57" s="4">
        <v>2343750</v>
      </c>
      <c r="AC57" s="4">
        <v>16316247</v>
      </c>
      <c r="AD57" s="4">
        <v>1050000</v>
      </c>
      <c r="AE57" s="4">
        <v>81480000</v>
      </c>
      <c r="AF57" s="4">
        <v>1360000</v>
      </c>
      <c r="AG57" s="4">
        <v>93746588.676477998</v>
      </c>
      <c r="AH57" s="4">
        <v>8749730.5996974166</v>
      </c>
    </row>
    <row r="58" spans="1:34" x14ac:dyDescent="0.3">
      <c r="A58" s="256">
        <v>36816</v>
      </c>
      <c r="B58" s="4">
        <v>1250000</v>
      </c>
      <c r="C58" s="4">
        <v>4563600</v>
      </c>
      <c r="D58" s="4">
        <v>2136334</v>
      </c>
      <c r="E58" s="4">
        <v>429975</v>
      </c>
      <c r="F58" s="4">
        <v>12500000</v>
      </c>
      <c r="G58" s="4">
        <v>116115000</v>
      </c>
      <c r="H58" s="4">
        <v>1663000</v>
      </c>
      <c r="I58" s="4">
        <v>12878050</v>
      </c>
      <c r="J58" s="4">
        <v>1012500</v>
      </c>
      <c r="K58" s="4">
        <v>23507915.000000022</v>
      </c>
      <c r="L58" s="4">
        <v>10372212</v>
      </c>
      <c r="M58" s="4">
        <v>1302980</v>
      </c>
      <c r="N58" s="4">
        <v>3486752</v>
      </c>
      <c r="O58" s="4">
        <v>429210</v>
      </c>
      <c r="P58" s="4">
        <v>470790</v>
      </c>
      <c r="Q58" s="4">
        <v>27082500</v>
      </c>
      <c r="R58" s="4">
        <v>7121810</v>
      </c>
      <c r="S58" s="4">
        <v>5644007</v>
      </c>
      <c r="T58" s="4">
        <v>20916875</v>
      </c>
      <c r="U58" s="4">
        <v>2560525</v>
      </c>
      <c r="V58" s="4">
        <v>4774950</v>
      </c>
      <c r="W58" s="4">
        <v>2013591.6599838899</v>
      </c>
      <c r="X58" s="4">
        <v>1374750</v>
      </c>
      <c r="Y58" s="4">
        <v>1803840</v>
      </c>
      <c r="Z58" s="4">
        <v>2300803</v>
      </c>
      <c r="AA58" s="4">
        <v>7483750</v>
      </c>
      <c r="AB58" s="4">
        <v>2343750</v>
      </c>
      <c r="AC58" s="4">
        <v>16316247</v>
      </c>
      <c r="AD58" s="4">
        <v>1050000</v>
      </c>
      <c r="AE58" s="4">
        <v>81480000</v>
      </c>
      <c r="AF58" s="4">
        <v>1360000</v>
      </c>
      <c r="AG58" s="4">
        <v>93746588.676477998</v>
      </c>
      <c r="AH58" s="4">
        <v>8758398.6690105591</v>
      </c>
    </row>
    <row r="59" spans="1:34" x14ac:dyDescent="0.3">
      <c r="A59" s="256">
        <v>36817</v>
      </c>
      <c r="B59" s="4">
        <v>1250000</v>
      </c>
      <c r="C59" s="4">
        <v>4563600</v>
      </c>
      <c r="D59" s="4">
        <v>2136334</v>
      </c>
      <c r="E59" s="4">
        <v>429975</v>
      </c>
      <c r="F59" s="4">
        <v>12500000</v>
      </c>
      <c r="G59" s="4">
        <v>116115000</v>
      </c>
      <c r="H59" s="4">
        <v>1663000</v>
      </c>
      <c r="I59" s="4">
        <v>12878050</v>
      </c>
      <c r="J59" s="4">
        <v>1012500</v>
      </c>
      <c r="K59" s="4">
        <v>23507915.000000026</v>
      </c>
      <c r="L59" s="4">
        <v>10372212</v>
      </c>
      <c r="M59" s="4">
        <v>1302980</v>
      </c>
      <c r="N59" s="4">
        <v>3486752</v>
      </c>
      <c r="O59" s="4">
        <v>429210</v>
      </c>
      <c r="P59" s="4">
        <v>470790</v>
      </c>
      <c r="Q59" s="4">
        <v>27082500</v>
      </c>
      <c r="R59" s="4">
        <v>7121810</v>
      </c>
      <c r="S59" s="4">
        <v>5644007</v>
      </c>
      <c r="T59" s="4">
        <v>20916875</v>
      </c>
      <c r="U59" s="4">
        <v>2560525</v>
      </c>
      <c r="V59" s="4">
        <v>4774950</v>
      </c>
      <c r="W59" s="4">
        <v>2013591.6599838899</v>
      </c>
      <c r="X59" s="4">
        <v>1374750</v>
      </c>
      <c r="Y59" s="4">
        <v>1803840</v>
      </c>
      <c r="Z59" s="4">
        <v>2300803</v>
      </c>
      <c r="AA59" s="4">
        <v>7483750</v>
      </c>
      <c r="AB59" s="4">
        <v>2343750</v>
      </c>
      <c r="AC59" s="4">
        <v>16316247</v>
      </c>
      <c r="AD59" s="4">
        <v>1050000</v>
      </c>
      <c r="AE59" s="4">
        <v>81480000</v>
      </c>
      <c r="AF59" s="4">
        <v>1360000</v>
      </c>
      <c r="AG59" s="4">
        <v>93746588.676477998</v>
      </c>
      <c r="AH59" s="4">
        <v>8758398.6690105591</v>
      </c>
    </row>
    <row r="60" spans="1:34" x14ac:dyDescent="0.3">
      <c r="A60" s="256">
        <v>36818</v>
      </c>
      <c r="B60" s="4">
        <v>1250000</v>
      </c>
      <c r="C60" s="4">
        <v>4563600</v>
      </c>
      <c r="D60" s="4">
        <v>2136334</v>
      </c>
      <c r="E60" s="4">
        <v>429975</v>
      </c>
      <c r="F60" s="4">
        <v>12500000</v>
      </c>
      <c r="G60" s="4">
        <v>116115000</v>
      </c>
      <c r="H60" s="4">
        <v>1663000</v>
      </c>
      <c r="I60" s="4">
        <v>12878050</v>
      </c>
      <c r="J60" s="4">
        <v>1012500</v>
      </c>
      <c r="K60" s="4">
        <v>23507915.00000003</v>
      </c>
      <c r="L60" s="4">
        <v>10372212</v>
      </c>
      <c r="M60" s="4">
        <v>1302980</v>
      </c>
      <c r="N60" s="4">
        <v>3486752</v>
      </c>
      <c r="O60" s="4">
        <v>429210</v>
      </c>
      <c r="P60" s="4">
        <v>470790</v>
      </c>
      <c r="Q60" s="4">
        <v>27082500</v>
      </c>
      <c r="R60" s="4">
        <v>7121810</v>
      </c>
      <c r="S60" s="4">
        <v>5644007</v>
      </c>
      <c r="T60" s="4">
        <v>20916875</v>
      </c>
      <c r="U60" s="4">
        <v>2560525</v>
      </c>
      <c r="V60" s="4">
        <v>4774950</v>
      </c>
      <c r="W60" s="4">
        <v>2013591.6599838899</v>
      </c>
      <c r="X60" s="4">
        <v>1374750</v>
      </c>
      <c r="Y60" s="4">
        <v>1803840</v>
      </c>
      <c r="Z60" s="4">
        <v>2300803</v>
      </c>
      <c r="AA60" s="4">
        <v>7483750</v>
      </c>
      <c r="AB60" s="4">
        <v>2343750</v>
      </c>
      <c r="AC60" s="4">
        <v>16316247</v>
      </c>
      <c r="AD60" s="4">
        <v>1050000</v>
      </c>
      <c r="AE60" s="4">
        <v>81480000</v>
      </c>
      <c r="AF60" s="4">
        <v>1360000</v>
      </c>
      <c r="AG60" s="4">
        <v>93746588.676477998</v>
      </c>
      <c r="AH60" s="4">
        <v>8524443.8093858026</v>
      </c>
    </row>
    <row r="61" spans="1:34" x14ac:dyDescent="0.3">
      <c r="A61" s="256">
        <v>36819</v>
      </c>
      <c r="B61" s="4">
        <v>1250000</v>
      </c>
      <c r="C61" s="4">
        <v>4563600</v>
      </c>
      <c r="D61" s="4">
        <v>2136334</v>
      </c>
      <c r="E61" s="4">
        <v>429975</v>
      </c>
      <c r="F61" s="4">
        <v>12500000</v>
      </c>
      <c r="G61" s="4">
        <v>116115000</v>
      </c>
      <c r="H61" s="4">
        <v>1663000</v>
      </c>
      <c r="I61" s="4">
        <v>12878050</v>
      </c>
      <c r="J61" s="4">
        <v>1012500</v>
      </c>
      <c r="K61" s="4">
        <v>23507915.000000034</v>
      </c>
      <c r="L61" s="4">
        <v>10372212</v>
      </c>
      <c r="M61" s="4">
        <v>1302980</v>
      </c>
      <c r="N61" s="4">
        <v>3486752</v>
      </c>
      <c r="O61" s="4">
        <v>429210</v>
      </c>
      <c r="P61" s="4">
        <v>470790</v>
      </c>
      <c r="Q61" s="4">
        <v>27082500</v>
      </c>
      <c r="R61" s="4">
        <v>7121810</v>
      </c>
      <c r="S61" s="4">
        <v>5644007</v>
      </c>
      <c r="T61" s="4">
        <v>20916875</v>
      </c>
      <c r="U61" s="4">
        <v>2560525</v>
      </c>
      <c r="V61" s="4">
        <v>4774950</v>
      </c>
      <c r="W61" s="4">
        <v>2013591.6599838899</v>
      </c>
      <c r="X61" s="4">
        <v>1374750</v>
      </c>
      <c r="Y61" s="4">
        <v>1803840</v>
      </c>
      <c r="Z61" s="4">
        <v>2300803</v>
      </c>
      <c r="AA61" s="4">
        <v>7483750</v>
      </c>
      <c r="AB61" s="4">
        <v>2343750</v>
      </c>
      <c r="AC61" s="4">
        <v>16316247</v>
      </c>
      <c r="AD61" s="4">
        <v>1050000</v>
      </c>
      <c r="AE61" s="4">
        <v>81480000</v>
      </c>
      <c r="AF61" s="4">
        <v>1360000</v>
      </c>
      <c r="AG61" s="4">
        <v>93746588.676477998</v>
      </c>
      <c r="AH61" s="4">
        <v>8842991.7588454001</v>
      </c>
    </row>
    <row r="62" spans="1:34" x14ac:dyDescent="0.3">
      <c r="A62" s="256">
        <v>36822</v>
      </c>
      <c r="B62" s="4">
        <v>1250000</v>
      </c>
      <c r="C62" s="4">
        <v>4563600</v>
      </c>
      <c r="D62" s="4">
        <v>2136334</v>
      </c>
      <c r="E62" s="4">
        <v>429975</v>
      </c>
      <c r="F62" s="4">
        <v>12500000</v>
      </c>
      <c r="G62" s="4">
        <v>116115000</v>
      </c>
      <c r="H62" s="4">
        <v>1663000</v>
      </c>
      <c r="I62" s="4">
        <v>12878050</v>
      </c>
      <c r="J62" s="4">
        <v>1012500</v>
      </c>
      <c r="K62" s="4">
        <v>23507915.000000037</v>
      </c>
      <c r="L62" s="4">
        <v>10372212</v>
      </c>
      <c r="M62" s="4">
        <v>1302980</v>
      </c>
      <c r="N62" s="4">
        <v>3486752</v>
      </c>
      <c r="O62" s="4">
        <v>429210</v>
      </c>
      <c r="P62" s="4">
        <v>470790</v>
      </c>
      <c r="Q62" s="4">
        <v>27082500</v>
      </c>
      <c r="R62" s="4">
        <v>7121810</v>
      </c>
      <c r="S62" s="4">
        <v>5644007</v>
      </c>
      <c r="T62" s="4">
        <v>20916875</v>
      </c>
      <c r="U62" s="4">
        <v>2560525</v>
      </c>
      <c r="V62" s="4">
        <v>4774950</v>
      </c>
      <c r="W62" s="4">
        <v>2013591.6599838899</v>
      </c>
      <c r="X62" s="4">
        <v>1374750</v>
      </c>
      <c r="Y62" s="4">
        <v>1803840</v>
      </c>
      <c r="Z62" s="4">
        <v>2300803</v>
      </c>
      <c r="AA62" s="4">
        <v>7483750</v>
      </c>
      <c r="AB62" s="4">
        <v>2343750</v>
      </c>
      <c r="AC62" s="4">
        <v>16316247</v>
      </c>
      <c r="AD62" s="4">
        <v>1050000</v>
      </c>
      <c r="AE62" s="4">
        <v>81480000</v>
      </c>
      <c r="AF62" s="4">
        <v>1360000</v>
      </c>
      <c r="AG62" s="4">
        <v>93746588.676477998</v>
      </c>
      <c r="AH62" s="4">
        <v>8783368.2522070706</v>
      </c>
    </row>
    <row r="63" spans="1:34" x14ac:dyDescent="0.3">
      <c r="A63" s="256">
        <v>36823</v>
      </c>
      <c r="B63" s="4">
        <v>1250000</v>
      </c>
      <c r="C63" s="4">
        <v>4563600</v>
      </c>
      <c r="D63" s="4">
        <v>2136334</v>
      </c>
      <c r="E63" s="4">
        <v>429975</v>
      </c>
      <c r="F63" s="4">
        <v>12500000</v>
      </c>
      <c r="G63" s="4">
        <v>116115000</v>
      </c>
      <c r="H63" s="4">
        <v>1663000</v>
      </c>
      <c r="I63" s="4">
        <v>12878050</v>
      </c>
      <c r="J63" s="4">
        <v>1012500</v>
      </c>
      <c r="K63" s="4">
        <v>23507915.000000041</v>
      </c>
      <c r="L63" s="4">
        <v>10372212</v>
      </c>
      <c r="M63" s="4">
        <v>1302980</v>
      </c>
      <c r="N63" s="4">
        <v>3486752</v>
      </c>
      <c r="O63" s="4">
        <v>429210</v>
      </c>
      <c r="P63" s="4">
        <v>470790</v>
      </c>
      <c r="Q63" s="4">
        <v>27082500</v>
      </c>
      <c r="R63" s="4">
        <v>7121810</v>
      </c>
      <c r="S63" s="4">
        <v>5644007</v>
      </c>
      <c r="T63" s="4">
        <v>20916875</v>
      </c>
      <c r="U63" s="4">
        <v>2560525</v>
      </c>
      <c r="V63" s="4">
        <v>4774950</v>
      </c>
      <c r="W63" s="4">
        <v>2013591.6599838899</v>
      </c>
      <c r="X63" s="4">
        <v>1374750</v>
      </c>
      <c r="Y63" s="4">
        <v>1803840</v>
      </c>
      <c r="Z63" s="4">
        <v>2300803</v>
      </c>
      <c r="AA63" s="4">
        <v>7483750</v>
      </c>
      <c r="AB63" s="4">
        <v>2343750</v>
      </c>
      <c r="AC63" s="4">
        <v>16316247</v>
      </c>
      <c r="AD63" s="4">
        <v>1050000</v>
      </c>
      <c r="AE63" s="4">
        <v>81480000</v>
      </c>
      <c r="AF63" s="4">
        <v>1360000</v>
      </c>
      <c r="AG63" s="4">
        <v>93746588.676477998</v>
      </c>
      <c r="AH63" s="4">
        <v>8768414.7562132198</v>
      </c>
    </row>
    <row r="64" spans="1:34" x14ac:dyDescent="0.3">
      <c r="A64" s="256">
        <v>36824</v>
      </c>
      <c r="B64" s="4">
        <v>1250000</v>
      </c>
      <c r="C64" s="4">
        <v>4563600</v>
      </c>
      <c r="D64" s="4">
        <v>2136334</v>
      </c>
      <c r="E64" s="4">
        <v>429975</v>
      </c>
      <c r="F64" s="4">
        <v>12500000</v>
      </c>
      <c r="G64" s="4">
        <v>116115000</v>
      </c>
      <c r="H64" s="4">
        <v>1663000</v>
      </c>
      <c r="I64" s="4">
        <v>12878050</v>
      </c>
      <c r="J64" s="4">
        <v>1012500</v>
      </c>
      <c r="K64" s="4">
        <v>23507915.000000045</v>
      </c>
      <c r="L64" s="4">
        <v>10372212</v>
      </c>
      <c r="M64" s="4">
        <v>1302980</v>
      </c>
      <c r="N64" s="4">
        <v>3486752</v>
      </c>
      <c r="O64" s="4">
        <v>429210</v>
      </c>
      <c r="P64" s="4">
        <v>470790</v>
      </c>
      <c r="Q64" s="4">
        <v>27082500</v>
      </c>
      <c r="R64" s="4">
        <v>7121810</v>
      </c>
      <c r="S64" s="4">
        <v>5644007</v>
      </c>
      <c r="T64" s="4">
        <v>20916875</v>
      </c>
      <c r="U64" s="4">
        <v>2560525</v>
      </c>
      <c r="V64" s="4">
        <v>4774950</v>
      </c>
      <c r="W64" s="4">
        <v>2013591.6599838899</v>
      </c>
      <c r="X64" s="4">
        <v>1374750</v>
      </c>
      <c r="Y64" s="4">
        <v>1803840</v>
      </c>
      <c r="Z64" s="4">
        <v>2300803</v>
      </c>
      <c r="AA64" s="4">
        <v>7483750</v>
      </c>
      <c r="AB64" s="4">
        <v>2343750</v>
      </c>
      <c r="AC64" s="4">
        <v>16316247</v>
      </c>
      <c r="AD64" s="4">
        <v>1050000</v>
      </c>
      <c r="AE64" s="4">
        <v>81480000</v>
      </c>
      <c r="AF64" s="4">
        <v>1360000</v>
      </c>
      <c r="AG64" s="4">
        <v>93746588.676477998</v>
      </c>
      <c r="AH64" s="4">
        <v>8606783.3955013454</v>
      </c>
    </row>
    <row r="65" spans="1:34" x14ac:dyDescent="0.3">
      <c r="A65" s="256">
        <v>36825</v>
      </c>
      <c r="B65" s="4">
        <v>1250000</v>
      </c>
      <c r="C65" s="4">
        <v>4563600</v>
      </c>
      <c r="D65" s="4">
        <v>2136334</v>
      </c>
      <c r="E65" s="4">
        <v>429975</v>
      </c>
      <c r="F65" s="4">
        <v>12500000</v>
      </c>
      <c r="G65" s="4">
        <v>116115000</v>
      </c>
      <c r="H65" s="4">
        <v>1663000</v>
      </c>
      <c r="I65" s="4">
        <v>12878050</v>
      </c>
      <c r="J65" s="4">
        <v>1012500</v>
      </c>
      <c r="K65" s="4">
        <v>23507915.000000048</v>
      </c>
      <c r="L65" s="4">
        <v>10372212</v>
      </c>
      <c r="M65" s="4">
        <v>1302980</v>
      </c>
      <c r="N65" s="4">
        <v>3486752</v>
      </c>
      <c r="O65" s="4">
        <v>429210</v>
      </c>
      <c r="P65" s="4">
        <v>470790</v>
      </c>
      <c r="Q65" s="4">
        <v>27082500</v>
      </c>
      <c r="R65" s="4">
        <v>7121810</v>
      </c>
      <c r="S65" s="4">
        <v>5644007</v>
      </c>
      <c r="T65" s="4">
        <v>20916875</v>
      </c>
      <c r="U65" s="4">
        <v>2560525</v>
      </c>
      <c r="V65" s="4">
        <v>4774950</v>
      </c>
      <c r="W65" s="4">
        <v>2013591.6599838899</v>
      </c>
      <c r="X65" s="4">
        <v>1374750</v>
      </c>
      <c r="Y65" s="4">
        <v>1803840</v>
      </c>
      <c r="Z65" s="4">
        <v>2300803</v>
      </c>
      <c r="AA65" s="4">
        <v>7483750</v>
      </c>
      <c r="AB65" s="4">
        <v>2343750</v>
      </c>
      <c r="AC65" s="4">
        <v>16316247</v>
      </c>
      <c r="AD65" s="4">
        <v>1050000</v>
      </c>
      <c r="AE65" s="4">
        <v>81480000</v>
      </c>
      <c r="AF65" s="4">
        <v>1360000</v>
      </c>
      <c r="AG65" s="4">
        <v>93746588.676477998</v>
      </c>
      <c r="AH65" s="4">
        <v>8460895.6057368759</v>
      </c>
    </row>
    <row r="66" spans="1:34" x14ac:dyDescent="0.3">
      <c r="A66" s="256">
        <v>36826</v>
      </c>
      <c r="B66" s="4">
        <v>1250000</v>
      </c>
      <c r="C66" s="4">
        <v>4563600</v>
      </c>
      <c r="D66" s="4">
        <v>2136334</v>
      </c>
      <c r="E66" s="4">
        <v>429975</v>
      </c>
      <c r="F66" s="4">
        <v>12500000</v>
      </c>
      <c r="G66" s="4">
        <v>116115000</v>
      </c>
      <c r="H66" s="4">
        <v>1663000</v>
      </c>
      <c r="I66" s="4">
        <v>12878050</v>
      </c>
      <c r="J66" s="4">
        <v>1012500</v>
      </c>
      <c r="K66" s="4">
        <v>23507915.000000052</v>
      </c>
      <c r="L66" s="4">
        <v>10372212</v>
      </c>
      <c r="M66" s="4">
        <v>1302980</v>
      </c>
      <c r="N66" s="4">
        <v>3486752</v>
      </c>
      <c r="O66" s="4">
        <v>429210</v>
      </c>
      <c r="P66" s="4">
        <v>470790</v>
      </c>
      <c r="Q66" s="4">
        <v>27082500</v>
      </c>
      <c r="R66" s="4">
        <v>7121810</v>
      </c>
      <c r="S66" s="4">
        <v>5644007</v>
      </c>
      <c r="T66" s="4">
        <v>20916875</v>
      </c>
      <c r="U66" s="4">
        <v>2560525</v>
      </c>
      <c r="V66" s="4">
        <v>4774950</v>
      </c>
      <c r="W66" s="4">
        <v>2013591.6599838899</v>
      </c>
      <c r="X66" s="4">
        <v>1374750</v>
      </c>
      <c r="Y66" s="4">
        <v>1803840</v>
      </c>
      <c r="Z66" s="4">
        <v>2300803</v>
      </c>
      <c r="AA66" s="4">
        <v>7483750</v>
      </c>
      <c r="AB66" s="4">
        <v>2343750</v>
      </c>
      <c r="AC66" s="4">
        <v>16316247</v>
      </c>
      <c r="AD66" s="4">
        <v>1050000</v>
      </c>
      <c r="AE66" s="4">
        <v>81480000</v>
      </c>
      <c r="AF66" s="4">
        <v>1360000</v>
      </c>
      <c r="AG66" s="4">
        <v>93746588.676477998</v>
      </c>
      <c r="AH66" s="4">
        <v>8598647.2987281699</v>
      </c>
    </row>
    <row r="67" spans="1:34" x14ac:dyDescent="0.3">
      <c r="A67" s="256">
        <v>36829</v>
      </c>
      <c r="B67" s="4">
        <v>1250000</v>
      </c>
      <c r="C67" s="4">
        <v>4563600</v>
      </c>
      <c r="D67" s="4">
        <v>2136334</v>
      </c>
      <c r="E67" s="4">
        <v>429975</v>
      </c>
      <c r="F67" s="4">
        <v>12500000</v>
      </c>
      <c r="G67" s="4">
        <v>116115000</v>
      </c>
      <c r="H67" s="4">
        <v>1663000</v>
      </c>
      <c r="I67" s="4">
        <v>12878050</v>
      </c>
      <c r="J67" s="4">
        <v>1012500</v>
      </c>
      <c r="K67" s="4">
        <v>23507915.000000056</v>
      </c>
      <c r="L67" s="4">
        <v>10372212</v>
      </c>
      <c r="M67" s="4">
        <v>1302980</v>
      </c>
      <c r="N67" s="4">
        <v>3486752</v>
      </c>
      <c r="O67" s="4">
        <v>429210</v>
      </c>
      <c r="P67" s="4">
        <v>470790</v>
      </c>
      <c r="Q67" s="4">
        <v>27082500</v>
      </c>
      <c r="R67" s="4">
        <v>7121810</v>
      </c>
      <c r="S67" s="4">
        <v>5644007</v>
      </c>
      <c r="T67" s="4">
        <v>20916875</v>
      </c>
      <c r="U67" s="4">
        <v>2560525</v>
      </c>
      <c r="V67" s="4">
        <v>4774950</v>
      </c>
      <c r="W67" s="4">
        <v>2013591.6599838899</v>
      </c>
      <c r="X67" s="4">
        <v>1374750</v>
      </c>
      <c r="Y67" s="4">
        <v>1803840</v>
      </c>
      <c r="Z67" s="4">
        <v>2300803</v>
      </c>
      <c r="AA67" s="4">
        <v>7483750</v>
      </c>
      <c r="AB67" s="4">
        <v>2343750</v>
      </c>
      <c r="AC67" s="4">
        <v>16316247</v>
      </c>
      <c r="AD67" s="4">
        <v>1050000</v>
      </c>
      <c r="AE67" s="4">
        <v>81480000</v>
      </c>
      <c r="AF67" s="4">
        <v>1360000</v>
      </c>
      <c r="AG67" s="4">
        <v>93746588.676477998</v>
      </c>
      <c r="AH67" s="4">
        <v>8365770.8454302819</v>
      </c>
    </row>
    <row r="68" spans="1:34" x14ac:dyDescent="0.3">
      <c r="A68" s="256">
        <v>36830</v>
      </c>
      <c r="B68" s="4">
        <v>1250000</v>
      </c>
      <c r="C68" s="4">
        <v>4563600</v>
      </c>
      <c r="D68" s="4">
        <v>2136334</v>
      </c>
      <c r="E68" s="4">
        <v>429975</v>
      </c>
      <c r="F68" s="4">
        <v>12500000</v>
      </c>
      <c r="G68" s="4">
        <v>116115000</v>
      </c>
      <c r="H68" s="4">
        <v>1663000</v>
      </c>
      <c r="I68" s="4">
        <v>12878050</v>
      </c>
      <c r="J68" s="4">
        <v>1012500</v>
      </c>
      <c r="K68" s="4">
        <v>23507915.00000006</v>
      </c>
      <c r="L68" s="4">
        <v>10372212</v>
      </c>
      <c r="M68" s="4">
        <v>1302980</v>
      </c>
      <c r="N68" s="4">
        <v>3486752</v>
      </c>
      <c r="O68" s="4">
        <v>429210</v>
      </c>
      <c r="P68" s="4">
        <v>470790</v>
      </c>
      <c r="Q68" s="4">
        <v>27082500</v>
      </c>
      <c r="R68" s="4">
        <v>7121810</v>
      </c>
      <c r="S68" s="4">
        <v>5644007</v>
      </c>
      <c r="T68" s="4">
        <v>20916875</v>
      </c>
      <c r="U68" s="4">
        <v>2560525</v>
      </c>
      <c r="V68" s="4">
        <v>4774950</v>
      </c>
      <c r="W68" s="4">
        <v>2013591.6599838899</v>
      </c>
      <c r="X68" s="4">
        <v>1374750</v>
      </c>
      <c r="Y68" s="4">
        <v>1803840</v>
      </c>
      <c r="Z68" s="4">
        <v>2300803</v>
      </c>
      <c r="AA68" s="4">
        <v>7483750</v>
      </c>
      <c r="AB68" s="4">
        <v>2343750</v>
      </c>
      <c r="AC68" s="4">
        <v>16316247</v>
      </c>
      <c r="AD68" s="4">
        <v>1050000</v>
      </c>
      <c r="AE68" s="4">
        <v>81480000</v>
      </c>
      <c r="AF68" s="4">
        <v>1360000</v>
      </c>
      <c r="AG68" s="4">
        <v>93746588.676477998</v>
      </c>
      <c r="AH68" s="4">
        <v>8324132.1882727798</v>
      </c>
    </row>
    <row r="69" spans="1:34" x14ac:dyDescent="0.3">
      <c r="A69" s="256">
        <v>36831</v>
      </c>
      <c r="B69" s="4">
        <v>1250000</v>
      </c>
      <c r="C69" s="4">
        <v>4563600</v>
      </c>
      <c r="D69" s="4">
        <v>2136334</v>
      </c>
      <c r="E69" s="4">
        <v>429975</v>
      </c>
      <c r="F69" s="4">
        <f>12500000+65507.43</f>
        <v>12565507.43</v>
      </c>
      <c r="G69" s="4">
        <v>116115000</v>
      </c>
      <c r="H69" s="4">
        <v>1663000</v>
      </c>
      <c r="I69" s="4">
        <v>12878050</v>
      </c>
      <c r="J69" s="4">
        <v>1012500</v>
      </c>
      <c r="K69" s="4">
        <v>23507915.000000063</v>
      </c>
      <c r="L69" s="4">
        <v>10372212</v>
      </c>
      <c r="M69" s="4">
        <v>1302980</v>
      </c>
      <c r="N69" s="4">
        <v>3486752</v>
      </c>
      <c r="O69" s="4">
        <v>429210</v>
      </c>
      <c r="P69" s="4">
        <v>470790</v>
      </c>
      <c r="Q69" s="4">
        <v>27082500</v>
      </c>
      <c r="R69" s="4">
        <v>7121810</v>
      </c>
      <c r="S69" s="4">
        <v>5644007</v>
      </c>
      <c r="T69" s="4">
        <v>20916875</v>
      </c>
      <c r="U69" s="4">
        <v>2560525</v>
      </c>
      <c r="V69" s="4">
        <v>4774950</v>
      </c>
      <c r="W69" s="4">
        <v>2013591.6599838899</v>
      </c>
      <c r="X69" s="4">
        <v>1374750</v>
      </c>
      <c r="Y69" s="4">
        <v>1803840</v>
      </c>
      <c r="Z69" s="4">
        <v>2300803</v>
      </c>
      <c r="AA69" s="4">
        <v>7483750</v>
      </c>
      <c r="AB69" s="4">
        <v>2343750</v>
      </c>
      <c r="AC69" s="4">
        <v>16316247</v>
      </c>
      <c r="AD69" s="4">
        <v>1050000</v>
      </c>
      <c r="AE69" s="4">
        <v>81480000</v>
      </c>
      <c r="AF69" s="4">
        <v>1360000</v>
      </c>
      <c r="AG69" s="4">
        <v>93746588.676477998</v>
      </c>
      <c r="AH69" s="4">
        <v>8325490.2362822983</v>
      </c>
    </row>
    <row r="70" spans="1:34" x14ac:dyDescent="0.3">
      <c r="A70" s="256">
        <v>36832</v>
      </c>
      <c r="B70" s="4">
        <v>1250000</v>
      </c>
      <c r="C70" s="4">
        <v>4563600</v>
      </c>
      <c r="D70" s="4">
        <v>2136334</v>
      </c>
      <c r="E70" s="4">
        <v>429975</v>
      </c>
      <c r="F70" s="4">
        <v>0</v>
      </c>
      <c r="G70" s="4">
        <v>116115000</v>
      </c>
      <c r="H70" s="4">
        <v>1663000</v>
      </c>
      <c r="I70" s="4">
        <v>12878050</v>
      </c>
      <c r="J70" s="4">
        <v>1012500</v>
      </c>
      <c r="K70" s="4">
        <v>23507915.000000067</v>
      </c>
      <c r="L70" s="4">
        <v>10372212</v>
      </c>
      <c r="M70" s="4">
        <v>1302980</v>
      </c>
      <c r="N70" s="4">
        <v>3486752</v>
      </c>
      <c r="O70" s="4">
        <v>429210</v>
      </c>
      <c r="P70" s="4">
        <v>470790</v>
      </c>
      <c r="Q70" s="4">
        <v>27082500</v>
      </c>
      <c r="R70" s="4">
        <v>7121810</v>
      </c>
      <c r="S70" s="4">
        <v>5644007</v>
      </c>
      <c r="T70" s="4">
        <v>20916875</v>
      </c>
      <c r="U70" s="4">
        <v>2560525</v>
      </c>
      <c r="V70" s="4">
        <v>4774950</v>
      </c>
      <c r="W70" s="4">
        <v>2013591.6599838899</v>
      </c>
      <c r="X70" s="4">
        <v>1374750</v>
      </c>
      <c r="Y70" s="4">
        <v>1803840</v>
      </c>
      <c r="Z70" s="4">
        <v>2300803</v>
      </c>
      <c r="AA70" s="4">
        <v>7483750</v>
      </c>
      <c r="AB70" s="4">
        <v>2343750</v>
      </c>
      <c r="AC70" s="4">
        <v>16316247</v>
      </c>
      <c r="AD70" s="4">
        <v>1050000</v>
      </c>
      <c r="AE70" s="4">
        <v>81480000</v>
      </c>
      <c r="AF70" s="4">
        <v>1360000</v>
      </c>
      <c r="AG70" s="4">
        <v>93746588.676477998</v>
      </c>
      <c r="AH70" s="4">
        <v>8698547.7956844997</v>
      </c>
    </row>
    <row r="71" spans="1:34" x14ac:dyDescent="0.3">
      <c r="A71" s="256">
        <v>36833</v>
      </c>
      <c r="B71" s="4">
        <v>1250000</v>
      </c>
      <c r="C71" s="4">
        <v>4563600</v>
      </c>
      <c r="D71" s="4">
        <v>2136334</v>
      </c>
      <c r="E71" s="4">
        <v>429975</v>
      </c>
      <c r="F71" s="4">
        <v>0</v>
      </c>
      <c r="G71" s="4">
        <v>116115000</v>
      </c>
      <c r="H71" s="4">
        <v>1663000</v>
      </c>
      <c r="I71" s="4">
        <v>12878050</v>
      </c>
      <c r="J71" s="4">
        <v>1012500</v>
      </c>
      <c r="K71" s="4">
        <v>23507915.000000071</v>
      </c>
      <c r="L71" s="4">
        <v>10372212</v>
      </c>
      <c r="M71" s="4">
        <v>1302980</v>
      </c>
      <c r="N71" s="4">
        <v>3486752</v>
      </c>
      <c r="O71" s="4">
        <v>429210</v>
      </c>
      <c r="P71" s="4">
        <v>470790</v>
      </c>
      <c r="Q71" s="4">
        <v>27082500</v>
      </c>
      <c r="R71" s="4">
        <v>7121810</v>
      </c>
      <c r="S71" s="4">
        <v>5644007</v>
      </c>
      <c r="T71" s="4">
        <v>20916875</v>
      </c>
      <c r="U71" s="4">
        <v>2560525</v>
      </c>
      <c r="V71" s="4">
        <v>4774950</v>
      </c>
      <c r="W71" s="4">
        <v>2013591.6599838899</v>
      </c>
      <c r="X71" s="4">
        <v>1374750</v>
      </c>
      <c r="Y71" s="4">
        <v>1803840</v>
      </c>
      <c r="Z71" s="4">
        <v>2300803</v>
      </c>
      <c r="AA71" s="4">
        <v>7483750</v>
      </c>
      <c r="AB71" s="4">
        <v>2343750</v>
      </c>
      <c r="AC71" s="4">
        <v>16316247</v>
      </c>
      <c r="AD71" s="4">
        <v>1050000</v>
      </c>
      <c r="AE71" s="4">
        <v>81480000</v>
      </c>
      <c r="AF71" s="4">
        <v>1360000</v>
      </c>
      <c r="AG71" s="4">
        <v>93746588.676477998</v>
      </c>
      <c r="AH71" s="4">
        <v>8698547.7956844997</v>
      </c>
    </row>
    <row r="72" spans="1:34" x14ac:dyDescent="0.3">
      <c r="A72" s="256">
        <v>36836</v>
      </c>
      <c r="B72" s="4">
        <v>1250000</v>
      </c>
      <c r="C72" s="4">
        <v>4563600</v>
      </c>
      <c r="D72" s="4">
        <v>2136334</v>
      </c>
      <c r="E72" s="4">
        <v>429975</v>
      </c>
      <c r="F72" s="4">
        <v>0</v>
      </c>
      <c r="G72" s="4">
        <v>116115000</v>
      </c>
      <c r="H72" s="4">
        <v>1663000</v>
      </c>
      <c r="I72" s="4">
        <v>12878050</v>
      </c>
      <c r="J72" s="4">
        <v>1012500</v>
      </c>
      <c r="K72" s="4">
        <v>23507915.000000075</v>
      </c>
      <c r="L72" s="4">
        <v>10372212</v>
      </c>
      <c r="M72" s="4">
        <v>1302980</v>
      </c>
      <c r="N72" s="4">
        <v>3486752</v>
      </c>
      <c r="O72" s="4">
        <v>429210</v>
      </c>
      <c r="P72" s="4">
        <v>470790</v>
      </c>
      <c r="Q72" s="4">
        <v>27082500</v>
      </c>
      <c r="R72" s="4">
        <v>7121810</v>
      </c>
      <c r="S72" s="4">
        <v>5644007</v>
      </c>
      <c r="T72" s="4">
        <v>20916875</v>
      </c>
      <c r="U72" s="4">
        <v>2560525</v>
      </c>
      <c r="V72" s="4">
        <v>4774950</v>
      </c>
      <c r="W72" s="4">
        <v>2013591.6599838899</v>
      </c>
      <c r="X72" s="4">
        <v>1374750</v>
      </c>
      <c r="Y72" s="4">
        <v>1803840</v>
      </c>
      <c r="Z72" s="4">
        <v>2300803</v>
      </c>
      <c r="AA72" s="4">
        <v>7483750</v>
      </c>
      <c r="AB72" s="4">
        <v>2343750</v>
      </c>
      <c r="AC72" s="4">
        <v>16316247</v>
      </c>
      <c r="AD72" s="4">
        <v>1050000</v>
      </c>
      <c r="AE72" s="4">
        <v>81480000</v>
      </c>
      <c r="AF72" s="4">
        <v>1360000</v>
      </c>
      <c r="AG72" s="4">
        <v>93746588.676477998</v>
      </c>
      <c r="AH72" s="4">
        <v>9170660.169584265</v>
      </c>
    </row>
    <row r="73" spans="1:34" x14ac:dyDescent="0.3">
      <c r="A73" s="256">
        <v>36837</v>
      </c>
      <c r="B73" s="4">
        <v>1250000</v>
      </c>
      <c r="C73" s="4">
        <v>4563600</v>
      </c>
      <c r="D73" s="4">
        <v>2136334</v>
      </c>
      <c r="E73" s="4">
        <v>429975</v>
      </c>
      <c r="F73" s="4">
        <v>0</v>
      </c>
      <c r="G73" s="4">
        <v>116115000</v>
      </c>
      <c r="H73" s="4">
        <v>1663000</v>
      </c>
      <c r="I73" s="4">
        <v>12878050</v>
      </c>
      <c r="J73" s="4">
        <v>1012500</v>
      </c>
      <c r="K73" s="4">
        <v>23507915.000000078</v>
      </c>
      <c r="L73" s="4">
        <v>10372212</v>
      </c>
      <c r="M73" s="4">
        <v>1302980</v>
      </c>
      <c r="N73" s="4">
        <v>3486752</v>
      </c>
      <c r="O73" s="4">
        <v>429210</v>
      </c>
      <c r="P73" s="4">
        <v>470790</v>
      </c>
      <c r="Q73" s="4">
        <v>27082500</v>
      </c>
      <c r="R73" s="4">
        <v>7121810</v>
      </c>
      <c r="S73" s="4">
        <v>5644007</v>
      </c>
      <c r="T73" s="4">
        <v>20916875</v>
      </c>
      <c r="U73" s="4">
        <v>2560525</v>
      </c>
      <c r="V73" s="4">
        <v>4774950</v>
      </c>
      <c r="W73" s="4">
        <v>2013591.6599838899</v>
      </c>
      <c r="X73" s="4">
        <v>1374750</v>
      </c>
      <c r="Y73" s="4">
        <v>1803840</v>
      </c>
      <c r="Z73" s="4">
        <v>2300803</v>
      </c>
      <c r="AA73" s="4">
        <v>7483750</v>
      </c>
      <c r="AB73" s="4">
        <v>2343750</v>
      </c>
      <c r="AC73" s="4">
        <v>16316247</v>
      </c>
      <c r="AD73" s="4">
        <v>1050000</v>
      </c>
      <c r="AE73" s="4">
        <v>81480000</v>
      </c>
      <c r="AF73" s="4">
        <v>1360000</v>
      </c>
      <c r="AG73" s="4">
        <v>93746588.676477998</v>
      </c>
      <c r="AH73" s="4">
        <v>8903465.9873355012</v>
      </c>
    </row>
    <row r="74" spans="1:34" x14ac:dyDescent="0.3">
      <c r="A74" s="256">
        <v>36838</v>
      </c>
      <c r="B74" s="4">
        <v>1250000</v>
      </c>
      <c r="C74" s="4">
        <v>4563600</v>
      </c>
      <c r="D74" s="4">
        <v>2136334</v>
      </c>
      <c r="E74" s="4">
        <v>429975</v>
      </c>
      <c r="F74" s="4">
        <v>0</v>
      </c>
      <c r="G74" s="4">
        <v>116115000</v>
      </c>
      <c r="H74" s="4">
        <v>1663000</v>
      </c>
      <c r="I74" s="4">
        <v>12878050</v>
      </c>
      <c r="J74" s="4">
        <v>1012500</v>
      </c>
      <c r="K74" s="4">
        <v>23507915.000000082</v>
      </c>
      <c r="L74" s="4">
        <v>10372212</v>
      </c>
      <c r="M74" s="4">
        <v>1302980</v>
      </c>
      <c r="N74" s="4">
        <v>3486752</v>
      </c>
      <c r="O74" s="4">
        <v>429210</v>
      </c>
      <c r="P74" s="4">
        <v>470790</v>
      </c>
      <c r="Q74" s="4">
        <v>27082500</v>
      </c>
      <c r="R74" s="4">
        <v>7121810</v>
      </c>
      <c r="S74" s="4">
        <v>5644007</v>
      </c>
      <c r="T74" s="4">
        <v>20916875</v>
      </c>
      <c r="U74" s="4">
        <v>2560525</v>
      </c>
      <c r="V74" s="4">
        <v>4774950</v>
      </c>
      <c r="W74" s="4">
        <v>2013591.6599838899</v>
      </c>
      <c r="X74" s="4">
        <v>1374750</v>
      </c>
      <c r="Y74" s="4">
        <v>1803840</v>
      </c>
      <c r="Z74" s="4">
        <v>2300803</v>
      </c>
      <c r="AA74" s="4">
        <v>7483750</v>
      </c>
      <c r="AB74" s="4">
        <v>2343750</v>
      </c>
      <c r="AC74" s="4">
        <v>16316247</v>
      </c>
      <c r="AD74" s="4">
        <v>1050000</v>
      </c>
      <c r="AE74" s="4">
        <v>81480000</v>
      </c>
      <c r="AF74" s="4">
        <v>1360000</v>
      </c>
      <c r="AG74" s="4">
        <v>93746588.676477998</v>
      </c>
      <c r="AH74" s="4">
        <v>8971339.3282200806</v>
      </c>
    </row>
    <row r="75" spans="1:34" x14ac:dyDescent="0.3">
      <c r="A75" s="256">
        <v>36839</v>
      </c>
      <c r="B75" s="4">
        <v>1250000</v>
      </c>
      <c r="C75" s="4">
        <v>4563600</v>
      </c>
      <c r="D75" s="4">
        <v>2136334</v>
      </c>
      <c r="E75" s="4">
        <v>429975</v>
      </c>
      <c r="F75" s="4">
        <v>0</v>
      </c>
      <c r="G75" s="4">
        <v>116115000</v>
      </c>
      <c r="H75" s="4">
        <v>1663000</v>
      </c>
      <c r="I75" s="4">
        <v>12878050</v>
      </c>
      <c r="J75" s="4">
        <v>1012500</v>
      </c>
      <c r="K75" s="4">
        <v>23507915.000000086</v>
      </c>
      <c r="L75" s="4">
        <v>10372212</v>
      </c>
      <c r="M75" s="4">
        <v>1302980</v>
      </c>
      <c r="N75" s="4">
        <v>3486752</v>
      </c>
      <c r="O75" s="4">
        <v>429210</v>
      </c>
      <c r="P75" s="4">
        <v>470790</v>
      </c>
      <c r="Q75" s="4">
        <v>27082500</v>
      </c>
      <c r="R75" s="4">
        <v>7121810</v>
      </c>
      <c r="S75" s="4">
        <v>5644007</v>
      </c>
      <c r="T75" s="4">
        <v>20916875</v>
      </c>
      <c r="U75" s="4">
        <v>2560525</v>
      </c>
      <c r="V75" s="4">
        <v>4774950</v>
      </c>
      <c r="W75" s="4">
        <v>2013591.6599838899</v>
      </c>
      <c r="X75" s="4">
        <v>1374750</v>
      </c>
      <c r="Y75" s="4">
        <v>1803840</v>
      </c>
      <c r="Z75" s="4">
        <v>2300803</v>
      </c>
      <c r="AA75" s="4">
        <v>7483750</v>
      </c>
      <c r="AB75" s="4">
        <v>2343750</v>
      </c>
      <c r="AC75" s="4">
        <v>16316247</v>
      </c>
      <c r="AD75" s="4">
        <v>1050000</v>
      </c>
      <c r="AE75" s="4">
        <v>81480000</v>
      </c>
      <c r="AF75" s="4">
        <v>1360000</v>
      </c>
      <c r="AG75" s="4">
        <v>93746588.676477998</v>
      </c>
      <c r="AH75" s="4">
        <v>9033356.6311990321</v>
      </c>
    </row>
    <row r="76" spans="1:34" x14ac:dyDescent="0.3">
      <c r="A76" s="256">
        <v>36840</v>
      </c>
      <c r="B76" s="4">
        <v>1250000</v>
      </c>
      <c r="C76" s="4">
        <v>4563600</v>
      </c>
      <c r="D76" s="4">
        <v>2136334</v>
      </c>
      <c r="E76" s="4">
        <v>429975</v>
      </c>
      <c r="F76" s="4">
        <v>0</v>
      </c>
      <c r="G76" s="4">
        <v>116115000</v>
      </c>
      <c r="H76" s="4">
        <v>1663000</v>
      </c>
      <c r="I76" s="4">
        <v>12878050</v>
      </c>
      <c r="J76" s="4">
        <v>1012500</v>
      </c>
      <c r="K76" s="4">
        <v>23507915.000000089</v>
      </c>
      <c r="L76" s="4">
        <v>10372212</v>
      </c>
      <c r="M76" s="4">
        <v>1302980</v>
      </c>
      <c r="N76" s="4">
        <v>3486752</v>
      </c>
      <c r="O76" s="4">
        <v>429210</v>
      </c>
      <c r="P76" s="4">
        <v>470790</v>
      </c>
      <c r="Q76" s="4">
        <v>27082500</v>
      </c>
      <c r="R76" s="4">
        <v>7121810</v>
      </c>
      <c r="S76" s="4">
        <v>5644007</v>
      </c>
      <c r="T76" s="4">
        <v>20916875</v>
      </c>
      <c r="U76" s="4">
        <v>2560525</v>
      </c>
      <c r="V76" s="4">
        <v>4774950</v>
      </c>
      <c r="W76" s="4">
        <v>2013591.6599838899</v>
      </c>
      <c r="X76" s="4">
        <v>1374750</v>
      </c>
      <c r="Y76" s="4">
        <v>1803840</v>
      </c>
      <c r="Z76" s="4">
        <v>2300803</v>
      </c>
      <c r="AA76" s="4">
        <v>7483750</v>
      </c>
      <c r="AB76" s="4">
        <v>2343750</v>
      </c>
      <c r="AC76" s="4">
        <v>16316247</v>
      </c>
      <c r="AD76" s="4">
        <v>1050000</v>
      </c>
      <c r="AE76" s="4">
        <v>81480000</v>
      </c>
      <c r="AF76" s="4">
        <v>1360000</v>
      </c>
      <c r="AG76" s="4">
        <v>93746588.676477998</v>
      </c>
      <c r="AH76" s="4">
        <v>8823189.6387037802</v>
      </c>
    </row>
    <row r="77" spans="1:34" x14ac:dyDescent="0.3">
      <c r="A77" s="256">
        <v>36843</v>
      </c>
      <c r="B77" s="4">
        <v>1250000</v>
      </c>
      <c r="C77" s="4">
        <v>4563600</v>
      </c>
      <c r="D77" s="4">
        <v>2136334</v>
      </c>
      <c r="E77" s="4">
        <v>429975</v>
      </c>
      <c r="F77" s="4">
        <v>0</v>
      </c>
      <c r="G77" s="4">
        <v>116115000</v>
      </c>
      <c r="H77" s="4">
        <v>1663000</v>
      </c>
      <c r="I77" s="4">
        <v>12878050</v>
      </c>
      <c r="J77" s="4">
        <v>1012500</v>
      </c>
      <c r="K77" s="4">
        <v>23507915.000000093</v>
      </c>
      <c r="L77" s="4">
        <v>10372212</v>
      </c>
      <c r="M77" s="4">
        <v>1302980</v>
      </c>
      <c r="N77" s="4">
        <v>3486752</v>
      </c>
      <c r="O77" s="4">
        <v>429210</v>
      </c>
      <c r="P77" s="4">
        <v>470790</v>
      </c>
      <c r="Q77" s="4">
        <v>27082500</v>
      </c>
      <c r="R77" s="4">
        <v>7121810</v>
      </c>
      <c r="S77" s="4">
        <v>5644007</v>
      </c>
      <c r="T77" s="4">
        <v>20916875</v>
      </c>
      <c r="U77" s="4">
        <v>2560525</v>
      </c>
      <c r="V77" s="4">
        <v>4774950</v>
      </c>
      <c r="W77" s="4">
        <v>2013591.6599838899</v>
      </c>
      <c r="X77" s="4">
        <v>1374750</v>
      </c>
      <c r="Y77" s="4">
        <v>1803840</v>
      </c>
      <c r="Z77" s="4">
        <v>2300803</v>
      </c>
      <c r="AA77" s="4">
        <v>7483750</v>
      </c>
      <c r="AB77" s="4">
        <v>2343750</v>
      </c>
      <c r="AC77" s="4">
        <v>16316247</v>
      </c>
      <c r="AD77" s="4">
        <v>1050000</v>
      </c>
      <c r="AE77" s="4">
        <v>81480000</v>
      </c>
      <c r="AF77" s="4">
        <v>1360000</v>
      </c>
      <c r="AG77" s="4">
        <v>93746588.676477998</v>
      </c>
      <c r="AH77" s="4">
        <v>8973660.9168634005</v>
      </c>
    </row>
    <row r="78" spans="1:34" x14ac:dyDescent="0.3">
      <c r="A78" s="256">
        <v>36844</v>
      </c>
      <c r="B78" s="4">
        <v>1250000</v>
      </c>
      <c r="C78" s="4">
        <v>4563600</v>
      </c>
      <c r="D78" s="4">
        <v>2136334</v>
      </c>
      <c r="E78" s="4">
        <v>429975</v>
      </c>
      <c r="F78" s="4">
        <v>0</v>
      </c>
      <c r="G78" s="4">
        <v>116115000</v>
      </c>
      <c r="H78" s="4">
        <v>1663000</v>
      </c>
      <c r="I78" s="4">
        <v>12878050</v>
      </c>
      <c r="J78" s="4">
        <v>1012500</v>
      </c>
      <c r="K78" s="4">
        <v>23507915.000000097</v>
      </c>
      <c r="L78" s="4">
        <v>10372212</v>
      </c>
      <c r="M78" s="4">
        <v>1302980</v>
      </c>
      <c r="N78" s="4">
        <v>3486752</v>
      </c>
      <c r="O78" s="4">
        <v>429210</v>
      </c>
      <c r="P78" s="4">
        <v>470790</v>
      </c>
      <c r="Q78" s="4">
        <v>27082500</v>
      </c>
      <c r="R78" s="4">
        <v>7121810</v>
      </c>
      <c r="S78" s="4">
        <v>5644007</v>
      </c>
      <c r="T78" s="4">
        <v>20916875</v>
      </c>
      <c r="U78" s="4">
        <v>2560525</v>
      </c>
      <c r="V78" s="4">
        <v>4774950</v>
      </c>
      <c r="W78" s="4">
        <v>2013591.6599838899</v>
      </c>
      <c r="X78" s="4">
        <v>1374750</v>
      </c>
      <c r="Y78" s="4">
        <v>1803840</v>
      </c>
      <c r="Z78" s="4">
        <v>2300803</v>
      </c>
      <c r="AA78" s="4">
        <v>7483750</v>
      </c>
      <c r="AB78" s="4">
        <v>2343750</v>
      </c>
      <c r="AC78" s="4">
        <v>16316247</v>
      </c>
      <c r="AD78" s="4">
        <v>1050000</v>
      </c>
      <c r="AE78" s="4">
        <v>81480000</v>
      </c>
      <c r="AF78" s="4">
        <v>1360000</v>
      </c>
      <c r="AG78" s="4">
        <v>93746588.676477998</v>
      </c>
      <c r="AH78" s="4">
        <v>8817231.4835669491</v>
      </c>
    </row>
    <row r="79" spans="1:34" x14ac:dyDescent="0.3">
      <c r="A79" s="256">
        <v>36845</v>
      </c>
      <c r="B79" s="4">
        <v>1250000</v>
      </c>
      <c r="C79" s="4">
        <v>4563600</v>
      </c>
      <c r="D79" s="4">
        <v>2136334</v>
      </c>
      <c r="E79" s="4">
        <v>429975</v>
      </c>
      <c r="F79" s="4">
        <v>0</v>
      </c>
      <c r="G79" s="4">
        <v>116115000</v>
      </c>
      <c r="H79" s="4">
        <v>1663000</v>
      </c>
      <c r="I79" s="4">
        <v>12878050</v>
      </c>
      <c r="J79" s="4">
        <v>1012500</v>
      </c>
      <c r="K79" s="4">
        <v>23507915.000000101</v>
      </c>
      <c r="L79" s="4">
        <v>10372212</v>
      </c>
      <c r="M79" s="4">
        <v>1302980</v>
      </c>
      <c r="N79" s="4">
        <v>3486752</v>
      </c>
      <c r="O79" s="4">
        <v>429210</v>
      </c>
      <c r="P79" s="4">
        <v>470790</v>
      </c>
      <c r="Q79" s="4">
        <v>27082500</v>
      </c>
      <c r="R79" s="4">
        <v>7121810</v>
      </c>
      <c r="S79" s="4">
        <v>5644007</v>
      </c>
      <c r="T79" s="4">
        <v>20916875</v>
      </c>
      <c r="U79" s="4">
        <v>2560525</v>
      </c>
      <c r="V79" s="4">
        <v>4774950</v>
      </c>
      <c r="W79" s="4">
        <v>2013591.6599838899</v>
      </c>
      <c r="X79" s="4">
        <v>1374750</v>
      </c>
      <c r="Y79" s="4">
        <v>1803840</v>
      </c>
      <c r="Z79" s="4">
        <v>2300803</v>
      </c>
      <c r="AA79" s="4">
        <v>7483750</v>
      </c>
      <c r="AB79" s="4">
        <v>2343750</v>
      </c>
      <c r="AC79" s="4">
        <v>16316247</v>
      </c>
      <c r="AD79" s="4">
        <v>1050000</v>
      </c>
      <c r="AE79" s="4">
        <v>81480000</v>
      </c>
      <c r="AF79" s="4">
        <v>1360000</v>
      </c>
      <c r="AG79" s="4">
        <v>93746588.676477998</v>
      </c>
      <c r="AH79" s="4">
        <v>8849448.6649004575</v>
      </c>
    </row>
    <row r="80" spans="1:34" x14ac:dyDescent="0.3">
      <c r="A80" s="256">
        <v>36846</v>
      </c>
      <c r="B80" s="4">
        <v>1250000</v>
      </c>
      <c r="C80" s="4">
        <v>4563600</v>
      </c>
      <c r="D80" s="4">
        <v>2136334</v>
      </c>
      <c r="E80" s="4">
        <v>429975</v>
      </c>
      <c r="F80" s="4">
        <v>0</v>
      </c>
      <c r="G80" s="4">
        <v>116115000</v>
      </c>
      <c r="H80" s="4">
        <v>1663000</v>
      </c>
      <c r="I80" s="4">
        <v>12878050</v>
      </c>
      <c r="J80" s="4">
        <v>1012500</v>
      </c>
      <c r="K80" s="4">
        <v>23507915.000000104</v>
      </c>
      <c r="L80" s="4">
        <v>10372212</v>
      </c>
      <c r="M80" s="4">
        <v>1302980</v>
      </c>
      <c r="N80" s="4">
        <v>3486752</v>
      </c>
      <c r="O80" s="4">
        <v>429210</v>
      </c>
      <c r="P80" s="4">
        <v>470790</v>
      </c>
      <c r="Q80" s="4">
        <v>27082500</v>
      </c>
      <c r="R80" s="4">
        <v>7121810</v>
      </c>
      <c r="S80" s="4">
        <v>5644007</v>
      </c>
      <c r="T80" s="4">
        <v>20916875</v>
      </c>
      <c r="U80" s="4">
        <v>2560525</v>
      </c>
      <c r="V80" s="4">
        <v>4774950</v>
      </c>
      <c r="W80" s="4">
        <v>2013591.6599838899</v>
      </c>
      <c r="X80" s="4">
        <v>1374750</v>
      </c>
      <c r="Y80" s="4">
        <v>1803840</v>
      </c>
      <c r="Z80" s="4">
        <v>2300803</v>
      </c>
      <c r="AA80" s="4">
        <v>7483750</v>
      </c>
      <c r="AB80" s="4">
        <v>2343750</v>
      </c>
      <c r="AC80" s="4">
        <v>16316247</v>
      </c>
      <c r="AD80" s="4">
        <v>1050000</v>
      </c>
      <c r="AE80" s="4">
        <v>81480000</v>
      </c>
      <c r="AF80" s="4">
        <v>1360000</v>
      </c>
      <c r="AG80" s="4">
        <v>93746588.676477998</v>
      </c>
      <c r="AH80" s="4">
        <v>8848191.4414719157</v>
      </c>
    </row>
    <row r="81" spans="1:34" x14ac:dyDescent="0.3">
      <c r="A81" s="256">
        <v>36847</v>
      </c>
      <c r="B81" s="4">
        <v>1250000</v>
      </c>
      <c r="C81" s="4">
        <v>4563600</v>
      </c>
      <c r="D81" s="4">
        <v>2136334</v>
      </c>
      <c r="E81" s="4">
        <v>429975</v>
      </c>
      <c r="F81" s="4">
        <v>0</v>
      </c>
      <c r="G81" s="4">
        <v>116115000</v>
      </c>
      <c r="H81" s="4">
        <v>1663000</v>
      </c>
      <c r="I81" s="4">
        <v>12878050</v>
      </c>
      <c r="J81" s="4">
        <v>1012500</v>
      </c>
      <c r="K81" s="4">
        <v>23507915.000000108</v>
      </c>
      <c r="L81" s="4">
        <v>10372212</v>
      </c>
      <c r="M81" s="4">
        <v>1302980</v>
      </c>
      <c r="N81" s="4">
        <v>3486752</v>
      </c>
      <c r="O81" s="4">
        <v>429210</v>
      </c>
      <c r="P81" s="4">
        <v>470790</v>
      </c>
      <c r="Q81" s="4">
        <v>27082500</v>
      </c>
      <c r="R81" s="4">
        <v>7121810</v>
      </c>
      <c r="S81" s="4">
        <v>5644007</v>
      </c>
      <c r="T81" s="4">
        <v>20916875</v>
      </c>
      <c r="U81" s="4">
        <v>2560525</v>
      </c>
      <c r="V81" s="4">
        <v>4774950</v>
      </c>
      <c r="W81" s="4">
        <v>2013591.6599838899</v>
      </c>
      <c r="X81" s="4">
        <v>1374750</v>
      </c>
      <c r="Y81" s="4">
        <v>1803840</v>
      </c>
      <c r="Z81" s="4">
        <v>2300803</v>
      </c>
      <c r="AA81" s="4">
        <v>7483750</v>
      </c>
      <c r="AB81" s="4">
        <v>2343750</v>
      </c>
      <c r="AC81" s="4">
        <v>16316247</v>
      </c>
      <c r="AD81" s="4">
        <v>1050000</v>
      </c>
      <c r="AE81" s="4">
        <v>81480000</v>
      </c>
      <c r="AF81" s="4">
        <v>1360000</v>
      </c>
      <c r="AG81" s="4">
        <v>93746588.676477998</v>
      </c>
      <c r="AH81" s="4">
        <v>8906864.5224927869</v>
      </c>
    </row>
    <row r="82" spans="1:34" x14ac:dyDescent="0.3">
      <c r="A82" s="256">
        <v>36850</v>
      </c>
      <c r="B82" s="4">
        <v>1250000</v>
      </c>
      <c r="C82" s="4">
        <v>4563600</v>
      </c>
      <c r="D82" s="4">
        <v>2136334</v>
      </c>
      <c r="E82" s="4">
        <v>429975</v>
      </c>
      <c r="F82" s="4">
        <v>0</v>
      </c>
      <c r="G82" s="4">
        <v>116115000</v>
      </c>
      <c r="H82" s="4">
        <v>1663000</v>
      </c>
      <c r="I82" s="4">
        <v>12878050</v>
      </c>
      <c r="J82" s="4">
        <v>1012500</v>
      </c>
      <c r="K82" s="4">
        <v>23507915.000000112</v>
      </c>
      <c r="L82" s="4">
        <v>10372212</v>
      </c>
      <c r="M82" s="4">
        <v>1302980</v>
      </c>
      <c r="N82" s="4">
        <v>3486752</v>
      </c>
      <c r="O82" s="4">
        <v>429210</v>
      </c>
      <c r="P82" s="4">
        <v>470790</v>
      </c>
      <c r="Q82" s="4">
        <v>27082500</v>
      </c>
      <c r="R82" s="4">
        <v>7121810</v>
      </c>
      <c r="S82" s="4">
        <v>5644007</v>
      </c>
      <c r="T82" s="4">
        <v>20916875</v>
      </c>
      <c r="U82" s="4">
        <v>2560525</v>
      </c>
      <c r="V82" s="4">
        <v>4774950</v>
      </c>
      <c r="W82" s="4">
        <v>2013591.6599838899</v>
      </c>
      <c r="X82" s="4">
        <v>1374750</v>
      </c>
      <c r="Y82" s="4">
        <v>1803840</v>
      </c>
      <c r="Z82" s="4">
        <v>2300803</v>
      </c>
      <c r="AA82" s="4">
        <v>7483750</v>
      </c>
      <c r="AB82" s="4">
        <v>2343750</v>
      </c>
      <c r="AC82" s="4">
        <v>16316247</v>
      </c>
      <c r="AD82" s="4">
        <v>1050000</v>
      </c>
      <c r="AE82" s="4">
        <v>81480000</v>
      </c>
      <c r="AF82" s="4">
        <v>1360000</v>
      </c>
      <c r="AG82" s="4">
        <v>93746588.676477998</v>
      </c>
      <c r="AH82" s="4">
        <v>8909411.438766636</v>
      </c>
    </row>
    <row r="83" spans="1:34" x14ac:dyDescent="0.3">
      <c r="A83" s="256">
        <v>36851</v>
      </c>
      <c r="B83" s="4">
        <v>1250000</v>
      </c>
      <c r="C83" s="4">
        <v>4563600</v>
      </c>
      <c r="D83" s="4">
        <v>2136334</v>
      </c>
      <c r="E83" s="4">
        <v>429975</v>
      </c>
      <c r="F83" s="4">
        <v>0</v>
      </c>
      <c r="G83" s="4">
        <v>116115000</v>
      </c>
      <c r="H83" s="4">
        <v>1663000</v>
      </c>
      <c r="I83" s="4">
        <v>12878050</v>
      </c>
      <c r="J83" s="4">
        <v>1012500</v>
      </c>
      <c r="K83" s="4">
        <v>23507915.000000115</v>
      </c>
      <c r="L83" s="4">
        <v>10372212</v>
      </c>
      <c r="M83" s="4">
        <v>1302980</v>
      </c>
      <c r="N83" s="4">
        <v>3486752</v>
      </c>
      <c r="O83" s="4">
        <v>429210</v>
      </c>
      <c r="P83" s="4">
        <v>470790</v>
      </c>
      <c r="Q83" s="4">
        <v>27082500</v>
      </c>
      <c r="R83" s="4">
        <v>7121810</v>
      </c>
      <c r="S83" s="4">
        <v>5644007</v>
      </c>
      <c r="T83" s="4">
        <v>20916875</v>
      </c>
      <c r="U83" s="4">
        <v>2560525</v>
      </c>
      <c r="V83" s="4">
        <v>4774950</v>
      </c>
      <c r="W83" s="4">
        <v>2013591.6599838899</v>
      </c>
      <c r="X83" s="4">
        <v>1374750</v>
      </c>
      <c r="Y83" s="4">
        <v>1803840</v>
      </c>
      <c r="Z83" s="4">
        <v>2300803</v>
      </c>
      <c r="AA83" s="4">
        <v>7483750</v>
      </c>
      <c r="AB83" s="4">
        <v>2343750</v>
      </c>
      <c r="AC83" s="4">
        <v>16316247</v>
      </c>
      <c r="AD83" s="4">
        <v>1050000</v>
      </c>
      <c r="AE83" s="4">
        <v>81480000</v>
      </c>
      <c r="AF83" s="4">
        <v>1360000</v>
      </c>
      <c r="AG83" s="4">
        <v>93746588.676477998</v>
      </c>
      <c r="AH83" s="4">
        <v>8723586.9066635054</v>
      </c>
    </row>
    <row r="84" spans="1:34" x14ac:dyDescent="0.3">
      <c r="A84" s="256">
        <v>36852</v>
      </c>
      <c r="B84" s="4">
        <v>1250000</v>
      </c>
      <c r="C84" s="4">
        <v>4563600</v>
      </c>
      <c r="D84" s="4">
        <v>2136334</v>
      </c>
      <c r="E84" s="4">
        <v>429975</v>
      </c>
      <c r="F84" s="4">
        <v>0</v>
      </c>
      <c r="G84" s="4">
        <v>116115000</v>
      </c>
      <c r="H84" s="4">
        <v>1663000</v>
      </c>
      <c r="I84" s="4">
        <v>12878050</v>
      </c>
      <c r="J84" s="4">
        <v>1012500</v>
      </c>
      <c r="K84" s="4">
        <v>23507915.000000119</v>
      </c>
      <c r="L84" s="4">
        <v>10372212</v>
      </c>
      <c r="M84" s="4">
        <v>1302980</v>
      </c>
      <c r="N84" s="4">
        <v>3486752</v>
      </c>
      <c r="O84" s="4">
        <v>429210</v>
      </c>
      <c r="P84" s="4">
        <v>470790</v>
      </c>
      <c r="Q84" s="4">
        <v>27082500</v>
      </c>
      <c r="R84" s="4">
        <v>7121810</v>
      </c>
      <c r="S84" s="4">
        <v>5644007</v>
      </c>
      <c r="T84" s="4">
        <v>20916875</v>
      </c>
      <c r="U84" s="4">
        <v>2560525</v>
      </c>
      <c r="V84" s="4">
        <v>4774950</v>
      </c>
      <c r="W84" s="4">
        <v>2013591.6599838899</v>
      </c>
      <c r="X84" s="4">
        <v>1374750</v>
      </c>
      <c r="Y84" s="4">
        <v>1803840</v>
      </c>
      <c r="Z84" s="4">
        <v>2300803</v>
      </c>
      <c r="AA84" s="4">
        <v>7483750</v>
      </c>
      <c r="AB84" s="4">
        <v>2343750</v>
      </c>
      <c r="AC84" s="4">
        <v>16316247</v>
      </c>
      <c r="AD84" s="4">
        <v>1050000</v>
      </c>
      <c r="AE84" s="4">
        <v>81480000</v>
      </c>
      <c r="AF84" s="4">
        <v>1360000</v>
      </c>
      <c r="AG84" s="4">
        <v>93746588.676477998</v>
      </c>
      <c r="AH84" s="4">
        <v>8786138.5342531372</v>
      </c>
    </row>
    <row r="85" spans="1:34" x14ac:dyDescent="0.3">
      <c r="A85" s="256">
        <v>36854</v>
      </c>
      <c r="B85" s="4">
        <v>1250000</v>
      </c>
      <c r="C85" s="4">
        <v>4563600</v>
      </c>
      <c r="D85" s="4">
        <v>2136334</v>
      </c>
      <c r="E85" s="4">
        <v>429975</v>
      </c>
      <c r="F85" s="4">
        <v>0</v>
      </c>
      <c r="G85" s="4">
        <v>116115000</v>
      </c>
      <c r="H85" s="4">
        <v>1663000</v>
      </c>
      <c r="I85" s="4">
        <v>12878050</v>
      </c>
      <c r="J85" s="4">
        <v>1012500</v>
      </c>
      <c r="K85" s="4">
        <v>23507915.000000123</v>
      </c>
      <c r="L85" s="4">
        <v>10372212</v>
      </c>
      <c r="M85" s="4">
        <v>1302980</v>
      </c>
      <c r="N85" s="4">
        <v>3486752</v>
      </c>
      <c r="O85" s="4">
        <v>429210</v>
      </c>
      <c r="P85" s="4">
        <v>470790</v>
      </c>
      <c r="Q85" s="4">
        <v>27082500</v>
      </c>
      <c r="R85" s="4">
        <v>7121810</v>
      </c>
      <c r="S85" s="4">
        <v>5644007</v>
      </c>
      <c r="T85" s="4">
        <v>20916875</v>
      </c>
      <c r="U85" s="4">
        <v>2560525</v>
      </c>
      <c r="V85" s="4">
        <v>4774950</v>
      </c>
      <c r="W85" s="4">
        <v>2013591.6599838899</v>
      </c>
      <c r="X85" s="4">
        <v>1374750</v>
      </c>
      <c r="Y85" s="4">
        <v>1803840</v>
      </c>
      <c r="Z85" s="4">
        <v>2300803</v>
      </c>
      <c r="AA85" s="4">
        <v>7483750</v>
      </c>
      <c r="AB85" s="4">
        <v>2343750</v>
      </c>
      <c r="AC85" s="4">
        <v>16316247</v>
      </c>
      <c r="AD85" s="4">
        <v>1050000</v>
      </c>
      <c r="AE85" s="4">
        <v>81480000</v>
      </c>
      <c r="AF85" s="4">
        <v>1360000</v>
      </c>
      <c r="AG85" s="4">
        <v>93746588.676477998</v>
      </c>
      <c r="AH85" s="4">
        <v>8924597.4662911594</v>
      </c>
    </row>
    <row r="86" spans="1:34" x14ac:dyDescent="0.3">
      <c r="A86" s="256">
        <v>36857</v>
      </c>
      <c r="B86" s="4">
        <v>1250000</v>
      </c>
      <c r="C86" s="4">
        <v>4563600</v>
      </c>
      <c r="D86" s="4">
        <v>2136334</v>
      </c>
      <c r="E86" s="4">
        <v>429975</v>
      </c>
      <c r="F86" s="4">
        <v>0</v>
      </c>
      <c r="G86" s="4">
        <v>116115000</v>
      </c>
      <c r="H86" s="4">
        <v>1663000</v>
      </c>
      <c r="I86" s="4">
        <v>12878050</v>
      </c>
      <c r="J86" s="4">
        <v>1012500</v>
      </c>
      <c r="K86" s="4">
        <v>23507915.000000127</v>
      </c>
      <c r="L86" s="4">
        <v>10372212</v>
      </c>
      <c r="M86" s="4">
        <v>1302980</v>
      </c>
      <c r="N86" s="4">
        <v>3486752</v>
      </c>
      <c r="O86" s="4">
        <v>429210</v>
      </c>
      <c r="P86" s="4">
        <v>470790</v>
      </c>
      <c r="Q86" s="4">
        <v>27082500</v>
      </c>
      <c r="R86" s="4">
        <v>7121810</v>
      </c>
      <c r="S86" s="4">
        <v>5644007</v>
      </c>
      <c r="T86" s="4">
        <v>20916875</v>
      </c>
      <c r="U86" s="4">
        <v>2560525</v>
      </c>
      <c r="V86" s="4">
        <v>4774950</v>
      </c>
      <c r="W86" s="4">
        <v>2013591.6599838899</v>
      </c>
      <c r="X86" s="4">
        <v>1374750</v>
      </c>
      <c r="Y86" s="4">
        <v>1803840</v>
      </c>
      <c r="Z86" s="4">
        <v>2300803</v>
      </c>
      <c r="AA86" s="4">
        <v>7483750</v>
      </c>
      <c r="AB86" s="4">
        <v>2343750</v>
      </c>
      <c r="AC86" s="4">
        <v>16316247</v>
      </c>
      <c r="AD86" s="4">
        <v>1050000</v>
      </c>
      <c r="AE86" s="4">
        <v>81480000</v>
      </c>
      <c r="AF86" s="4">
        <v>1360000</v>
      </c>
      <c r="AG86" s="4">
        <v>93746588.676477998</v>
      </c>
      <c r="AH86" s="4">
        <v>8924243.640614586</v>
      </c>
    </row>
    <row r="87" spans="1:34" x14ac:dyDescent="0.3">
      <c r="A87" s="256">
        <v>36858</v>
      </c>
      <c r="B87" s="4">
        <v>1250000</v>
      </c>
      <c r="C87" s="4">
        <v>4563600</v>
      </c>
      <c r="D87" s="4">
        <v>2136334</v>
      </c>
      <c r="E87" s="4">
        <v>429975</v>
      </c>
      <c r="F87" s="4">
        <v>0</v>
      </c>
      <c r="G87" s="4">
        <v>116115000</v>
      </c>
      <c r="H87" s="4">
        <v>1663000</v>
      </c>
      <c r="I87" s="4">
        <v>12878050</v>
      </c>
      <c r="J87" s="4">
        <v>1012500</v>
      </c>
      <c r="K87" s="4">
        <v>23507915.00000013</v>
      </c>
      <c r="L87" s="4">
        <v>10372212</v>
      </c>
      <c r="M87" s="4">
        <v>1302980</v>
      </c>
      <c r="N87" s="4">
        <v>3486752</v>
      </c>
      <c r="O87" s="4">
        <v>429210</v>
      </c>
      <c r="P87" s="4">
        <v>470790</v>
      </c>
      <c r="Q87" s="4">
        <v>27082500</v>
      </c>
      <c r="R87" s="4">
        <v>7121810</v>
      </c>
      <c r="S87" s="4">
        <v>5644007</v>
      </c>
      <c r="T87" s="4">
        <v>20916875</v>
      </c>
      <c r="U87" s="4">
        <v>2560525</v>
      </c>
      <c r="V87" s="4">
        <v>4774950</v>
      </c>
      <c r="W87" s="4">
        <v>2013591.6599838899</v>
      </c>
      <c r="X87" s="4">
        <v>1374750</v>
      </c>
      <c r="Y87" s="4">
        <v>1803840</v>
      </c>
      <c r="Z87" s="4">
        <v>2300803</v>
      </c>
      <c r="AA87" s="4">
        <v>7483750</v>
      </c>
      <c r="AB87" s="4">
        <v>2343750</v>
      </c>
      <c r="AC87" s="4">
        <v>16316247</v>
      </c>
      <c r="AD87" s="4">
        <v>1050000</v>
      </c>
      <c r="AE87" s="4">
        <v>81480000</v>
      </c>
      <c r="AF87" s="4">
        <v>1360000</v>
      </c>
      <c r="AG87" s="4">
        <v>93746588.676477998</v>
      </c>
      <c r="AH87" s="4">
        <v>8712096.964309942</v>
      </c>
    </row>
    <row r="88" spans="1:34" x14ac:dyDescent="0.3">
      <c r="A88" s="256">
        <v>36859</v>
      </c>
      <c r="B88" s="4">
        <v>1250000</v>
      </c>
      <c r="C88" s="4">
        <v>4563600</v>
      </c>
      <c r="D88" s="4">
        <v>2136334</v>
      </c>
      <c r="E88" s="4">
        <v>429975</v>
      </c>
      <c r="F88" s="4">
        <v>0</v>
      </c>
      <c r="G88" s="4">
        <v>116115000</v>
      </c>
      <c r="H88" s="4">
        <v>1663000</v>
      </c>
      <c r="I88" s="4">
        <v>12878050</v>
      </c>
      <c r="J88" s="4">
        <v>1012500</v>
      </c>
      <c r="K88" s="4">
        <v>23507915.000000134</v>
      </c>
      <c r="L88" s="4">
        <v>10372212</v>
      </c>
      <c r="M88" s="4">
        <v>1302980</v>
      </c>
      <c r="N88" s="4">
        <v>3486752</v>
      </c>
      <c r="O88" s="4">
        <v>429210</v>
      </c>
      <c r="P88" s="4">
        <v>470790</v>
      </c>
      <c r="Q88" s="4">
        <v>27082500</v>
      </c>
      <c r="R88" s="4">
        <v>7121810</v>
      </c>
      <c r="S88" s="4">
        <v>5644007</v>
      </c>
      <c r="T88" s="4">
        <v>20916875</v>
      </c>
      <c r="U88" s="4">
        <v>2560525</v>
      </c>
      <c r="V88" s="4">
        <v>4774950</v>
      </c>
      <c r="W88" s="4">
        <v>2013591.6599838899</v>
      </c>
      <c r="X88" s="4">
        <v>1374750</v>
      </c>
      <c r="Y88" s="4">
        <v>1803840</v>
      </c>
      <c r="Z88" s="4">
        <v>2300803</v>
      </c>
      <c r="AA88" s="4">
        <v>7483750</v>
      </c>
      <c r="AB88" s="4">
        <v>2343750</v>
      </c>
      <c r="AC88" s="4">
        <v>16316247</v>
      </c>
      <c r="AD88" s="4">
        <v>1050000</v>
      </c>
      <c r="AE88" s="4">
        <v>81480000</v>
      </c>
      <c r="AF88" s="4">
        <v>1360000</v>
      </c>
      <c r="AG88" s="4">
        <v>93746588.676477998</v>
      </c>
      <c r="AH88" s="4">
        <v>8605391.9334194902</v>
      </c>
    </row>
    <row r="89" spans="1:34" x14ac:dyDescent="0.3">
      <c r="A89" s="256">
        <v>36860</v>
      </c>
      <c r="B89" s="4">
        <v>1250000</v>
      </c>
      <c r="C89" s="4">
        <v>4563600</v>
      </c>
      <c r="D89" s="4">
        <v>2136334</v>
      </c>
      <c r="E89" s="4">
        <v>429975</v>
      </c>
      <c r="F89" s="4">
        <v>0</v>
      </c>
      <c r="G89" s="4">
        <v>116115000</v>
      </c>
      <c r="H89" s="4">
        <v>1663000</v>
      </c>
      <c r="I89" s="4">
        <v>12878050</v>
      </c>
      <c r="J89" s="4">
        <v>1012500</v>
      </c>
      <c r="K89" s="4">
        <v>23507915.000000138</v>
      </c>
      <c r="L89" s="4">
        <v>10372212</v>
      </c>
      <c r="M89" s="4">
        <v>1302980</v>
      </c>
      <c r="N89" s="4">
        <v>3486752</v>
      </c>
      <c r="O89" s="4">
        <v>429210</v>
      </c>
      <c r="P89" s="4">
        <v>470790</v>
      </c>
      <c r="Q89" s="4">
        <v>27082500</v>
      </c>
      <c r="R89" s="4">
        <v>7121810</v>
      </c>
      <c r="S89" s="4">
        <v>5644007</v>
      </c>
      <c r="T89" s="4">
        <v>20916875</v>
      </c>
      <c r="U89" s="4">
        <v>2560525</v>
      </c>
      <c r="V89" s="4">
        <v>4774950</v>
      </c>
      <c r="W89" s="4">
        <v>2013591.6599838899</v>
      </c>
      <c r="X89" s="4">
        <v>1374750</v>
      </c>
      <c r="Y89" s="4">
        <v>1803840</v>
      </c>
      <c r="Z89" s="4">
        <v>2300803</v>
      </c>
      <c r="AA89" s="4">
        <v>7483750</v>
      </c>
      <c r="AB89" s="4">
        <v>2343750</v>
      </c>
      <c r="AC89" s="4">
        <v>16316247</v>
      </c>
      <c r="AD89" s="4">
        <v>1050000</v>
      </c>
      <c r="AE89" s="4">
        <v>81480000</v>
      </c>
      <c r="AF89" s="4">
        <v>1360000</v>
      </c>
      <c r="AG89" s="4">
        <v>93746588.676477998</v>
      </c>
      <c r="AH89" s="4">
        <v>8573749.4248745535</v>
      </c>
    </row>
    <row r="90" spans="1:34" x14ac:dyDescent="0.3">
      <c r="A90" s="256">
        <v>36861</v>
      </c>
      <c r="B90" s="4">
        <v>1250000</v>
      </c>
      <c r="C90" s="4">
        <v>4563600</v>
      </c>
      <c r="D90" s="4">
        <v>2136334</v>
      </c>
      <c r="E90" s="4">
        <v>429975</v>
      </c>
      <c r="F90" s="4">
        <v>0</v>
      </c>
      <c r="G90" s="4">
        <v>116115000</v>
      </c>
      <c r="H90" s="4">
        <v>1663000</v>
      </c>
      <c r="I90" s="4">
        <v>12878050</v>
      </c>
      <c r="J90" s="4">
        <v>1012500</v>
      </c>
      <c r="K90" s="4">
        <v>23507915.000000142</v>
      </c>
      <c r="L90" s="4">
        <v>10372212</v>
      </c>
      <c r="M90" s="4">
        <v>1302980</v>
      </c>
      <c r="N90" s="4">
        <v>3486752</v>
      </c>
      <c r="O90" s="4">
        <v>429210</v>
      </c>
      <c r="P90" s="4">
        <v>470790</v>
      </c>
      <c r="Q90" s="4">
        <v>27082500</v>
      </c>
      <c r="R90" s="4">
        <v>7121810</v>
      </c>
      <c r="S90" s="4">
        <v>5644007</v>
      </c>
      <c r="T90" s="4">
        <v>20916875</v>
      </c>
      <c r="U90" s="4">
        <v>2560525</v>
      </c>
      <c r="V90" s="4">
        <v>4774950</v>
      </c>
      <c r="W90" s="4">
        <v>2013591.6599838899</v>
      </c>
      <c r="X90" s="4">
        <v>1374750</v>
      </c>
      <c r="Y90" s="4">
        <v>1803840</v>
      </c>
      <c r="Z90" s="4">
        <v>2300803</v>
      </c>
      <c r="AA90" s="4">
        <v>7483750</v>
      </c>
      <c r="AB90" s="4">
        <v>2343750</v>
      </c>
      <c r="AC90" s="4">
        <v>16316247</v>
      </c>
      <c r="AD90" s="4">
        <v>1050000</v>
      </c>
      <c r="AE90" s="4">
        <v>81480000</v>
      </c>
      <c r="AF90" s="4">
        <v>1360000</v>
      </c>
      <c r="AG90" s="4">
        <v>93746588.676477998</v>
      </c>
      <c r="AH90" s="4">
        <v>8492852.4130265396</v>
      </c>
    </row>
    <row r="91" spans="1:34" x14ac:dyDescent="0.3">
      <c r="A91" s="256">
        <v>36864</v>
      </c>
      <c r="B91" s="4">
        <v>1250000</v>
      </c>
      <c r="C91" s="4">
        <v>4563600</v>
      </c>
      <c r="D91" s="4">
        <v>2136334</v>
      </c>
      <c r="E91" s="4">
        <v>429975</v>
      </c>
      <c r="F91" s="4">
        <v>0</v>
      </c>
      <c r="G91" s="4">
        <v>116115000</v>
      </c>
      <c r="H91" s="4">
        <v>1663000</v>
      </c>
      <c r="I91" s="4">
        <v>12878050</v>
      </c>
      <c r="J91" s="4">
        <v>1012500</v>
      </c>
      <c r="K91" s="4">
        <v>23507915.000000145</v>
      </c>
      <c r="L91" s="4">
        <v>10372212</v>
      </c>
      <c r="M91" s="4">
        <v>1302980</v>
      </c>
      <c r="N91" s="4">
        <v>3486752</v>
      </c>
      <c r="O91" s="4">
        <v>429210</v>
      </c>
      <c r="P91" s="4">
        <v>470790</v>
      </c>
      <c r="Q91" s="4">
        <v>27082500</v>
      </c>
      <c r="R91" s="4">
        <v>7121810</v>
      </c>
      <c r="S91" s="4">
        <v>5644007</v>
      </c>
      <c r="T91" s="4">
        <v>20916875</v>
      </c>
      <c r="U91" s="4">
        <v>2560525</v>
      </c>
      <c r="V91" s="4">
        <v>4774950</v>
      </c>
      <c r="W91" s="4">
        <v>2013591.6599838899</v>
      </c>
      <c r="X91" s="4">
        <v>1374750</v>
      </c>
      <c r="Y91" s="4">
        <v>1803840</v>
      </c>
      <c r="Z91" s="4">
        <v>2300803</v>
      </c>
      <c r="AA91" s="4">
        <v>7483750</v>
      </c>
      <c r="AB91" s="4">
        <v>2343750</v>
      </c>
      <c r="AC91" s="4">
        <v>16316247</v>
      </c>
      <c r="AD91" s="4">
        <v>1050000</v>
      </c>
      <c r="AE91" s="4">
        <v>81480000</v>
      </c>
      <c r="AF91" s="4">
        <v>1360000</v>
      </c>
      <c r="AG91" s="4">
        <v>93746588.676477998</v>
      </c>
      <c r="AH91" s="4">
        <v>8406451.7426016405</v>
      </c>
    </row>
    <row r="92" spans="1:34" x14ac:dyDescent="0.3">
      <c r="A92" s="256">
        <v>36865</v>
      </c>
      <c r="B92" s="4">
        <v>1250000</v>
      </c>
      <c r="C92" s="4">
        <v>4563600</v>
      </c>
      <c r="D92" s="4">
        <v>2136334</v>
      </c>
      <c r="E92" s="4">
        <v>429975</v>
      </c>
      <c r="F92" s="4">
        <v>0</v>
      </c>
      <c r="G92" s="4">
        <v>116115000</v>
      </c>
      <c r="H92" s="4">
        <v>1663000</v>
      </c>
      <c r="I92" s="4">
        <v>12878050</v>
      </c>
      <c r="J92" s="4">
        <v>1012500</v>
      </c>
      <c r="K92" s="4">
        <v>23507915.000000149</v>
      </c>
      <c r="L92" s="4">
        <v>10372212</v>
      </c>
      <c r="M92" s="4">
        <v>1302980</v>
      </c>
      <c r="N92" s="4">
        <v>3486752</v>
      </c>
      <c r="O92" s="4">
        <v>429210</v>
      </c>
      <c r="P92" s="4">
        <v>470790</v>
      </c>
      <c r="Q92" s="4">
        <v>27082500</v>
      </c>
      <c r="R92" s="4">
        <v>7121810</v>
      </c>
      <c r="S92" s="4">
        <v>5644007</v>
      </c>
      <c r="T92" s="4">
        <v>20916875</v>
      </c>
      <c r="U92" s="4">
        <v>2560525</v>
      </c>
      <c r="V92" s="4">
        <v>4774950</v>
      </c>
      <c r="W92" s="4">
        <v>2013591.6599838899</v>
      </c>
      <c r="X92" s="4">
        <v>1374750</v>
      </c>
      <c r="Y92" s="4">
        <v>1803840</v>
      </c>
      <c r="Z92" s="4">
        <v>2300803</v>
      </c>
      <c r="AA92" s="4">
        <v>7483750</v>
      </c>
      <c r="AB92" s="4">
        <v>2343750</v>
      </c>
      <c r="AC92" s="4">
        <v>16316247</v>
      </c>
      <c r="AD92" s="4">
        <v>1050000</v>
      </c>
      <c r="AE92" s="4">
        <v>81480000</v>
      </c>
      <c r="AF92" s="4">
        <v>1360000</v>
      </c>
      <c r="AG92" s="4">
        <v>93746588.676477998</v>
      </c>
      <c r="AH92" s="4">
        <v>8659412.4417830128</v>
      </c>
    </row>
    <row r="93" spans="1:34" x14ac:dyDescent="0.3">
      <c r="A93" s="256">
        <v>36866</v>
      </c>
      <c r="B93" s="4">
        <v>1250000</v>
      </c>
      <c r="C93" s="4">
        <v>4563600</v>
      </c>
      <c r="D93" s="4">
        <v>2136334</v>
      </c>
      <c r="E93" s="4">
        <v>429975</v>
      </c>
      <c r="F93" s="4">
        <v>0</v>
      </c>
      <c r="G93" s="4">
        <v>116115000</v>
      </c>
      <c r="H93" s="4">
        <v>1663000</v>
      </c>
      <c r="I93" s="4">
        <v>12878050</v>
      </c>
      <c r="J93" s="4">
        <v>1012500</v>
      </c>
      <c r="K93" s="4">
        <v>23507915.000000153</v>
      </c>
      <c r="L93" s="4">
        <v>10372212</v>
      </c>
      <c r="M93" s="4">
        <v>1302980</v>
      </c>
      <c r="N93" s="4">
        <v>3486752</v>
      </c>
      <c r="O93" s="4">
        <v>429210</v>
      </c>
      <c r="P93" s="4">
        <v>470790</v>
      </c>
      <c r="Q93" s="4">
        <v>27082500</v>
      </c>
      <c r="R93" s="4">
        <v>7121810</v>
      </c>
      <c r="S93" s="4">
        <v>5644007</v>
      </c>
      <c r="T93" s="4">
        <v>20916875</v>
      </c>
      <c r="U93" s="4">
        <v>2560525</v>
      </c>
      <c r="V93" s="4">
        <v>4774950</v>
      </c>
      <c r="W93" s="4">
        <v>2013591.6599838899</v>
      </c>
      <c r="X93" s="4">
        <v>1374750</v>
      </c>
      <c r="Y93" s="4">
        <v>1803840</v>
      </c>
      <c r="Z93" s="4">
        <v>2300803</v>
      </c>
      <c r="AA93" s="4">
        <v>7483750</v>
      </c>
      <c r="AB93" s="4">
        <v>2343750</v>
      </c>
      <c r="AC93" s="4">
        <v>16316247</v>
      </c>
      <c r="AD93" s="4">
        <v>1050000</v>
      </c>
      <c r="AE93" s="4">
        <v>81480000</v>
      </c>
      <c r="AF93" s="4">
        <v>1360000</v>
      </c>
      <c r="AG93" s="4">
        <v>93746588.676477998</v>
      </c>
      <c r="AH93" s="4">
        <v>8546289.9303788505</v>
      </c>
    </row>
    <row r="94" spans="1:34" x14ac:dyDescent="0.3">
      <c r="A94" s="256">
        <v>36867</v>
      </c>
      <c r="B94" s="4">
        <v>1250000</v>
      </c>
      <c r="C94" s="4">
        <v>4563600</v>
      </c>
      <c r="D94" s="4">
        <v>2136334</v>
      </c>
      <c r="E94" s="4">
        <v>429975</v>
      </c>
      <c r="F94" s="4">
        <v>0</v>
      </c>
      <c r="G94" s="4">
        <v>116115000</v>
      </c>
      <c r="H94" s="4">
        <v>1663000</v>
      </c>
      <c r="I94" s="4">
        <v>12878050</v>
      </c>
      <c r="J94" s="4">
        <v>1012500</v>
      </c>
      <c r="K94" s="4">
        <v>23507915.000000156</v>
      </c>
      <c r="L94" s="4">
        <v>10372212</v>
      </c>
      <c r="M94" s="4">
        <v>1302980</v>
      </c>
      <c r="N94" s="4">
        <v>3486752</v>
      </c>
      <c r="O94" s="4">
        <v>429210</v>
      </c>
      <c r="P94" s="4">
        <v>470790</v>
      </c>
      <c r="Q94" s="4">
        <v>27082500</v>
      </c>
      <c r="R94" s="4">
        <v>7121810</v>
      </c>
      <c r="S94" s="4">
        <v>5644007</v>
      </c>
      <c r="T94" s="4">
        <v>20916875</v>
      </c>
      <c r="U94" s="4">
        <v>2560525</v>
      </c>
      <c r="V94" s="4">
        <v>4774950</v>
      </c>
      <c r="W94" s="4">
        <v>2013591.6599838899</v>
      </c>
      <c r="X94" s="4">
        <v>1374750</v>
      </c>
      <c r="Y94" s="4">
        <v>1803840</v>
      </c>
      <c r="Z94" s="4">
        <v>2300803</v>
      </c>
      <c r="AA94" s="4">
        <v>7483750</v>
      </c>
      <c r="AB94" s="4">
        <v>2343750</v>
      </c>
      <c r="AC94" s="4">
        <v>16316247</v>
      </c>
      <c r="AD94" s="4">
        <v>1050000</v>
      </c>
      <c r="AE94" s="4">
        <v>81480000</v>
      </c>
      <c r="AF94" s="4">
        <v>1360000</v>
      </c>
      <c r="AG94" s="4">
        <v>93746588.676477998</v>
      </c>
      <c r="AH94" s="4">
        <v>8366894.5335890856</v>
      </c>
    </row>
    <row r="95" spans="1:34" x14ac:dyDescent="0.3">
      <c r="A95" s="256">
        <v>36868</v>
      </c>
      <c r="B95" s="4">
        <v>1250000</v>
      </c>
      <c r="C95" s="4">
        <v>4563600</v>
      </c>
      <c r="D95" s="4">
        <v>2136334</v>
      </c>
      <c r="E95" s="4">
        <v>429975</v>
      </c>
      <c r="F95" s="4">
        <v>0</v>
      </c>
      <c r="G95" s="4">
        <v>116115000</v>
      </c>
      <c r="H95" s="4">
        <v>1663000</v>
      </c>
      <c r="I95" s="4">
        <v>12878050</v>
      </c>
      <c r="J95" s="4">
        <v>1012500</v>
      </c>
      <c r="K95" s="4">
        <v>23507915.00000016</v>
      </c>
      <c r="L95" s="4">
        <v>10372212</v>
      </c>
      <c r="M95" s="4">
        <v>1302980</v>
      </c>
      <c r="N95" s="4">
        <v>3486752</v>
      </c>
      <c r="O95" s="4">
        <v>429210</v>
      </c>
      <c r="P95" s="4">
        <v>470790</v>
      </c>
      <c r="Q95" s="4">
        <v>26054801.25</v>
      </c>
      <c r="R95" s="4">
        <v>7121810</v>
      </c>
      <c r="S95" s="4">
        <v>5644007</v>
      </c>
      <c r="T95" s="4">
        <v>20984932.989999998</v>
      </c>
      <c r="U95" s="4">
        <v>2560525</v>
      </c>
      <c r="V95" s="4">
        <v>4923475.66</v>
      </c>
      <c r="W95" s="4">
        <v>2013591.6599838899</v>
      </c>
      <c r="X95" s="4">
        <v>1374750</v>
      </c>
      <c r="Y95" s="4">
        <v>1803840</v>
      </c>
      <c r="Z95" s="4">
        <v>2300803</v>
      </c>
      <c r="AA95" s="4">
        <v>7463158.7400000002</v>
      </c>
      <c r="AB95" s="4">
        <v>2343750</v>
      </c>
      <c r="AC95" s="4">
        <v>16316247</v>
      </c>
      <c r="AD95" s="4">
        <v>1050000</v>
      </c>
      <c r="AE95" s="4">
        <v>80687584.609999999</v>
      </c>
      <c r="AF95" s="4">
        <v>1360000</v>
      </c>
      <c r="AG95" s="4">
        <v>93746588.676477998</v>
      </c>
      <c r="AH95" s="4">
        <v>8370485.9442652185</v>
      </c>
    </row>
    <row r="96" spans="1:34" x14ac:dyDescent="0.3">
      <c r="A96" s="256">
        <v>36871</v>
      </c>
      <c r="B96" s="4">
        <v>1250000</v>
      </c>
      <c r="C96" s="4">
        <v>4563600</v>
      </c>
      <c r="D96" s="4">
        <v>2136334</v>
      </c>
      <c r="E96" s="4">
        <v>429975</v>
      </c>
      <c r="F96" s="4">
        <v>0</v>
      </c>
      <c r="G96" s="4">
        <v>60600021</v>
      </c>
      <c r="H96" s="4">
        <v>1663000</v>
      </c>
      <c r="I96" s="4">
        <v>12878050</v>
      </c>
      <c r="J96" s="4">
        <v>1012500</v>
      </c>
      <c r="K96" s="4">
        <v>23507915.000000164</v>
      </c>
      <c r="L96" s="4">
        <v>10372212</v>
      </c>
      <c r="M96" s="4">
        <v>1302980</v>
      </c>
      <c r="N96" s="4">
        <v>3486752</v>
      </c>
      <c r="O96" s="4">
        <v>429210</v>
      </c>
      <c r="P96" s="4">
        <v>470790</v>
      </c>
      <c r="Q96" s="4">
        <v>26054801.25</v>
      </c>
      <c r="R96" s="4">
        <v>7121810</v>
      </c>
      <c r="S96" s="4">
        <v>5644007</v>
      </c>
      <c r="T96" s="4">
        <v>20984932.989999998</v>
      </c>
      <c r="U96" s="4">
        <v>2560525</v>
      </c>
      <c r="V96" s="4">
        <v>4923475.66</v>
      </c>
      <c r="W96" s="4">
        <v>2013591.6599838899</v>
      </c>
      <c r="X96" s="4">
        <v>1374750</v>
      </c>
      <c r="Y96" s="4">
        <v>1803840</v>
      </c>
      <c r="Z96" s="4">
        <v>2300803</v>
      </c>
      <c r="AA96" s="4">
        <v>7463158.7400000002</v>
      </c>
      <c r="AB96" s="4">
        <v>2343750</v>
      </c>
      <c r="AC96" s="4">
        <v>16316247</v>
      </c>
      <c r="AD96" s="4">
        <v>1050000</v>
      </c>
      <c r="AE96" s="4">
        <v>80687584.609999999</v>
      </c>
      <c r="AF96" s="4">
        <v>1360000</v>
      </c>
      <c r="AG96" s="4">
        <v>93746588.676477998</v>
      </c>
      <c r="AH96" s="4">
        <v>8428534.363769941</v>
      </c>
    </row>
    <row r="97" spans="1:34" x14ac:dyDescent="0.3">
      <c r="A97" s="256">
        <v>36872</v>
      </c>
      <c r="B97" s="4">
        <v>1250000</v>
      </c>
      <c r="C97" s="4">
        <v>4563600</v>
      </c>
      <c r="D97" s="4">
        <v>2136334</v>
      </c>
      <c r="E97" s="4">
        <v>429975</v>
      </c>
      <c r="F97" s="4">
        <v>0</v>
      </c>
      <c r="G97" s="4">
        <v>60600021</v>
      </c>
      <c r="H97" s="4">
        <v>1663000</v>
      </c>
      <c r="I97" s="4">
        <v>12878050</v>
      </c>
      <c r="J97" s="4">
        <v>1012500</v>
      </c>
      <c r="K97" s="4">
        <v>23507915.000000168</v>
      </c>
      <c r="L97" s="4">
        <v>10372212</v>
      </c>
      <c r="M97" s="4">
        <v>1302980</v>
      </c>
      <c r="N97" s="4">
        <v>3486752</v>
      </c>
      <c r="O97" s="4">
        <v>429210</v>
      </c>
      <c r="P97" s="4">
        <v>470790</v>
      </c>
      <c r="Q97" s="4">
        <v>26054801.25</v>
      </c>
      <c r="R97" s="4">
        <v>7121810</v>
      </c>
      <c r="S97" s="4">
        <v>5644007</v>
      </c>
      <c r="T97" s="4">
        <v>20984932.989999998</v>
      </c>
      <c r="U97" s="4">
        <v>2560525</v>
      </c>
      <c r="V97" s="4">
        <v>4923475.66</v>
      </c>
      <c r="W97" s="4">
        <v>2013591.6599838899</v>
      </c>
      <c r="X97" s="4">
        <v>1374750</v>
      </c>
      <c r="Y97" s="4">
        <v>1803840</v>
      </c>
      <c r="Z97" s="4">
        <v>2300803</v>
      </c>
      <c r="AA97" s="4">
        <v>7463158.7400000002</v>
      </c>
      <c r="AB97" s="4">
        <v>2343750</v>
      </c>
      <c r="AC97" s="4">
        <v>16316247</v>
      </c>
      <c r="AD97" s="4">
        <v>1050000</v>
      </c>
      <c r="AE97" s="4">
        <v>80687584.609999999</v>
      </c>
      <c r="AF97" s="4">
        <v>1360000</v>
      </c>
      <c r="AG97" s="4">
        <v>93746588.676477998</v>
      </c>
      <c r="AH97" s="4">
        <v>8677813.4777547922</v>
      </c>
    </row>
    <row r="98" spans="1:34" x14ac:dyDescent="0.3">
      <c r="A98" s="256">
        <v>36873</v>
      </c>
      <c r="B98" s="4">
        <v>1250000</v>
      </c>
      <c r="C98" s="4">
        <v>4563600</v>
      </c>
      <c r="D98" s="4">
        <v>2136334</v>
      </c>
      <c r="E98" s="4">
        <v>429975</v>
      </c>
      <c r="F98" s="4">
        <v>0</v>
      </c>
      <c r="G98" s="4">
        <v>60600021</v>
      </c>
      <c r="H98" s="4">
        <v>1663000</v>
      </c>
      <c r="I98" s="4">
        <v>12878050</v>
      </c>
      <c r="J98" s="4">
        <v>1012500</v>
      </c>
      <c r="K98" s="4">
        <v>23507915.000000171</v>
      </c>
      <c r="L98" s="4">
        <v>10372212</v>
      </c>
      <c r="M98" s="4">
        <v>1302980</v>
      </c>
      <c r="N98" s="4">
        <v>3486752</v>
      </c>
      <c r="O98" s="4">
        <v>429210</v>
      </c>
      <c r="P98" s="4">
        <v>470790</v>
      </c>
      <c r="Q98" s="4">
        <v>26054801.25</v>
      </c>
      <c r="R98" s="4">
        <v>7121810</v>
      </c>
      <c r="S98" s="4">
        <v>5644007</v>
      </c>
      <c r="T98" s="4">
        <v>20984932.989999998</v>
      </c>
      <c r="U98" s="4">
        <v>2560525</v>
      </c>
      <c r="V98" s="4">
        <v>4923475.66</v>
      </c>
      <c r="W98" s="4">
        <v>2013591.6599838899</v>
      </c>
      <c r="X98" s="4">
        <v>1374750</v>
      </c>
      <c r="Y98" s="4">
        <v>1803840</v>
      </c>
      <c r="Z98" s="4">
        <v>2300803</v>
      </c>
      <c r="AA98" s="4">
        <v>7463158.7400000002</v>
      </c>
      <c r="AB98" s="4">
        <v>2343750</v>
      </c>
      <c r="AC98" s="4">
        <v>16316247</v>
      </c>
      <c r="AD98" s="4">
        <v>1050000</v>
      </c>
      <c r="AE98" s="4">
        <v>80687584.609999999</v>
      </c>
      <c r="AF98" s="4">
        <v>1360000</v>
      </c>
      <c r="AG98" s="4">
        <v>93746588.676477998</v>
      </c>
      <c r="AH98" s="4">
        <v>8555666.2694022469</v>
      </c>
    </row>
    <row r="99" spans="1:34" x14ac:dyDescent="0.3">
      <c r="A99" s="256">
        <v>36874</v>
      </c>
      <c r="B99" s="4">
        <v>1250000</v>
      </c>
      <c r="C99" s="4">
        <v>4563600</v>
      </c>
      <c r="D99" s="4">
        <v>2136334</v>
      </c>
      <c r="E99" s="4">
        <v>429975</v>
      </c>
      <c r="F99" s="4">
        <v>0</v>
      </c>
      <c r="G99" s="4">
        <v>0</v>
      </c>
      <c r="H99" s="4">
        <v>1663000</v>
      </c>
      <c r="I99" s="4">
        <v>12878050</v>
      </c>
      <c r="J99" s="4">
        <v>1012500</v>
      </c>
      <c r="K99" s="4">
        <v>23507915.000000175</v>
      </c>
      <c r="L99" s="4">
        <v>10372212</v>
      </c>
      <c r="M99" s="4">
        <v>1302980</v>
      </c>
      <c r="N99" s="4">
        <v>3486752</v>
      </c>
      <c r="O99" s="4">
        <v>429210</v>
      </c>
      <c r="P99" s="4">
        <v>470790</v>
      </c>
      <c r="Q99" s="4">
        <v>26054801.25</v>
      </c>
      <c r="R99" s="4">
        <v>7121810</v>
      </c>
      <c r="S99" s="4">
        <v>5644007</v>
      </c>
      <c r="T99" s="4">
        <v>20984932.989999998</v>
      </c>
      <c r="U99" s="4">
        <v>2560525</v>
      </c>
      <c r="V99" s="4">
        <v>4923475.66</v>
      </c>
      <c r="W99" s="4">
        <v>2013591.6599838899</v>
      </c>
      <c r="X99" s="4">
        <v>1374750</v>
      </c>
      <c r="Y99" s="4">
        <v>1803840</v>
      </c>
      <c r="Z99" s="4">
        <v>2300803</v>
      </c>
      <c r="AA99" s="4">
        <v>7463158.7400000002</v>
      </c>
      <c r="AB99" s="4">
        <v>2343750</v>
      </c>
      <c r="AC99" s="4">
        <v>16316247</v>
      </c>
      <c r="AD99" s="4">
        <v>1050000</v>
      </c>
      <c r="AE99" s="4">
        <v>80687584.609999999</v>
      </c>
      <c r="AF99" s="4">
        <v>1360000</v>
      </c>
      <c r="AG99" s="4">
        <v>93746588.676477998</v>
      </c>
      <c r="AH99" s="4">
        <v>8486611.1538367067</v>
      </c>
    </row>
    <row r="100" spans="1:34" x14ac:dyDescent="0.3">
      <c r="A100" s="256">
        <v>36875</v>
      </c>
      <c r="B100" s="4">
        <v>1250000</v>
      </c>
      <c r="C100" s="4">
        <v>4563600</v>
      </c>
      <c r="D100" s="4">
        <v>2136334</v>
      </c>
      <c r="E100" s="4">
        <v>429975</v>
      </c>
      <c r="F100" s="4">
        <v>0</v>
      </c>
      <c r="G100" s="4">
        <v>0</v>
      </c>
      <c r="H100" s="4">
        <v>1663000</v>
      </c>
      <c r="I100" s="4">
        <v>12878050</v>
      </c>
      <c r="J100" s="4">
        <v>1012500</v>
      </c>
      <c r="K100" s="4">
        <v>23507915.000000179</v>
      </c>
      <c r="L100" s="4">
        <v>10372212</v>
      </c>
      <c r="M100" s="4">
        <v>1302980</v>
      </c>
      <c r="N100" s="4">
        <v>3486752</v>
      </c>
      <c r="O100" s="4">
        <v>429210</v>
      </c>
      <c r="P100" s="4">
        <v>470790</v>
      </c>
      <c r="Q100" s="4">
        <v>26054801.25</v>
      </c>
      <c r="R100" s="4">
        <v>7121810</v>
      </c>
      <c r="S100" s="4">
        <v>5644007</v>
      </c>
      <c r="T100" s="4">
        <v>20984932.989999998</v>
      </c>
      <c r="U100" s="4">
        <v>2560525</v>
      </c>
      <c r="V100" s="4">
        <v>4923475.66</v>
      </c>
      <c r="W100" s="4">
        <v>2013591.6599838899</v>
      </c>
      <c r="X100" s="4">
        <v>1374750</v>
      </c>
      <c r="Y100" s="4">
        <v>1803840</v>
      </c>
      <c r="Z100" s="4">
        <v>2300803</v>
      </c>
      <c r="AA100" s="4">
        <v>7463158.7400000002</v>
      </c>
      <c r="AB100" s="4">
        <v>2343750</v>
      </c>
      <c r="AC100" s="4">
        <v>16316247</v>
      </c>
      <c r="AD100" s="4">
        <v>1050000</v>
      </c>
      <c r="AE100" s="4">
        <v>80687584.609999999</v>
      </c>
      <c r="AF100" s="4">
        <v>1360000</v>
      </c>
      <c r="AG100" s="4">
        <v>93746588.676477998</v>
      </c>
      <c r="AH100" s="4">
        <v>8464768.0299172644</v>
      </c>
    </row>
    <row r="101" spans="1:34" x14ac:dyDescent="0.3">
      <c r="A101" s="256">
        <v>36878</v>
      </c>
      <c r="B101" s="4">
        <v>1250000</v>
      </c>
      <c r="C101" s="4">
        <v>4563600</v>
      </c>
      <c r="D101" s="4">
        <v>2136334</v>
      </c>
      <c r="E101" s="4">
        <v>429975</v>
      </c>
      <c r="F101" s="4">
        <v>0</v>
      </c>
      <c r="G101" s="4">
        <v>0</v>
      </c>
      <c r="H101" s="4">
        <v>1663000</v>
      </c>
      <c r="I101" s="4">
        <v>12878050</v>
      </c>
      <c r="J101" s="4">
        <v>1012500</v>
      </c>
      <c r="K101" s="4">
        <v>23507915.000000183</v>
      </c>
      <c r="L101" s="4">
        <v>10372212</v>
      </c>
      <c r="M101" s="4">
        <v>1302980</v>
      </c>
      <c r="N101" s="4">
        <v>3486752</v>
      </c>
      <c r="O101" s="4">
        <v>429210</v>
      </c>
      <c r="P101" s="4">
        <v>470790</v>
      </c>
      <c r="Q101" s="4">
        <v>26054801.25</v>
      </c>
      <c r="R101" s="4">
        <v>7121810</v>
      </c>
      <c r="S101" s="4">
        <v>5644007</v>
      </c>
      <c r="T101" s="4">
        <v>20984932.989999998</v>
      </c>
      <c r="U101" s="4">
        <v>2560525</v>
      </c>
      <c r="V101" s="4">
        <v>4923475.66</v>
      </c>
      <c r="W101" s="4">
        <v>2013591.6599838899</v>
      </c>
      <c r="X101" s="4">
        <v>1374750</v>
      </c>
      <c r="Y101" s="4">
        <v>1803840</v>
      </c>
      <c r="Z101" s="4">
        <v>2300803</v>
      </c>
      <c r="AA101" s="4">
        <v>7463158.7400000002</v>
      </c>
      <c r="AB101" s="4">
        <v>2343750</v>
      </c>
      <c r="AC101" s="4">
        <v>16316247</v>
      </c>
      <c r="AD101" s="4">
        <v>1050000</v>
      </c>
      <c r="AE101" s="4">
        <v>80687584.609999999</v>
      </c>
      <c r="AF101" s="4">
        <v>1360000</v>
      </c>
      <c r="AG101" s="4">
        <v>93746588.676477998</v>
      </c>
      <c r="AH101" s="4">
        <v>8488763.7322881576</v>
      </c>
    </row>
    <row r="102" spans="1:34" x14ac:dyDescent="0.3">
      <c r="A102" s="256">
        <v>36879</v>
      </c>
      <c r="B102" s="4">
        <v>1250000</v>
      </c>
      <c r="C102" s="4">
        <v>4563600</v>
      </c>
      <c r="D102" s="4">
        <v>2136334</v>
      </c>
      <c r="E102" s="4">
        <v>429975</v>
      </c>
      <c r="F102" s="4">
        <v>0</v>
      </c>
      <c r="G102" s="4">
        <v>0</v>
      </c>
      <c r="H102" s="4">
        <v>1663000</v>
      </c>
      <c r="I102" s="4">
        <v>12878050</v>
      </c>
      <c r="J102" s="4">
        <v>1012500</v>
      </c>
      <c r="K102" s="4">
        <v>23507915.000000186</v>
      </c>
      <c r="L102" s="4">
        <v>10372212</v>
      </c>
      <c r="M102" s="4">
        <v>1302980</v>
      </c>
      <c r="N102" s="4">
        <v>3486752</v>
      </c>
      <c r="O102" s="4">
        <v>429210</v>
      </c>
      <c r="P102" s="4">
        <v>470790</v>
      </c>
      <c r="Q102" s="4">
        <v>26054801.25</v>
      </c>
      <c r="R102" s="4">
        <v>7121810</v>
      </c>
      <c r="S102" s="4">
        <v>5644007</v>
      </c>
      <c r="T102" s="4">
        <v>20984932.989999998</v>
      </c>
      <c r="U102" s="4">
        <v>2560525</v>
      </c>
      <c r="V102" s="4">
        <v>4923475.66</v>
      </c>
      <c r="W102" s="4">
        <v>2013591.6599838899</v>
      </c>
      <c r="X102" s="4">
        <v>1374750</v>
      </c>
      <c r="Y102" s="4">
        <v>1803840</v>
      </c>
      <c r="Z102" s="4">
        <v>2300803</v>
      </c>
      <c r="AA102" s="4">
        <v>7463158.7400000002</v>
      </c>
      <c r="AB102" s="4">
        <v>2343750</v>
      </c>
      <c r="AC102" s="4">
        <v>16316247</v>
      </c>
      <c r="AD102" s="4">
        <v>1050000</v>
      </c>
      <c r="AE102" s="4">
        <v>80687584.609999999</v>
      </c>
      <c r="AF102" s="4">
        <v>1360000</v>
      </c>
      <c r="AG102" s="4">
        <v>93746588.676477998</v>
      </c>
      <c r="AH102" s="4">
        <v>8522624.0681299008</v>
      </c>
    </row>
    <row r="103" spans="1:34" x14ac:dyDescent="0.3">
      <c r="A103" s="256">
        <v>36880</v>
      </c>
      <c r="B103" s="4">
        <v>1250000</v>
      </c>
      <c r="C103" s="4">
        <v>4563600</v>
      </c>
      <c r="D103" s="4">
        <v>2136334</v>
      </c>
      <c r="E103" s="4">
        <v>429975</v>
      </c>
      <c r="F103" s="4">
        <v>0</v>
      </c>
      <c r="G103" s="4">
        <v>0</v>
      </c>
      <c r="H103" s="4">
        <v>1663000</v>
      </c>
      <c r="I103" s="4">
        <v>12878050</v>
      </c>
      <c r="J103" s="4">
        <v>1012500</v>
      </c>
      <c r="K103" s="4">
        <v>23507915.00000019</v>
      </c>
      <c r="L103" s="4">
        <v>10372212</v>
      </c>
      <c r="M103" s="4">
        <v>1302980</v>
      </c>
      <c r="N103" s="4">
        <v>3486752</v>
      </c>
      <c r="O103" s="4">
        <v>429210</v>
      </c>
      <c r="P103" s="4">
        <v>470790</v>
      </c>
      <c r="Q103" s="4">
        <v>26054801.25</v>
      </c>
      <c r="R103" s="4">
        <v>7121810</v>
      </c>
      <c r="S103" s="4">
        <v>5644007</v>
      </c>
      <c r="T103" s="4">
        <v>20984932.989999998</v>
      </c>
      <c r="U103" s="4">
        <v>2560525</v>
      </c>
      <c r="V103" s="4">
        <v>4923475.66</v>
      </c>
      <c r="W103" s="4">
        <v>2013591.6599838899</v>
      </c>
      <c r="X103" s="4">
        <v>1374750</v>
      </c>
      <c r="Y103" s="4">
        <v>1803840</v>
      </c>
      <c r="Z103" s="4">
        <v>2300803</v>
      </c>
      <c r="AA103" s="4">
        <v>7463158.7400000002</v>
      </c>
      <c r="AB103" s="4">
        <v>2343750</v>
      </c>
      <c r="AC103" s="4">
        <v>16316247</v>
      </c>
      <c r="AD103" s="4">
        <v>1050000</v>
      </c>
      <c r="AE103" s="4">
        <v>80687584.609999999</v>
      </c>
      <c r="AF103" s="4">
        <v>1360000</v>
      </c>
      <c r="AG103" s="4">
        <v>93746588.676477998</v>
      </c>
      <c r="AH103" s="4">
        <v>7750581.3068908164</v>
      </c>
    </row>
    <row r="104" spans="1:34" x14ac:dyDescent="0.3">
      <c r="A104" s="256">
        <v>36881</v>
      </c>
      <c r="B104" s="4">
        <v>1250000</v>
      </c>
      <c r="C104" s="4">
        <v>4563600</v>
      </c>
      <c r="D104" s="4">
        <v>1247943.5</v>
      </c>
      <c r="E104" s="4">
        <v>429975</v>
      </c>
      <c r="F104" s="4">
        <v>0</v>
      </c>
      <c r="G104" s="4">
        <v>0</v>
      </c>
      <c r="H104" s="4">
        <v>1663000</v>
      </c>
      <c r="I104" s="4">
        <v>0</v>
      </c>
      <c r="J104" s="4">
        <v>1012500</v>
      </c>
      <c r="K104" s="4">
        <v>23507915.000000194</v>
      </c>
      <c r="L104" s="4">
        <v>10372212</v>
      </c>
      <c r="M104" s="4">
        <v>1302980</v>
      </c>
      <c r="N104" s="4">
        <v>3486752</v>
      </c>
      <c r="O104" s="4">
        <v>429210</v>
      </c>
      <c r="P104" s="4">
        <v>470790</v>
      </c>
      <c r="Q104" s="4">
        <v>26054801.25</v>
      </c>
      <c r="R104" s="4">
        <v>7121810</v>
      </c>
      <c r="S104" s="4">
        <v>5644007</v>
      </c>
      <c r="T104" s="4">
        <v>20984932.989999998</v>
      </c>
      <c r="U104" s="4">
        <v>2560525</v>
      </c>
      <c r="V104" s="4">
        <v>4923475.66</v>
      </c>
      <c r="W104" s="4">
        <v>2013591.6599838899</v>
      </c>
      <c r="X104" s="4">
        <v>1374750</v>
      </c>
      <c r="Y104" s="4">
        <v>1803840</v>
      </c>
      <c r="Z104" s="4">
        <v>2300803</v>
      </c>
      <c r="AA104" s="4">
        <v>7463158.7400000002</v>
      </c>
      <c r="AB104" s="4">
        <v>2343750</v>
      </c>
      <c r="AC104" s="4">
        <v>16316247</v>
      </c>
      <c r="AD104" s="4">
        <v>1050000</v>
      </c>
      <c r="AE104" s="4">
        <v>80687584.609999999</v>
      </c>
      <c r="AF104" s="4">
        <v>1360000</v>
      </c>
      <c r="AG104" s="4">
        <v>93746588.676477998</v>
      </c>
      <c r="AH104" s="4">
        <v>7754384.3164993217</v>
      </c>
    </row>
    <row r="105" spans="1:34" x14ac:dyDescent="0.3">
      <c r="A105" s="256">
        <v>36882</v>
      </c>
      <c r="B105" s="4">
        <v>1250000</v>
      </c>
      <c r="C105" s="4">
        <v>4563600</v>
      </c>
      <c r="D105" s="4">
        <v>1247943.5</v>
      </c>
      <c r="E105" s="4">
        <v>429975</v>
      </c>
      <c r="F105" s="4">
        <v>0</v>
      </c>
      <c r="G105" s="4">
        <v>0</v>
      </c>
      <c r="H105" s="4">
        <v>1663000</v>
      </c>
      <c r="I105" s="4">
        <v>0</v>
      </c>
      <c r="J105" s="4">
        <v>1012500</v>
      </c>
      <c r="K105" s="4">
        <v>23507915.000000197</v>
      </c>
      <c r="L105" s="4">
        <v>10372212</v>
      </c>
      <c r="M105" s="4">
        <v>1302980</v>
      </c>
      <c r="N105" s="4">
        <v>3486752</v>
      </c>
      <c r="O105" s="4">
        <v>429210</v>
      </c>
      <c r="P105" s="4">
        <v>470790</v>
      </c>
      <c r="Q105" s="4">
        <v>26054801.25</v>
      </c>
      <c r="R105" s="4">
        <v>7121810</v>
      </c>
      <c r="S105" s="4">
        <v>5644007</v>
      </c>
      <c r="T105" s="4">
        <v>20984932.989999998</v>
      </c>
      <c r="U105" s="4">
        <v>2560525</v>
      </c>
      <c r="V105" s="4">
        <v>4923475.66</v>
      </c>
      <c r="W105" s="4">
        <v>2013591.6599838899</v>
      </c>
      <c r="X105" s="4">
        <v>1374750</v>
      </c>
      <c r="Y105" s="4">
        <v>1803840</v>
      </c>
      <c r="Z105" s="4">
        <v>2300803</v>
      </c>
      <c r="AA105" s="4">
        <v>7463158.7400000002</v>
      </c>
      <c r="AB105" s="4">
        <v>2343750</v>
      </c>
      <c r="AC105" s="4">
        <v>16316247</v>
      </c>
      <c r="AD105" s="4">
        <v>1050000</v>
      </c>
      <c r="AE105" s="4">
        <v>80687584.609999999</v>
      </c>
      <c r="AF105" s="4">
        <v>1360000</v>
      </c>
      <c r="AG105" s="4">
        <v>93746588.676477998</v>
      </c>
      <c r="AH105" s="4">
        <v>7686239.174390628</v>
      </c>
    </row>
    <row r="106" spans="1:34" x14ac:dyDescent="0.3">
      <c r="A106" s="256">
        <v>36886</v>
      </c>
      <c r="B106" s="4">
        <v>1250000</v>
      </c>
      <c r="C106" s="4">
        <v>4563600</v>
      </c>
      <c r="D106" s="4">
        <v>1247943.5</v>
      </c>
      <c r="E106" s="4">
        <v>429975</v>
      </c>
      <c r="F106" s="4">
        <v>0</v>
      </c>
      <c r="G106" s="4">
        <v>0</v>
      </c>
      <c r="H106" s="4">
        <v>1663000</v>
      </c>
      <c r="I106" s="4">
        <v>0</v>
      </c>
      <c r="J106" s="4">
        <v>1012500</v>
      </c>
      <c r="K106" s="4">
        <v>23507915.000000201</v>
      </c>
      <c r="L106" s="4">
        <v>10372212</v>
      </c>
      <c r="M106" s="4">
        <v>1302980</v>
      </c>
      <c r="N106" s="4">
        <v>3486752</v>
      </c>
      <c r="O106" s="4">
        <v>429210</v>
      </c>
      <c r="P106" s="4">
        <v>470790</v>
      </c>
      <c r="Q106" s="4">
        <v>26054801.25</v>
      </c>
      <c r="R106" s="4">
        <v>7121810</v>
      </c>
      <c r="S106" s="4">
        <v>5644007</v>
      </c>
      <c r="T106" s="4">
        <v>20984932.989999998</v>
      </c>
      <c r="U106" s="4">
        <v>2560525</v>
      </c>
      <c r="V106" s="4">
        <v>4923475.66</v>
      </c>
      <c r="W106" s="4">
        <v>2013591.6599838899</v>
      </c>
      <c r="X106" s="4">
        <v>1374750</v>
      </c>
      <c r="Y106" s="4">
        <v>1803840</v>
      </c>
      <c r="Z106" s="4">
        <v>2300803</v>
      </c>
      <c r="AA106" s="4">
        <v>7463158.7400000002</v>
      </c>
      <c r="AB106" s="4">
        <v>2343750</v>
      </c>
      <c r="AC106" s="4">
        <v>16316247</v>
      </c>
      <c r="AD106" s="4">
        <v>1050000</v>
      </c>
      <c r="AE106" s="4">
        <v>80687584.609999999</v>
      </c>
      <c r="AF106" s="4">
        <v>1360000</v>
      </c>
      <c r="AG106" s="4">
        <v>93746588.676477998</v>
      </c>
      <c r="AH106" s="4">
        <v>7874660.045427857</v>
      </c>
    </row>
    <row r="107" spans="1:34" x14ac:dyDescent="0.3">
      <c r="A107" s="256">
        <v>36887</v>
      </c>
      <c r="B107" s="4">
        <v>1250000</v>
      </c>
      <c r="C107" s="4">
        <v>4563600</v>
      </c>
      <c r="D107" s="4">
        <v>1247943.5</v>
      </c>
      <c r="E107" s="4">
        <v>429975</v>
      </c>
      <c r="F107" s="4">
        <v>0</v>
      </c>
      <c r="G107" s="4">
        <v>0</v>
      </c>
      <c r="H107" s="4">
        <v>1663000</v>
      </c>
      <c r="I107" s="4">
        <v>0</v>
      </c>
      <c r="J107" s="4">
        <v>1012500</v>
      </c>
      <c r="K107" s="4">
        <v>23507915.000000205</v>
      </c>
      <c r="L107" s="4">
        <v>10372212</v>
      </c>
      <c r="M107" s="4">
        <v>1302980</v>
      </c>
      <c r="N107" s="4">
        <v>3486752</v>
      </c>
      <c r="O107" s="4">
        <v>429210</v>
      </c>
      <c r="P107" s="4">
        <v>470790</v>
      </c>
      <c r="Q107" s="4">
        <v>26054801.25</v>
      </c>
      <c r="R107" s="4">
        <v>7121810</v>
      </c>
      <c r="S107" s="4">
        <v>5644007</v>
      </c>
      <c r="T107" s="4">
        <v>20984932.989999998</v>
      </c>
      <c r="U107" s="4">
        <v>2560525</v>
      </c>
      <c r="V107" s="4">
        <v>4923475.66</v>
      </c>
      <c r="W107" s="4">
        <v>2013591.6599838899</v>
      </c>
      <c r="X107" s="4">
        <v>1374750</v>
      </c>
      <c r="Y107" s="4">
        <v>1803840</v>
      </c>
      <c r="Z107" s="4">
        <v>2300803</v>
      </c>
      <c r="AA107" s="4">
        <v>7463158.7400000002</v>
      </c>
      <c r="AB107" s="4">
        <v>2343750</v>
      </c>
      <c r="AC107" s="4">
        <v>16316247</v>
      </c>
      <c r="AD107" s="4">
        <v>1050000</v>
      </c>
      <c r="AE107" s="4">
        <v>80687584.609999999</v>
      </c>
      <c r="AF107" s="4">
        <v>1360000</v>
      </c>
      <c r="AG107" s="4">
        <v>93746588.676477998</v>
      </c>
      <c r="AH107" s="4">
        <v>7935513.8151541753</v>
      </c>
    </row>
    <row r="108" spans="1:34" x14ac:dyDescent="0.3">
      <c r="A108" s="256">
        <v>36888</v>
      </c>
      <c r="B108" s="4">
        <v>1250000</v>
      </c>
      <c r="C108" s="4">
        <v>4563600</v>
      </c>
      <c r="D108" s="4">
        <v>1247943.5</v>
      </c>
      <c r="E108" s="4">
        <v>429975</v>
      </c>
      <c r="F108" s="4">
        <v>0</v>
      </c>
      <c r="G108" s="4">
        <v>0</v>
      </c>
      <c r="H108" s="4">
        <v>1663000</v>
      </c>
      <c r="I108" s="4">
        <v>0</v>
      </c>
      <c r="J108" s="4">
        <v>1012500</v>
      </c>
      <c r="K108" s="4">
        <v>23507915.000000209</v>
      </c>
      <c r="L108" s="4">
        <v>10372212</v>
      </c>
      <c r="M108" s="4">
        <v>1302980</v>
      </c>
      <c r="N108" s="4">
        <v>3486752</v>
      </c>
      <c r="O108" s="4">
        <v>429210</v>
      </c>
      <c r="P108" s="4">
        <v>470790</v>
      </c>
      <c r="Q108" s="4">
        <v>26054801.25</v>
      </c>
      <c r="R108" s="4">
        <v>7121810</v>
      </c>
      <c r="S108" s="4">
        <v>5644007</v>
      </c>
      <c r="T108" s="4">
        <v>20984932.989999998</v>
      </c>
      <c r="U108" s="4">
        <v>2560525</v>
      </c>
      <c r="V108" s="4">
        <v>4923475.66</v>
      </c>
      <c r="W108" s="4">
        <v>2013591.6599838899</v>
      </c>
      <c r="X108" s="4">
        <v>1374750</v>
      </c>
      <c r="Y108" s="4">
        <v>1803840</v>
      </c>
      <c r="Z108" s="4">
        <v>2300803</v>
      </c>
      <c r="AA108" s="4">
        <v>7463158.7400000002</v>
      </c>
      <c r="AB108" s="4">
        <v>2343750</v>
      </c>
      <c r="AC108" s="4">
        <v>16316247</v>
      </c>
      <c r="AD108" s="4">
        <v>1050000</v>
      </c>
      <c r="AE108" s="4">
        <v>80687584.609999999</v>
      </c>
      <c r="AF108" s="4">
        <v>1360000</v>
      </c>
      <c r="AG108" s="4">
        <v>93746588.676477998</v>
      </c>
      <c r="AH108" s="4">
        <v>7976721.0916798562</v>
      </c>
    </row>
    <row r="109" spans="1:34" x14ac:dyDescent="0.3">
      <c r="A109" s="256">
        <v>36889</v>
      </c>
      <c r="B109" s="4">
        <v>1250000</v>
      </c>
      <c r="C109" s="4">
        <v>4375178.6900000004</v>
      </c>
      <c r="D109" s="4">
        <v>1247943.5</v>
      </c>
      <c r="E109" s="4"/>
      <c r="F109" s="4">
        <v>0</v>
      </c>
      <c r="G109" s="4"/>
      <c r="H109" s="4">
        <v>1663000</v>
      </c>
      <c r="I109" s="4">
        <v>0</v>
      </c>
      <c r="J109" s="4"/>
      <c r="K109" s="4">
        <v>23507915.000000212</v>
      </c>
      <c r="L109" s="4">
        <v>10372212</v>
      </c>
      <c r="M109" s="4">
        <v>1302980</v>
      </c>
      <c r="N109" s="4">
        <v>3486752</v>
      </c>
      <c r="O109" s="4">
        <v>429210</v>
      </c>
      <c r="P109" s="4">
        <v>470790</v>
      </c>
      <c r="Q109" s="4">
        <v>23513434.5</v>
      </c>
      <c r="R109" s="4">
        <v>7121810</v>
      </c>
      <c r="S109" s="4">
        <v>5644007</v>
      </c>
      <c r="T109" s="4">
        <v>20999559.859999999</v>
      </c>
      <c r="U109" s="4">
        <v>2560525</v>
      </c>
      <c r="V109" s="4"/>
      <c r="W109" s="4">
        <v>2013591.6599838899</v>
      </c>
      <c r="X109" s="4">
        <v>1374750</v>
      </c>
      <c r="Y109" s="4">
        <v>1803840</v>
      </c>
      <c r="Z109" s="4">
        <v>2300803</v>
      </c>
      <c r="AA109" s="4">
        <v>8551988.3399999999</v>
      </c>
      <c r="AB109" s="4">
        <v>2343750</v>
      </c>
      <c r="AC109" s="4">
        <v>16316247</v>
      </c>
      <c r="AD109" s="4">
        <v>1050000</v>
      </c>
      <c r="AE109" s="4">
        <v>80202486.480000004</v>
      </c>
      <c r="AF109" s="4">
        <v>1360000</v>
      </c>
      <c r="AG109" s="4">
        <v>93746588.676477998</v>
      </c>
      <c r="AH109" s="4">
        <v>8557084.5279601924</v>
      </c>
    </row>
    <row r="110" spans="1:34" x14ac:dyDescent="0.3">
      <c r="A110" s="256">
        <v>36893</v>
      </c>
      <c r="B110" s="4">
        <v>1250000</v>
      </c>
      <c r="C110" s="4">
        <v>4375178.6900000004</v>
      </c>
      <c r="D110" s="4">
        <v>1247943.5</v>
      </c>
      <c r="E110" s="4"/>
      <c r="F110" s="4">
        <v>0</v>
      </c>
      <c r="G110" s="4"/>
      <c r="H110" s="4">
        <v>1663000</v>
      </c>
      <c r="I110" s="4">
        <v>0</v>
      </c>
      <c r="J110" s="4"/>
      <c r="K110" s="4">
        <v>23507915.000000216</v>
      </c>
      <c r="L110" s="4">
        <v>10372212</v>
      </c>
      <c r="M110" s="4">
        <v>1302980</v>
      </c>
      <c r="N110" s="4">
        <v>3486752</v>
      </c>
      <c r="O110" s="4">
        <v>429210</v>
      </c>
      <c r="P110" s="4">
        <v>470790</v>
      </c>
      <c r="Q110" s="4">
        <v>23513434.5</v>
      </c>
      <c r="R110" s="4">
        <v>7121810</v>
      </c>
      <c r="S110" s="4">
        <v>5644007</v>
      </c>
      <c r="T110" s="4">
        <v>20999559.859999999</v>
      </c>
      <c r="U110" s="4">
        <v>2560525</v>
      </c>
      <c r="V110" s="4"/>
      <c r="W110" s="4">
        <v>2013591.6599838899</v>
      </c>
      <c r="X110" s="4">
        <v>1374750</v>
      </c>
      <c r="Y110" s="4">
        <v>1803840</v>
      </c>
      <c r="Z110" s="4">
        <v>2300803</v>
      </c>
      <c r="AA110" s="4">
        <v>8551988.3399999999</v>
      </c>
      <c r="AB110" s="4">
        <v>2343750</v>
      </c>
      <c r="AC110" s="4">
        <v>16316247</v>
      </c>
      <c r="AD110" s="4">
        <v>1050000</v>
      </c>
      <c r="AE110" s="4">
        <v>80202486.480000004</v>
      </c>
      <c r="AF110" s="4">
        <v>1360000</v>
      </c>
      <c r="AG110" s="4">
        <v>93746588.676477998</v>
      </c>
      <c r="AH110" s="4">
        <v>8479385.6548923738</v>
      </c>
    </row>
    <row r="111" spans="1:34" x14ac:dyDescent="0.3">
      <c r="A111" s="256">
        <v>36894</v>
      </c>
      <c r="B111" s="4">
        <v>1250000</v>
      </c>
      <c r="C111" s="4">
        <v>4375178.6900000004</v>
      </c>
      <c r="D111" s="4">
        <v>1247943.5</v>
      </c>
      <c r="E111" s="4"/>
      <c r="F111" s="4">
        <v>0</v>
      </c>
      <c r="G111" s="4"/>
      <c r="H111" s="4">
        <v>1663000</v>
      </c>
      <c r="I111" s="4">
        <v>0</v>
      </c>
      <c r="J111" s="4"/>
      <c r="K111" s="4">
        <v>23507915.00000022</v>
      </c>
      <c r="L111" s="4">
        <v>10372212</v>
      </c>
      <c r="M111" s="4">
        <v>1302980</v>
      </c>
      <c r="N111" s="4">
        <v>3486752</v>
      </c>
      <c r="O111" s="4">
        <v>429210</v>
      </c>
      <c r="P111" s="4">
        <v>470790</v>
      </c>
      <c r="Q111" s="4">
        <v>23513434.5</v>
      </c>
      <c r="R111" s="4">
        <v>7121810</v>
      </c>
      <c r="S111" s="4">
        <v>5644007</v>
      </c>
      <c r="T111" s="4">
        <v>20999559.859999999</v>
      </c>
      <c r="U111" s="4">
        <v>2560525</v>
      </c>
      <c r="V111" s="4"/>
      <c r="W111" s="4">
        <v>2013591.6599838899</v>
      </c>
      <c r="X111" s="4">
        <v>1374750</v>
      </c>
      <c r="Y111" s="4">
        <v>1803840</v>
      </c>
      <c r="Z111" s="4">
        <v>2300803</v>
      </c>
      <c r="AA111" s="4">
        <v>8551988.3399999999</v>
      </c>
      <c r="AB111" s="4">
        <v>2343750</v>
      </c>
      <c r="AC111" s="4">
        <v>16316247</v>
      </c>
      <c r="AD111" s="4">
        <v>1050000</v>
      </c>
      <c r="AE111" s="4">
        <v>80202486.480000004</v>
      </c>
      <c r="AF111" s="4">
        <v>1360000</v>
      </c>
      <c r="AG111" s="4">
        <v>93746588.676477998</v>
      </c>
      <c r="AH111" s="4">
        <v>8833596.1422690134</v>
      </c>
    </row>
    <row r="112" spans="1:34" x14ac:dyDescent="0.3">
      <c r="A112" s="256">
        <v>36895</v>
      </c>
      <c r="B112" s="4">
        <v>1250000</v>
      </c>
      <c r="C112" s="4">
        <v>4375178.6900000004</v>
      </c>
      <c r="D112" s="4">
        <v>1247943.5</v>
      </c>
      <c r="E112" s="4"/>
      <c r="F112" s="4">
        <v>0</v>
      </c>
      <c r="G112" s="4"/>
      <c r="H112" s="4">
        <v>1663000</v>
      </c>
      <c r="I112" s="4">
        <v>0</v>
      </c>
      <c r="J112" s="4"/>
      <c r="K112" s="4">
        <v>23507915.000000224</v>
      </c>
      <c r="L112" s="4">
        <v>10372212</v>
      </c>
      <c r="M112" s="4">
        <v>1302980</v>
      </c>
      <c r="N112" s="4">
        <v>3486752</v>
      </c>
      <c r="O112" s="4">
        <v>429210</v>
      </c>
      <c r="P112" s="4">
        <v>470790</v>
      </c>
      <c r="Q112" s="4">
        <v>23513434.5</v>
      </c>
      <c r="R112" s="4">
        <v>7121810</v>
      </c>
      <c r="S112" s="4">
        <v>5644007</v>
      </c>
      <c r="T112" s="4">
        <v>20999559.859999999</v>
      </c>
      <c r="U112" s="4">
        <v>2560525</v>
      </c>
      <c r="V112" s="4"/>
      <c r="W112" s="4">
        <v>2013591.6599838899</v>
      </c>
      <c r="X112" s="4">
        <v>1374750</v>
      </c>
      <c r="Y112" s="4">
        <v>1803840</v>
      </c>
      <c r="Z112" s="4">
        <v>2300803</v>
      </c>
      <c r="AA112" s="4">
        <v>8551988.3399999999</v>
      </c>
      <c r="AB112" s="4">
        <v>2343750</v>
      </c>
      <c r="AC112" s="4">
        <v>16316247</v>
      </c>
      <c r="AD112" s="4">
        <v>1050000</v>
      </c>
      <c r="AE112" s="4">
        <v>80202486.480000004</v>
      </c>
      <c r="AF112" s="4">
        <v>1360000</v>
      </c>
      <c r="AG112" s="4">
        <v>93746588.676477998</v>
      </c>
      <c r="AH112" s="4">
        <v>8458919.071181519</v>
      </c>
    </row>
    <row r="113" spans="1:34" x14ac:dyDescent="0.3">
      <c r="A113" s="256">
        <v>36896</v>
      </c>
      <c r="B113" s="4">
        <v>1250000</v>
      </c>
      <c r="C113" s="4">
        <v>4375178.6900000004</v>
      </c>
      <c r="D113" s="4">
        <v>1247943.5</v>
      </c>
      <c r="E113" s="4"/>
      <c r="F113" s="4">
        <v>0</v>
      </c>
      <c r="G113" s="4"/>
      <c r="H113" s="4">
        <v>1663000</v>
      </c>
      <c r="I113" s="4">
        <v>0</v>
      </c>
      <c r="J113" s="4"/>
      <c r="K113" s="4">
        <v>23507915.000000227</v>
      </c>
      <c r="L113" s="4">
        <v>10372212</v>
      </c>
      <c r="M113" s="4">
        <v>1302980</v>
      </c>
      <c r="N113" s="4">
        <v>3486752</v>
      </c>
      <c r="O113" s="4">
        <v>429210</v>
      </c>
      <c r="P113" s="4">
        <v>470790</v>
      </c>
      <c r="Q113" s="4">
        <v>23513434.5</v>
      </c>
      <c r="R113" s="4">
        <v>7121810</v>
      </c>
      <c r="S113" s="4">
        <v>5644007</v>
      </c>
      <c r="T113" s="4">
        <v>20999559.859999999</v>
      </c>
      <c r="U113" s="4">
        <v>2560525</v>
      </c>
      <c r="V113" s="4"/>
      <c r="W113" s="4">
        <v>2013591.6599838899</v>
      </c>
      <c r="X113" s="4">
        <v>1374750</v>
      </c>
      <c r="Y113" s="4">
        <v>1803840</v>
      </c>
      <c r="Z113" s="4">
        <v>2300803</v>
      </c>
      <c r="AA113" s="4">
        <v>8551988.3399999999</v>
      </c>
      <c r="AB113" s="4">
        <v>2343750</v>
      </c>
      <c r="AC113" s="4">
        <v>16316247</v>
      </c>
      <c r="AD113" s="4">
        <v>1050000</v>
      </c>
      <c r="AE113" s="4">
        <v>80202486.480000004</v>
      </c>
      <c r="AF113" s="4">
        <v>1360000</v>
      </c>
      <c r="AG113" s="4">
        <v>93746588.676477998</v>
      </c>
      <c r="AH113" s="4">
        <v>8456866.6656197757</v>
      </c>
    </row>
    <row r="114" spans="1:34" x14ac:dyDescent="0.3">
      <c r="A114" s="256">
        <v>36899</v>
      </c>
      <c r="B114" s="4">
        <v>1250000</v>
      </c>
      <c r="C114" s="4">
        <v>4375178.6900000004</v>
      </c>
      <c r="D114" s="4">
        <v>1247943.5</v>
      </c>
      <c r="E114" s="4"/>
      <c r="F114" s="4">
        <v>0</v>
      </c>
      <c r="G114" s="4"/>
      <c r="H114" s="4">
        <v>1663000</v>
      </c>
      <c r="I114" s="4">
        <v>0</v>
      </c>
      <c r="J114" s="4"/>
      <c r="K114" s="4">
        <v>23507915.000000231</v>
      </c>
      <c r="L114" s="4">
        <v>10372212</v>
      </c>
      <c r="M114" s="4">
        <v>1302980</v>
      </c>
      <c r="N114" s="4">
        <v>3486752</v>
      </c>
      <c r="O114" s="4">
        <v>429210</v>
      </c>
      <c r="P114" s="4">
        <v>470790</v>
      </c>
      <c r="Q114" s="4">
        <v>23513434.5</v>
      </c>
      <c r="R114" s="4">
        <v>7121810</v>
      </c>
      <c r="S114" s="4">
        <v>5644007</v>
      </c>
      <c r="T114" s="4">
        <v>20999559.859999999</v>
      </c>
      <c r="U114" s="4">
        <v>2560525</v>
      </c>
      <c r="V114" s="4"/>
      <c r="W114" s="4">
        <v>2013591.6599838899</v>
      </c>
      <c r="X114" s="4">
        <v>1374750</v>
      </c>
      <c r="Y114" s="4">
        <v>1803840</v>
      </c>
      <c r="Z114" s="4">
        <v>2300803</v>
      </c>
      <c r="AA114" s="4">
        <v>8551988.3399999999</v>
      </c>
      <c r="AB114" s="4">
        <v>2343750</v>
      </c>
      <c r="AC114" s="4">
        <v>16316247</v>
      </c>
      <c r="AD114" s="4">
        <v>1050000</v>
      </c>
      <c r="AE114" s="4">
        <v>80202486.480000004</v>
      </c>
      <c r="AF114" s="4">
        <v>1360000</v>
      </c>
      <c r="AG114" s="4">
        <v>93746588.676477998</v>
      </c>
      <c r="AH114" s="4">
        <v>8576132.7156718988</v>
      </c>
    </row>
    <row r="115" spans="1:34" x14ac:dyDescent="0.3">
      <c r="A115" s="256">
        <v>36900</v>
      </c>
      <c r="B115" s="4">
        <v>1250000</v>
      </c>
      <c r="C115" s="4">
        <v>4375178.6900000004</v>
      </c>
      <c r="D115" s="4">
        <v>1247943.5</v>
      </c>
      <c r="E115" s="4"/>
      <c r="F115" s="4"/>
      <c r="G115" s="4"/>
      <c r="H115" s="4">
        <v>1663000</v>
      </c>
      <c r="I115" s="4">
        <v>0</v>
      </c>
      <c r="J115" s="4"/>
      <c r="K115" s="4">
        <v>23507915.000000238</v>
      </c>
      <c r="L115" s="4">
        <v>10372212</v>
      </c>
      <c r="M115" s="4">
        <v>1302980</v>
      </c>
      <c r="N115" s="4">
        <v>3486752</v>
      </c>
      <c r="O115" s="4">
        <v>429210</v>
      </c>
      <c r="P115" s="4">
        <v>470790</v>
      </c>
      <c r="Q115" s="4">
        <v>23513434.5</v>
      </c>
      <c r="R115" s="4">
        <v>7121810</v>
      </c>
      <c r="S115" s="4">
        <v>5644007</v>
      </c>
      <c r="T115" s="4">
        <v>20999559.859999999</v>
      </c>
      <c r="U115" s="4">
        <v>2560525</v>
      </c>
      <c r="V115" s="4"/>
      <c r="W115" s="4">
        <v>2013591.6599838899</v>
      </c>
      <c r="X115" s="4">
        <v>1374750</v>
      </c>
      <c r="Y115" s="4">
        <v>1803840</v>
      </c>
      <c r="Z115" s="4">
        <v>2300803</v>
      </c>
      <c r="AA115" s="4">
        <v>8551988.3399999999</v>
      </c>
      <c r="AB115" s="4">
        <v>2343750</v>
      </c>
      <c r="AC115" s="4">
        <v>16316247</v>
      </c>
      <c r="AD115" s="4">
        <v>1050000</v>
      </c>
      <c r="AE115" s="4">
        <v>80202486.480000004</v>
      </c>
      <c r="AF115" s="4">
        <v>1360000</v>
      </c>
      <c r="AG115" s="4">
        <v>93746588.676477998</v>
      </c>
      <c r="AH115" s="4">
        <v>3071115.3936292245</v>
      </c>
    </row>
    <row r="116" spans="1:34" x14ac:dyDescent="0.3">
      <c r="A116" s="256">
        <v>36901</v>
      </c>
      <c r="B116" s="4">
        <v>1250000</v>
      </c>
      <c r="C116" s="4">
        <v>4375178.6900000004</v>
      </c>
      <c r="D116" s="4">
        <v>1247943.5</v>
      </c>
      <c r="E116" s="4"/>
      <c r="F116" s="4"/>
      <c r="G116" s="4"/>
      <c r="H116" s="4">
        <v>1663000</v>
      </c>
      <c r="I116" s="4">
        <v>0</v>
      </c>
      <c r="J116" s="4"/>
      <c r="K116" s="4">
        <v>23507915.000000242</v>
      </c>
      <c r="L116" s="4">
        <v>10372212</v>
      </c>
      <c r="M116" s="4">
        <v>1302980</v>
      </c>
      <c r="N116" s="4">
        <v>3486752</v>
      </c>
      <c r="O116" s="4">
        <v>429210</v>
      </c>
      <c r="P116" s="4">
        <v>470790</v>
      </c>
      <c r="Q116" s="4">
        <v>23513434.5</v>
      </c>
      <c r="R116" s="4">
        <v>7121810</v>
      </c>
      <c r="S116" s="4">
        <v>5644007</v>
      </c>
      <c r="T116" s="4">
        <v>20999559.859999999</v>
      </c>
      <c r="U116" s="4">
        <v>2560525</v>
      </c>
      <c r="V116" s="4"/>
      <c r="W116" s="4">
        <v>2013591.6599838899</v>
      </c>
      <c r="X116" s="4">
        <v>1374750</v>
      </c>
      <c r="Y116" s="4">
        <v>1803840</v>
      </c>
      <c r="Z116" s="4">
        <v>2300803</v>
      </c>
      <c r="AA116" s="4">
        <v>8551988.3399999999</v>
      </c>
      <c r="AB116" s="4">
        <v>2343750</v>
      </c>
      <c r="AC116" s="4">
        <v>16316247</v>
      </c>
      <c r="AD116" s="4">
        <v>1050000</v>
      </c>
      <c r="AE116" s="4">
        <v>80202486.480000004</v>
      </c>
      <c r="AF116" s="4">
        <v>1360000</v>
      </c>
      <c r="AG116" s="4">
        <v>93746588.676477998</v>
      </c>
      <c r="AH116" s="4">
        <v>3071115.3936292245</v>
      </c>
    </row>
    <row r="117" spans="1:34" x14ac:dyDescent="0.3">
      <c r="A117" s="256">
        <v>36902</v>
      </c>
      <c r="B117" s="4">
        <v>1250000</v>
      </c>
      <c r="C117" s="4">
        <v>4375178.6900000004</v>
      </c>
      <c r="D117" s="4">
        <v>1247943.5</v>
      </c>
      <c r="E117" s="4"/>
      <c r="F117" s="4"/>
      <c r="G117" s="4"/>
      <c r="H117" s="4">
        <v>1663000</v>
      </c>
      <c r="I117" s="4">
        <v>0</v>
      </c>
      <c r="J117" s="4"/>
      <c r="K117" s="4">
        <v>23507915.000000246</v>
      </c>
      <c r="L117" s="4">
        <v>10372212</v>
      </c>
      <c r="M117" s="4">
        <v>1302980</v>
      </c>
      <c r="N117" s="4">
        <v>3486752</v>
      </c>
      <c r="O117" s="4">
        <v>429210</v>
      </c>
      <c r="P117" s="4">
        <v>470790</v>
      </c>
      <c r="Q117" s="4">
        <v>23513434.5</v>
      </c>
      <c r="R117" s="4">
        <v>7121810</v>
      </c>
      <c r="S117" s="4">
        <v>5644007</v>
      </c>
      <c r="T117" s="4">
        <v>20999559.859999999</v>
      </c>
      <c r="U117" s="4">
        <v>2560525</v>
      </c>
      <c r="V117" s="4"/>
      <c r="W117" s="4">
        <v>2013591.6599838899</v>
      </c>
      <c r="X117" s="4">
        <v>1374750</v>
      </c>
      <c r="Y117" s="4">
        <v>1803840</v>
      </c>
      <c r="Z117" s="4">
        <v>2300803</v>
      </c>
      <c r="AA117" s="4">
        <v>8551988.3399999999</v>
      </c>
      <c r="AB117" s="4">
        <v>2343750</v>
      </c>
      <c r="AC117" s="4">
        <v>16316247</v>
      </c>
      <c r="AD117" s="4">
        <v>1050000</v>
      </c>
      <c r="AE117" s="4">
        <v>80202486.480000004</v>
      </c>
      <c r="AF117" s="4">
        <v>1360000</v>
      </c>
      <c r="AG117" s="4">
        <v>93746588.676477998</v>
      </c>
      <c r="AH117" s="4">
        <v>3073087.9103156473</v>
      </c>
    </row>
    <row r="118" spans="1:34" x14ac:dyDescent="0.3">
      <c r="A118" s="256">
        <v>36903</v>
      </c>
      <c r="B118" s="4">
        <v>1250000</v>
      </c>
      <c r="C118" s="4">
        <v>4375178.6900000004</v>
      </c>
      <c r="D118" s="4">
        <v>1247943.5</v>
      </c>
      <c r="E118" s="4"/>
      <c r="F118" s="4"/>
      <c r="G118" s="4"/>
      <c r="H118" s="4">
        <v>1663000</v>
      </c>
      <c r="I118" s="4">
        <v>0</v>
      </c>
      <c r="J118" s="4"/>
      <c r="K118" s="4">
        <v>23507915.00000025</v>
      </c>
      <c r="L118" s="4">
        <v>10372212</v>
      </c>
      <c r="M118" s="4">
        <v>1302980</v>
      </c>
      <c r="N118" s="4">
        <v>3486752</v>
      </c>
      <c r="O118" s="4">
        <v>429210</v>
      </c>
      <c r="P118" s="4">
        <v>470790</v>
      </c>
      <c r="Q118" s="4">
        <v>23513434.5</v>
      </c>
      <c r="R118" s="4">
        <v>7121810</v>
      </c>
      <c r="S118" s="4">
        <v>5644007</v>
      </c>
      <c r="T118" s="4">
        <v>20999559.859999999</v>
      </c>
      <c r="U118" s="4">
        <v>2560525</v>
      </c>
      <c r="V118" s="4"/>
      <c r="W118" s="4">
        <v>2013591.6599838899</v>
      </c>
      <c r="X118" s="4">
        <v>1374750</v>
      </c>
      <c r="Y118" s="4">
        <v>1803840</v>
      </c>
      <c r="Z118" s="4">
        <v>2300803</v>
      </c>
      <c r="AA118" s="4">
        <v>8551988.3399999999</v>
      </c>
      <c r="AB118" s="4">
        <v>2343750</v>
      </c>
      <c r="AC118" s="4">
        <v>16316247</v>
      </c>
      <c r="AD118" s="4">
        <v>1050000</v>
      </c>
      <c r="AE118" s="4">
        <v>80202486.480000004</v>
      </c>
      <c r="AF118" s="4">
        <v>1360000</v>
      </c>
      <c r="AG118" s="4">
        <v>93746588.676477998</v>
      </c>
      <c r="AH118" s="4">
        <v>3092752.8076586379</v>
      </c>
    </row>
    <row r="119" spans="1:34" x14ac:dyDescent="0.3">
      <c r="A119" s="256">
        <v>36907</v>
      </c>
      <c r="B119" s="4">
        <v>1250000</v>
      </c>
      <c r="C119" s="4">
        <v>4375178.6900000004</v>
      </c>
      <c r="D119" s="4">
        <v>1247943.5</v>
      </c>
      <c r="E119" s="4"/>
      <c r="F119" s="4"/>
      <c r="G119" s="4"/>
      <c r="H119" s="4">
        <v>1663000</v>
      </c>
      <c r="I119" s="4">
        <v>0</v>
      </c>
      <c r="J119" s="4"/>
      <c r="K119" s="4">
        <v>23507915.000000253</v>
      </c>
      <c r="L119" s="4">
        <v>10372212</v>
      </c>
      <c r="M119" s="4">
        <v>1302980</v>
      </c>
      <c r="N119" s="4">
        <v>3486752</v>
      </c>
      <c r="O119" s="4">
        <v>429210</v>
      </c>
      <c r="P119" s="4">
        <v>470790</v>
      </c>
      <c r="Q119" s="4">
        <v>23513434.5</v>
      </c>
      <c r="R119" s="4">
        <v>7121810</v>
      </c>
      <c r="S119" s="4">
        <v>5644007</v>
      </c>
      <c r="T119" s="4">
        <v>20999559.859999999</v>
      </c>
      <c r="U119" s="4">
        <v>2560525</v>
      </c>
      <c r="V119" s="4"/>
      <c r="W119" s="4">
        <v>2013591.6599838899</v>
      </c>
      <c r="X119" s="4">
        <v>1374750</v>
      </c>
      <c r="Y119" s="4">
        <v>1803840</v>
      </c>
      <c r="Z119" s="4">
        <v>2300803</v>
      </c>
      <c r="AA119" s="4">
        <v>8551988.3399999999</v>
      </c>
      <c r="AB119" s="4">
        <v>2343750</v>
      </c>
      <c r="AC119" s="4">
        <v>16316247</v>
      </c>
      <c r="AD119" s="4">
        <v>1050000</v>
      </c>
      <c r="AE119" s="4">
        <v>80202486.480000004</v>
      </c>
      <c r="AF119" s="4">
        <v>1360000</v>
      </c>
      <c r="AG119" s="4">
        <v>93746588.676477998</v>
      </c>
      <c r="AH119" s="4">
        <v>3094424.373601364</v>
      </c>
    </row>
    <row r="120" spans="1:34" x14ac:dyDescent="0.3">
      <c r="A120" s="256">
        <v>36908</v>
      </c>
      <c r="B120" s="4">
        <v>1250000</v>
      </c>
      <c r="C120" s="4">
        <v>4375178.6900000004</v>
      </c>
      <c r="D120" s="4">
        <v>1247943.5</v>
      </c>
      <c r="E120" s="4"/>
      <c r="F120" s="4"/>
      <c r="G120" s="4"/>
      <c r="H120" s="4">
        <v>1663000</v>
      </c>
      <c r="I120" s="4">
        <v>0</v>
      </c>
      <c r="J120" s="4"/>
      <c r="K120" s="4">
        <v>23507915.000000257</v>
      </c>
      <c r="L120" s="4">
        <v>10372212</v>
      </c>
      <c r="M120" s="4">
        <v>1302980</v>
      </c>
      <c r="N120" s="4">
        <v>3486752</v>
      </c>
      <c r="O120" s="4">
        <v>429210</v>
      </c>
      <c r="P120" s="4">
        <v>470790</v>
      </c>
      <c r="Q120" s="4">
        <v>23513434.5</v>
      </c>
      <c r="R120" s="4">
        <v>7121810</v>
      </c>
      <c r="S120" s="4">
        <v>5644007</v>
      </c>
      <c r="T120" s="4">
        <v>20999559.859999999</v>
      </c>
      <c r="U120" s="4">
        <v>2560525</v>
      </c>
      <c r="V120" s="4"/>
      <c r="W120" s="4">
        <v>2013591.6599838899</v>
      </c>
      <c r="X120" s="4">
        <v>1374750</v>
      </c>
      <c r="Y120" s="4">
        <v>1803840</v>
      </c>
      <c r="Z120" s="4">
        <v>2300803</v>
      </c>
      <c r="AA120" s="4">
        <v>8551988.3399999999</v>
      </c>
      <c r="AB120" s="4">
        <v>2343750</v>
      </c>
      <c r="AC120" s="4">
        <v>16316247</v>
      </c>
      <c r="AD120" s="4">
        <v>1050000</v>
      </c>
      <c r="AE120" s="4">
        <v>80202486.480000004</v>
      </c>
      <c r="AF120" s="4">
        <v>1360000</v>
      </c>
      <c r="AG120" s="4">
        <v>93746588.676477998</v>
      </c>
      <c r="AH120" s="4">
        <v>3099905.073043162</v>
      </c>
    </row>
    <row r="121" spans="1:34" x14ac:dyDescent="0.3">
      <c r="A121" s="256">
        <v>36909</v>
      </c>
      <c r="B121" s="4">
        <v>1250000</v>
      </c>
      <c r="C121" s="4">
        <v>4375178.6900000004</v>
      </c>
      <c r="D121" s="4">
        <v>1247943.5</v>
      </c>
      <c r="E121" s="4"/>
      <c r="F121" s="4"/>
      <c r="G121" s="4"/>
      <c r="H121" s="4">
        <v>1663000</v>
      </c>
      <c r="I121" s="4">
        <v>0</v>
      </c>
      <c r="J121" s="4"/>
      <c r="K121" s="4">
        <v>23507915.000000261</v>
      </c>
      <c r="L121" s="4">
        <v>10372212</v>
      </c>
      <c r="M121" s="4">
        <v>1302980</v>
      </c>
      <c r="N121" s="4">
        <v>3486752</v>
      </c>
      <c r="O121" s="4">
        <v>429210</v>
      </c>
      <c r="P121" s="4">
        <v>470790</v>
      </c>
      <c r="Q121" s="4">
        <v>23513434.5</v>
      </c>
      <c r="R121" s="4">
        <v>7121810</v>
      </c>
      <c r="S121" s="4">
        <v>5644007</v>
      </c>
      <c r="T121" s="4">
        <v>20999559.859999999</v>
      </c>
      <c r="U121" s="4">
        <v>2560525</v>
      </c>
      <c r="V121" s="4"/>
      <c r="W121" s="4">
        <v>2013591.6599838899</v>
      </c>
      <c r="X121" s="4">
        <v>1374750</v>
      </c>
      <c r="Y121" s="4">
        <v>1803840</v>
      </c>
      <c r="Z121" s="4">
        <v>2300803</v>
      </c>
      <c r="AA121" s="4">
        <v>8551988.3399999999</v>
      </c>
      <c r="AB121" s="4">
        <v>2343750</v>
      </c>
      <c r="AC121" s="4">
        <v>16316247</v>
      </c>
      <c r="AD121" s="4">
        <v>1050000</v>
      </c>
      <c r="AE121" s="4">
        <v>80202486.480000004</v>
      </c>
      <c r="AF121" s="4">
        <v>1360000</v>
      </c>
      <c r="AG121" s="4">
        <v>93746588.676477998</v>
      </c>
      <c r="AH121" s="4">
        <v>3064921.4961853107</v>
      </c>
    </row>
    <row r="122" spans="1:34" x14ac:dyDescent="0.3">
      <c r="A122" s="256">
        <v>36910</v>
      </c>
      <c r="B122" s="4">
        <v>1250000</v>
      </c>
      <c r="C122" s="4">
        <v>4375178.6900000004</v>
      </c>
      <c r="D122" s="4">
        <v>1247943.5</v>
      </c>
      <c r="E122" s="4"/>
      <c r="F122" s="4"/>
      <c r="G122" s="4"/>
      <c r="H122" s="4">
        <v>1663000</v>
      </c>
      <c r="I122" s="4">
        <v>0</v>
      </c>
      <c r="J122" s="4"/>
      <c r="K122" s="4">
        <v>23507915.000000264</v>
      </c>
      <c r="L122" s="4">
        <v>10372212</v>
      </c>
      <c r="M122" s="4">
        <v>1302980</v>
      </c>
      <c r="N122" s="4">
        <v>3486752</v>
      </c>
      <c r="O122" s="4">
        <v>429210</v>
      </c>
      <c r="P122" s="4">
        <v>470790</v>
      </c>
      <c r="Q122" s="4">
        <v>23513434.5</v>
      </c>
      <c r="R122" s="4">
        <v>7121810</v>
      </c>
      <c r="S122" s="4">
        <v>5644007</v>
      </c>
      <c r="T122" s="4">
        <v>20999559.859999999</v>
      </c>
      <c r="U122" s="4">
        <v>2560525</v>
      </c>
      <c r="V122" s="4"/>
      <c r="W122" s="4">
        <v>2013591.6599838899</v>
      </c>
      <c r="X122" s="4">
        <v>1374750</v>
      </c>
      <c r="Y122" s="4">
        <v>1803840</v>
      </c>
      <c r="Z122" s="4">
        <v>2300803</v>
      </c>
      <c r="AA122" s="4">
        <v>8551988.3399999999</v>
      </c>
      <c r="AB122" s="4">
        <v>2343750</v>
      </c>
      <c r="AC122" s="4">
        <v>16316247</v>
      </c>
      <c r="AD122" s="4">
        <v>1050000</v>
      </c>
      <c r="AE122" s="4">
        <v>80202486.480000004</v>
      </c>
      <c r="AF122" s="4">
        <v>1360000</v>
      </c>
      <c r="AG122" s="4">
        <v>93746588.676477998</v>
      </c>
      <c r="AH122" s="4">
        <v>3068247.6881199931</v>
      </c>
    </row>
    <row r="123" spans="1:34" x14ac:dyDescent="0.3">
      <c r="A123" s="256">
        <v>36913</v>
      </c>
      <c r="B123" s="4">
        <v>1250000</v>
      </c>
      <c r="C123" s="4">
        <v>4375178.6900000004</v>
      </c>
      <c r="D123" s="4">
        <v>1247943.5</v>
      </c>
      <c r="E123" s="4"/>
      <c r="F123" s="4"/>
      <c r="G123" s="4"/>
      <c r="H123" s="4">
        <v>1663000</v>
      </c>
      <c r="I123" s="4">
        <v>0</v>
      </c>
      <c r="J123" s="4"/>
      <c r="K123" s="4">
        <v>23507915.000000268</v>
      </c>
      <c r="L123" s="4">
        <v>10372212</v>
      </c>
      <c r="M123" s="4">
        <v>1302980</v>
      </c>
      <c r="N123" s="4">
        <v>3486752</v>
      </c>
      <c r="O123" s="4">
        <v>429210</v>
      </c>
      <c r="P123" s="4">
        <v>470790</v>
      </c>
      <c r="Q123" s="4">
        <v>23513434.5</v>
      </c>
      <c r="R123" s="4">
        <v>7121810</v>
      </c>
      <c r="S123" s="4">
        <v>5644007</v>
      </c>
      <c r="T123" s="4">
        <v>20999559.859999999</v>
      </c>
      <c r="U123" s="4">
        <v>2560525</v>
      </c>
      <c r="V123" s="4"/>
      <c r="W123" s="4">
        <v>2013591.6599838899</v>
      </c>
      <c r="X123" s="4">
        <v>1374750</v>
      </c>
      <c r="Y123" s="4">
        <v>1803840</v>
      </c>
      <c r="Z123" s="4">
        <v>2300803</v>
      </c>
      <c r="AA123" s="4">
        <v>8551988.3399999999</v>
      </c>
      <c r="AB123" s="4">
        <v>2343750</v>
      </c>
      <c r="AC123" s="4">
        <v>16316247</v>
      </c>
      <c r="AD123" s="4">
        <v>1050000</v>
      </c>
      <c r="AE123" s="4">
        <v>80202486.480000004</v>
      </c>
      <c r="AF123" s="4">
        <v>1360000</v>
      </c>
      <c r="AG123" s="4">
        <v>93746588.676477998</v>
      </c>
      <c r="AH123" s="4">
        <v>3060590.3310198318</v>
      </c>
    </row>
    <row r="124" spans="1:34" x14ac:dyDescent="0.3">
      <c r="A124" s="256">
        <v>36914</v>
      </c>
      <c r="B124" s="4">
        <v>1250000</v>
      </c>
      <c r="C124" s="4">
        <v>4375178.6900000004</v>
      </c>
      <c r="D124" s="4">
        <v>1247943.5</v>
      </c>
      <c r="E124" s="4"/>
      <c r="F124" s="4"/>
      <c r="G124" s="4"/>
      <c r="H124" s="4">
        <v>1663000</v>
      </c>
      <c r="I124" s="4">
        <v>0</v>
      </c>
      <c r="J124" s="4"/>
      <c r="K124" s="4">
        <v>23507915.000000272</v>
      </c>
      <c r="L124" s="4">
        <v>10372212</v>
      </c>
      <c r="M124" s="4">
        <v>1302980</v>
      </c>
      <c r="N124" s="4">
        <v>3486752</v>
      </c>
      <c r="O124" s="4">
        <v>429210</v>
      </c>
      <c r="P124" s="4">
        <v>470790</v>
      </c>
      <c r="Q124" s="4">
        <v>23513434.5</v>
      </c>
      <c r="R124" s="4">
        <v>7121810</v>
      </c>
      <c r="S124" s="4">
        <v>5644007</v>
      </c>
      <c r="T124" s="4">
        <v>20999559.859999999</v>
      </c>
      <c r="U124" s="4">
        <v>2560525</v>
      </c>
      <c r="V124" s="4"/>
      <c r="W124" s="4">
        <v>2013591.6599838899</v>
      </c>
      <c r="X124" s="4">
        <v>1374750</v>
      </c>
      <c r="Y124" s="4">
        <v>1803840</v>
      </c>
      <c r="Z124" s="4">
        <v>2300803</v>
      </c>
      <c r="AA124" s="4">
        <v>8551988.3399999999</v>
      </c>
      <c r="AB124" s="4">
        <v>2343750</v>
      </c>
      <c r="AC124" s="4">
        <v>16316247</v>
      </c>
      <c r="AD124" s="4">
        <v>1050000</v>
      </c>
      <c r="AE124" s="4">
        <v>80202486.480000004</v>
      </c>
      <c r="AF124" s="4">
        <v>1360000</v>
      </c>
      <c r="AG124" s="4">
        <v>93746588.676477998</v>
      </c>
      <c r="AH124" s="4">
        <v>3058479.1755956206</v>
      </c>
    </row>
    <row r="125" spans="1:34" x14ac:dyDescent="0.3">
      <c r="A125" s="256">
        <v>36915</v>
      </c>
      <c r="B125" s="4">
        <v>1250000</v>
      </c>
      <c r="C125" s="4">
        <v>4375178.6900000004</v>
      </c>
      <c r="D125" s="4">
        <v>1247943.5</v>
      </c>
      <c r="E125" s="4"/>
      <c r="F125" s="4"/>
      <c r="G125" s="4"/>
      <c r="H125" s="4">
        <v>1663000</v>
      </c>
      <c r="I125" s="4">
        <v>0</v>
      </c>
      <c r="J125" s="4"/>
      <c r="K125" s="4">
        <v>23507915.000000276</v>
      </c>
      <c r="L125" s="4">
        <v>10372212</v>
      </c>
      <c r="M125" s="4">
        <v>1302980</v>
      </c>
      <c r="N125" s="4">
        <v>3486752</v>
      </c>
      <c r="O125" s="4">
        <v>429210</v>
      </c>
      <c r="P125" s="4">
        <v>470790</v>
      </c>
      <c r="Q125" s="4">
        <v>23513434.5</v>
      </c>
      <c r="R125" s="4">
        <v>7121810</v>
      </c>
      <c r="S125" s="4">
        <v>5644007</v>
      </c>
      <c r="T125" s="4">
        <v>20999559.859999999</v>
      </c>
      <c r="U125" s="4">
        <v>2560525</v>
      </c>
      <c r="V125" s="4"/>
      <c r="W125" s="4">
        <v>2013591.6599838899</v>
      </c>
      <c r="X125" s="4">
        <v>1374750</v>
      </c>
      <c r="Y125" s="4">
        <v>1803840</v>
      </c>
      <c r="Z125" s="4">
        <v>2300803</v>
      </c>
      <c r="AA125" s="4">
        <v>8551988.3399999999</v>
      </c>
      <c r="AB125" s="4">
        <v>2343750</v>
      </c>
      <c r="AC125" s="4">
        <v>16316247</v>
      </c>
      <c r="AD125" s="4">
        <v>1050000</v>
      </c>
      <c r="AE125" s="4">
        <v>80202486.480000004</v>
      </c>
      <c r="AF125" s="4">
        <v>1360000</v>
      </c>
      <c r="AG125" s="4">
        <v>93746588.676477998</v>
      </c>
      <c r="AH125" s="4">
        <v>3056925.5647156164</v>
      </c>
    </row>
    <row r="126" spans="1:34" x14ac:dyDescent="0.3">
      <c r="A126" s="256">
        <v>36916</v>
      </c>
      <c r="B126" s="4">
        <v>1250000</v>
      </c>
      <c r="C126" s="4">
        <v>4375178.6900000004</v>
      </c>
      <c r="D126" s="4">
        <v>1247943.5</v>
      </c>
      <c r="E126" s="4"/>
      <c r="F126" s="4"/>
      <c r="G126" s="4"/>
      <c r="H126" s="4">
        <v>1663000</v>
      </c>
      <c r="I126" s="4">
        <v>0</v>
      </c>
      <c r="J126" s="4"/>
      <c r="K126" s="4">
        <v>23507915.000000276</v>
      </c>
      <c r="L126" s="4">
        <v>10372212</v>
      </c>
      <c r="M126" s="4">
        <v>1302980</v>
      </c>
      <c r="N126" s="4">
        <v>3486752</v>
      </c>
      <c r="O126" s="4">
        <v>429210</v>
      </c>
      <c r="P126" s="4">
        <v>470790</v>
      </c>
      <c r="Q126" s="4">
        <v>23513434.5</v>
      </c>
      <c r="R126" s="4">
        <v>7121810</v>
      </c>
      <c r="S126" s="4">
        <v>5644007</v>
      </c>
      <c r="T126" s="4">
        <v>20999559.859999999</v>
      </c>
      <c r="U126" s="4">
        <v>2560525</v>
      </c>
      <c r="V126" s="4"/>
      <c r="W126" s="4">
        <v>2013591.6599838899</v>
      </c>
      <c r="X126" s="4">
        <v>1374750</v>
      </c>
      <c r="Y126" s="4">
        <v>1803840</v>
      </c>
      <c r="Z126" s="4">
        <v>2300803</v>
      </c>
      <c r="AA126" s="4">
        <v>8551988.3399999999</v>
      </c>
      <c r="AB126" s="4">
        <v>2343750</v>
      </c>
      <c r="AC126" s="4">
        <v>16316247</v>
      </c>
      <c r="AD126" s="4">
        <v>1050000</v>
      </c>
      <c r="AE126" s="4">
        <v>80202486.480000004</v>
      </c>
      <c r="AF126" s="4">
        <v>1360000</v>
      </c>
      <c r="AG126" s="4">
        <v>93746588.676477998</v>
      </c>
      <c r="AH126" s="4">
        <v>3054546.4100593119</v>
      </c>
    </row>
    <row r="127" spans="1:34" x14ac:dyDescent="0.3">
      <c r="A127" s="256">
        <v>36917</v>
      </c>
      <c r="B127" s="4">
        <v>1250000</v>
      </c>
      <c r="C127" s="4">
        <v>4375178.6900000004</v>
      </c>
      <c r="D127" s="4">
        <v>1247943.5</v>
      </c>
      <c r="E127" s="4"/>
      <c r="F127" s="4"/>
      <c r="G127" s="4"/>
      <c r="H127" s="4">
        <v>1663000</v>
      </c>
      <c r="I127" s="4">
        <v>0</v>
      </c>
      <c r="J127" s="4"/>
      <c r="K127" s="4">
        <v>23507915.000000279</v>
      </c>
      <c r="L127" s="4">
        <v>10372212</v>
      </c>
      <c r="M127" s="4">
        <v>1302980</v>
      </c>
      <c r="N127" s="4">
        <v>3486752</v>
      </c>
      <c r="O127" s="4">
        <v>429210</v>
      </c>
      <c r="P127" s="4">
        <v>470790</v>
      </c>
      <c r="Q127" s="4">
        <v>23513434.5</v>
      </c>
      <c r="R127" s="4">
        <v>7121810</v>
      </c>
      <c r="S127" s="4">
        <v>5644007</v>
      </c>
      <c r="T127" s="4">
        <v>20999559.859999999</v>
      </c>
      <c r="U127" s="4">
        <v>2560525</v>
      </c>
      <c r="V127" s="4"/>
      <c r="W127" s="4">
        <v>2013591.6599838899</v>
      </c>
      <c r="X127" s="4">
        <v>1374750</v>
      </c>
      <c r="Y127" s="4">
        <v>1803840</v>
      </c>
      <c r="Z127" s="4">
        <v>2300803</v>
      </c>
      <c r="AA127" s="4">
        <v>8551988.3399999999</v>
      </c>
      <c r="AB127" s="4">
        <v>2343750</v>
      </c>
      <c r="AC127" s="4">
        <v>16316247</v>
      </c>
      <c r="AD127" s="4">
        <v>1050000</v>
      </c>
      <c r="AE127" s="4">
        <v>80202486.480000004</v>
      </c>
      <c r="AF127" s="4">
        <v>1360000</v>
      </c>
      <c r="AG127" s="4">
        <v>93746588.676477998</v>
      </c>
      <c r="AH127" s="4">
        <v>3055193.7387948534</v>
      </c>
    </row>
    <row r="128" spans="1:34" x14ac:dyDescent="0.3">
      <c r="A128" s="256">
        <v>36920</v>
      </c>
      <c r="B128" s="4">
        <v>1250000</v>
      </c>
      <c r="C128" s="4">
        <v>4375178.6900000004</v>
      </c>
      <c r="D128" s="4">
        <v>1247943.5</v>
      </c>
      <c r="E128" s="4"/>
      <c r="F128" s="4"/>
      <c r="G128" s="4"/>
      <c r="H128" s="4">
        <v>1663000</v>
      </c>
      <c r="I128" s="4">
        <v>0</v>
      </c>
      <c r="J128" s="4"/>
      <c r="K128" s="4">
        <v>2.8312206268310547E-7</v>
      </c>
      <c r="L128" s="4">
        <v>0</v>
      </c>
      <c r="M128" s="4">
        <v>137317.57</v>
      </c>
      <c r="N128" s="4">
        <v>0</v>
      </c>
      <c r="O128" s="4">
        <v>1000000</v>
      </c>
      <c r="P128" s="4">
        <v>0</v>
      </c>
      <c r="Q128" s="4">
        <v>23513434.5</v>
      </c>
      <c r="R128" s="4">
        <v>7121810</v>
      </c>
      <c r="S128" s="4">
        <v>5644007</v>
      </c>
      <c r="T128" s="4">
        <v>20999559.859999999</v>
      </c>
      <c r="U128" s="4">
        <v>2560525</v>
      </c>
      <c r="V128" s="4"/>
      <c r="W128" s="4">
        <v>2013591.6599838899</v>
      </c>
      <c r="X128" s="4">
        <v>1374750</v>
      </c>
      <c r="Y128" s="4">
        <v>1803840</v>
      </c>
      <c r="Z128" s="4">
        <v>2300803</v>
      </c>
      <c r="AA128" s="4">
        <v>8551988.3399999999</v>
      </c>
      <c r="AB128" s="4">
        <v>2343750</v>
      </c>
      <c r="AC128" s="4">
        <v>16316247</v>
      </c>
      <c r="AD128" s="4">
        <v>1050000</v>
      </c>
      <c r="AE128" s="4">
        <v>80202486.480000004</v>
      </c>
      <c r="AF128" s="4">
        <v>1360000</v>
      </c>
      <c r="AG128" s="4">
        <v>30637565.036477998</v>
      </c>
      <c r="AH128" s="4">
        <v>2773749.76805293</v>
      </c>
    </row>
    <row r="129" spans="1:34" x14ac:dyDescent="0.3">
      <c r="A129" s="256">
        <v>36921</v>
      </c>
      <c r="B129" s="4">
        <v>1250000</v>
      </c>
      <c r="C129" s="4">
        <v>4375178.6900000004</v>
      </c>
      <c r="D129" s="4">
        <v>1247943.5</v>
      </c>
      <c r="E129" s="4"/>
      <c r="F129" s="4"/>
      <c r="G129" s="4"/>
      <c r="H129" s="4">
        <v>1663000</v>
      </c>
      <c r="I129" s="4">
        <v>0</v>
      </c>
      <c r="J129" s="4"/>
      <c r="K129" s="4">
        <v>2.8312206268310547E-7</v>
      </c>
      <c r="L129" s="4">
        <v>0</v>
      </c>
      <c r="M129" s="4">
        <v>137317.57</v>
      </c>
      <c r="N129" s="4">
        <v>0</v>
      </c>
      <c r="O129" s="4">
        <v>1000000</v>
      </c>
      <c r="P129" s="4">
        <v>0</v>
      </c>
      <c r="Q129" s="4">
        <v>23513434.5</v>
      </c>
      <c r="R129" s="4">
        <v>7121810</v>
      </c>
      <c r="S129" s="4">
        <v>5644007</v>
      </c>
      <c r="T129" s="4">
        <v>20999559.859999999</v>
      </c>
      <c r="U129" s="4">
        <v>2560525</v>
      </c>
      <c r="V129" s="4"/>
      <c r="W129" s="4">
        <v>2013591.6599838899</v>
      </c>
      <c r="X129" s="4">
        <v>1374750</v>
      </c>
      <c r="Y129" s="4">
        <v>1803840</v>
      </c>
      <c r="Z129" s="4">
        <v>2300803</v>
      </c>
      <c r="AA129" s="4">
        <v>8551988.3399999999</v>
      </c>
      <c r="AB129" s="4">
        <v>2343750</v>
      </c>
      <c r="AC129" s="4">
        <v>16316247</v>
      </c>
      <c r="AD129" s="4">
        <v>1050000</v>
      </c>
      <c r="AE129" s="4">
        <v>80202486.480000004</v>
      </c>
      <c r="AF129" s="4">
        <v>1360000</v>
      </c>
      <c r="AG129" s="4">
        <v>30637565.036477998</v>
      </c>
      <c r="AH129" s="4">
        <v>2776315.4209155957</v>
      </c>
    </row>
    <row r="130" spans="1:34" x14ac:dyDescent="0.3">
      <c r="A130" s="256">
        <v>36922</v>
      </c>
      <c r="B130" s="4">
        <v>1250000</v>
      </c>
      <c r="C130" s="4">
        <v>4375178.6900000004</v>
      </c>
      <c r="D130" s="4">
        <v>1247943.5</v>
      </c>
      <c r="E130" s="4"/>
      <c r="F130" s="4"/>
      <c r="G130" s="4"/>
      <c r="H130" s="4">
        <v>1663000</v>
      </c>
      <c r="I130" s="4">
        <v>0</v>
      </c>
      <c r="J130" s="4"/>
      <c r="K130" s="4">
        <v>2.8312206268310547E-7</v>
      </c>
      <c r="L130" s="4">
        <v>0</v>
      </c>
      <c r="M130" s="4">
        <v>137317.57</v>
      </c>
      <c r="N130" s="4">
        <v>0</v>
      </c>
      <c r="O130" s="4">
        <v>1000000</v>
      </c>
      <c r="P130" s="4">
        <v>0</v>
      </c>
      <c r="Q130" s="4">
        <v>23513434.5</v>
      </c>
      <c r="R130" s="4">
        <v>7121810</v>
      </c>
      <c r="S130" s="4">
        <v>5644007</v>
      </c>
      <c r="T130" s="4">
        <v>20999559.859999999</v>
      </c>
      <c r="U130" s="4">
        <v>2560525</v>
      </c>
      <c r="V130" s="4"/>
      <c r="W130" s="4">
        <v>2013591.6599838899</v>
      </c>
      <c r="X130" s="4">
        <v>1374750</v>
      </c>
      <c r="Y130" s="4">
        <v>1803840</v>
      </c>
      <c r="Z130" s="4">
        <v>2300803</v>
      </c>
      <c r="AA130" s="4">
        <v>8551988.3399999999</v>
      </c>
      <c r="AB130" s="4">
        <v>2343750</v>
      </c>
      <c r="AC130" s="4">
        <v>16316247</v>
      </c>
      <c r="AD130" s="4">
        <v>1050000</v>
      </c>
      <c r="AE130" s="4">
        <v>80202486.480000004</v>
      </c>
      <c r="AF130" s="4">
        <v>1360000</v>
      </c>
      <c r="AG130" s="4">
        <v>30637565.036477998</v>
      </c>
      <c r="AH130" s="4">
        <v>2766234.0622034809</v>
      </c>
    </row>
    <row r="131" spans="1:34" x14ac:dyDescent="0.3">
      <c r="A131" s="256">
        <v>36923</v>
      </c>
      <c r="B131" s="4">
        <v>1250000</v>
      </c>
      <c r="C131" s="4">
        <v>4375178.6900000004</v>
      </c>
      <c r="D131" s="4">
        <v>1247943.5</v>
      </c>
      <c r="E131" s="4"/>
      <c r="F131" s="4"/>
      <c r="G131" s="4"/>
      <c r="H131" s="4">
        <v>1663000</v>
      </c>
      <c r="I131" s="4">
        <v>0</v>
      </c>
      <c r="J131" s="4"/>
      <c r="K131" s="4">
        <v>2.8312206268310547E-7</v>
      </c>
      <c r="L131" s="4">
        <v>0</v>
      </c>
      <c r="M131" s="4">
        <v>137317.57</v>
      </c>
      <c r="N131" s="4">
        <v>0</v>
      </c>
      <c r="O131" s="4">
        <v>1000000</v>
      </c>
      <c r="P131" s="4">
        <v>0</v>
      </c>
      <c r="Q131" s="4">
        <v>23513434.5</v>
      </c>
      <c r="R131" s="4">
        <v>7121810</v>
      </c>
      <c r="S131" s="4">
        <v>5644007</v>
      </c>
      <c r="T131" s="4">
        <v>20999559.859999999</v>
      </c>
      <c r="U131" s="4">
        <v>2560525</v>
      </c>
      <c r="V131" s="4"/>
      <c r="W131" s="4">
        <v>2013591.6599838899</v>
      </c>
      <c r="X131" s="4">
        <v>1374750</v>
      </c>
      <c r="Y131" s="4">
        <v>1803840</v>
      </c>
      <c r="Z131" s="4">
        <v>2300803</v>
      </c>
      <c r="AA131" s="4">
        <v>8551988.3399999999</v>
      </c>
      <c r="AB131" s="4">
        <v>2343750</v>
      </c>
      <c r="AC131" s="4">
        <v>16316247</v>
      </c>
      <c r="AD131" s="4">
        <v>1050000</v>
      </c>
      <c r="AE131" s="4">
        <v>80202486.480000004</v>
      </c>
      <c r="AF131" s="4">
        <v>1360000</v>
      </c>
      <c r="AG131" s="4">
        <v>30637565.036477998</v>
      </c>
      <c r="AH131" s="4">
        <v>2785453.5047972752</v>
      </c>
    </row>
    <row r="132" spans="1:34" x14ac:dyDescent="0.3">
      <c r="A132" s="256">
        <v>36924</v>
      </c>
      <c r="B132" s="4">
        <v>1250000</v>
      </c>
      <c r="C132" s="4">
        <v>4375178.6900000004</v>
      </c>
      <c r="D132" s="4">
        <v>1247943.5</v>
      </c>
      <c r="E132" s="4"/>
      <c r="F132" s="4"/>
      <c r="G132" s="4"/>
      <c r="H132" s="4">
        <v>1663000</v>
      </c>
      <c r="I132" s="4">
        <v>0</v>
      </c>
      <c r="J132" s="4"/>
      <c r="K132" s="4">
        <v>2.8312206268310547E-7</v>
      </c>
      <c r="L132" s="4">
        <v>0</v>
      </c>
      <c r="M132" s="4">
        <v>137317.57</v>
      </c>
      <c r="N132" s="4">
        <v>0</v>
      </c>
      <c r="O132" s="4">
        <v>1000000</v>
      </c>
      <c r="P132" s="4">
        <v>0</v>
      </c>
      <c r="Q132" s="4">
        <v>23513434.5</v>
      </c>
      <c r="R132" s="4">
        <v>7121810</v>
      </c>
      <c r="S132" s="4">
        <v>5644007</v>
      </c>
      <c r="T132" s="4">
        <v>20999559.859999999</v>
      </c>
      <c r="U132" s="4">
        <v>2560525</v>
      </c>
      <c r="V132" s="4"/>
      <c r="W132" s="4">
        <v>2013591.6599838899</v>
      </c>
      <c r="X132" s="4">
        <v>1374750</v>
      </c>
      <c r="Y132" s="4">
        <v>1803840</v>
      </c>
      <c r="Z132" s="4">
        <v>2300803</v>
      </c>
      <c r="AA132" s="4">
        <v>8551988.3399999999</v>
      </c>
      <c r="AB132" s="4">
        <v>2343750</v>
      </c>
      <c r="AC132" s="4">
        <v>16316247</v>
      </c>
      <c r="AD132" s="4">
        <v>1050000</v>
      </c>
      <c r="AE132" s="4">
        <v>80202486.480000004</v>
      </c>
      <c r="AF132" s="4">
        <v>1360000</v>
      </c>
      <c r="AG132" s="4">
        <v>30637565.036477998</v>
      </c>
      <c r="AH132" s="4">
        <v>2797853.3045832682</v>
      </c>
    </row>
    <row r="133" spans="1:34" x14ac:dyDescent="0.3">
      <c r="A133" s="256">
        <v>36927</v>
      </c>
      <c r="B133" s="4">
        <v>1250000</v>
      </c>
      <c r="C133" s="4">
        <v>4375178.6900000004</v>
      </c>
      <c r="D133" s="4">
        <v>1247943.5</v>
      </c>
      <c r="E133" s="4"/>
      <c r="F133" s="4"/>
      <c r="G133" s="4"/>
      <c r="H133" s="4">
        <v>1663000</v>
      </c>
      <c r="I133" s="4">
        <v>0</v>
      </c>
      <c r="J133" s="4"/>
      <c r="K133" s="4">
        <v>2.8312206268310547E-7</v>
      </c>
      <c r="L133" s="4">
        <v>0</v>
      </c>
      <c r="M133" s="4">
        <v>137317.57</v>
      </c>
      <c r="N133" s="4">
        <v>0</v>
      </c>
      <c r="O133" s="4">
        <v>1000000</v>
      </c>
      <c r="P133" s="4">
        <v>0</v>
      </c>
      <c r="Q133" s="4">
        <v>23513434.5</v>
      </c>
      <c r="R133" s="4">
        <v>7121810</v>
      </c>
      <c r="S133" s="4">
        <v>5644007</v>
      </c>
      <c r="T133" s="4">
        <v>20999559.859999999</v>
      </c>
      <c r="U133" s="4">
        <v>2560525</v>
      </c>
      <c r="V133" s="4"/>
      <c r="W133" s="4">
        <v>2013591.6599838899</v>
      </c>
      <c r="X133" s="4">
        <v>1374750</v>
      </c>
      <c r="Y133" s="4">
        <v>1803840</v>
      </c>
      <c r="Z133" s="4">
        <v>2300803</v>
      </c>
      <c r="AA133" s="4">
        <v>8551988.3399999999</v>
      </c>
      <c r="AB133" s="4">
        <v>2343750</v>
      </c>
      <c r="AC133" s="4">
        <v>16316247</v>
      </c>
      <c r="AD133" s="4">
        <v>1050000</v>
      </c>
      <c r="AE133" s="4">
        <v>80202486.480000004</v>
      </c>
      <c r="AF133" s="4">
        <v>1360000</v>
      </c>
      <c r="AG133" s="4">
        <v>30637565.036477998</v>
      </c>
      <c r="AH133" s="4">
        <v>2791967.4610180217</v>
      </c>
    </row>
    <row r="134" spans="1:34" x14ac:dyDescent="0.3">
      <c r="A134" s="256">
        <v>36928</v>
      </c>
      <c r="B134" s="4">
        <v>1250000</v>
      </c>
      <c r="C134" s="4">
        <v>4375178.6900000004</v>
      </c>
      <c r="D134" s="4">
        <v>1247943.5</v>
      </c>
      <c r="E134" s="4"/>
      <c r="F134" s="4"/>
      <c r="G134" s="4"/>
      <c r="H134" s="4">
        <v>1663000</v>
      </c>
      <c r="I134" s="4">
        <v>0</v>
      </c>
      <c r="J134" s="4"/>
      <c r="K134" s="4">
        <v>2.8312206268310547E-7</v>
      </c>
      <c r="L134" s="4">
        <v>0</v>
      </c>
      <c r="M134" s="4">
        <v>137317.57</v>
      </c>
      <c r="N134" s="4">
        <v>0</v>
      </c>
      <c r="O134" s="4">
        <v>1000000</v>
      </c>
      <c r="P134" s="4">
        <v>0</v>
      </c>
      <c r="Q134" s="4">
        <v>23513434.5</v>
      </c>
      <c r="R134" s="4">
        <v>7121810</v>
      </c>
      <c r="S134" s="4">
        <v>5644007</v>
      </c>
      <c r="T134" s="4">
        <v>20999559.859999999</v>
      </c>
      <c r="U134" s="4">
        <v>2560525</v>
      </c>
      <c r="V134" s="4"/>
      <c r="W134" s="4">
        <v>2013591.6599838899</v>
      </c>
      <c r="X134" s="4">
        <v>1374750</v>
      </c>
      <c r="Y134" s="4">
        <v>1803840</v>
      </c>
      <c r="Z134" s="4">
        <v>2300803</v>
      </c>
      <c r="AA134" s="4">
        <v>8551988.3399999999</v>
      </c>
      <c r="AB134" s="4">
        <v>2343750</v>
      </c>
      <c r="AC134" s="4">
        <v>16316247</v>
      </c>
      <c r="AD134" s="4">
        <v>1050000</v>
      </c>
      <c r="AE134" s="4">
        <v>80202486.480000004</v>
      </c>
      <c r="AF134" s="4">
        <v>1360000</v>
      </c>
      <c r="AG134" s="4">
        <v>30637565.036477998</v>
      </c>
      <c r="AH134" s="4">
        <v>2797201.8463589656</v>
      </c>
    </row>
    <row r="135" spans="1:34" x14ac:dyDescent="0.3">
      <c r="A135" s="256">
        <v>36929</v>
      </c>
      <c r="B135" s="4">
        <v>1250000</v>
      </c>
      <c r="C135" s="4">
        <v>4375178.6900000004</v>
      </c>
      <c r="D135" s="4">
        <v>1247943.5</v>
      </c>
      <c r="E135" s="4"/>
      <c r="F135" s="4"/>
      <c r="G135" s="4"/>
      <c r="H135" s="4">
        <v>1663000</v>
      </c>
      <c r="I135" s="4">
        <v>0</v>
      </c>
      <c r="J135" s="4"/>
      <c r="K135" s="4">
        <v>2.8312206268310547E-7</v>
      </c>
      <c r="L135" s="4">
        <v>0</v>
      </c>
      <c r="M135" s="4">
        <v>137317.57</v>
      </c>
      <c r="N135" s="4">
        <v>0</v>
      </c>
      <c r="O135" s="4">
        <v>1000000</v>
      </c>
      <c r="P135" s="4">
        <v>0</v>
      </c>
      <c r="Q135" s="4">
        <v>23513434.5</v>
      </c>
      <c r="R135" s="4">
        <v>7121810</v>
      </c>
      <c r="S135" s="4">
        <v>5644007</v>
      </c>
      <c r="T135" s="4">
        <v>20999559.859999999</v>
      </c>
      <c r="U135" s="4">
        <v>2560525</v>
      </c>
      <c r="V135" s="4"/>
      <c r="W135" s="4">
        <v>2013591.6599838899</v>
      </c>
      <c r="X135" s="4">
        <v>1374750</v>
      </c>
      <c r="Y135" s="4">
        <v>1803840</v>
      </c>
      <c r="Z135" s="4">
        <v>2300803</v>
      </c>
      <c r="AA135" s="4">
        <v>8551988.3399999999</v>
      </c>
      <c r="AB135" s="4">
        <v>2343750</v>
      </c>
      <c r="AC135" s="4">
        <v>16316247</v>
      </c>
      <c r="AD135" s="4">
        <v>1050000</v>
      </c>
      <c r="AE135" s="4">
        <v>80202486.480000004</v>
      </c>
      <c r="AF135" s="4">
        <v>1360000</v>
      </c>
      <c r="AG135" s="4">
        <v>30637565.036477998</v>
      </c>
      <c r="AH135" s="4">
        <v>2801706.6318115699</v>
      </c>
    </row>
    <row r="136" spans="1:34" x14ac:dyDescent="0.3">
      <c r="A136" s="256">
        <v>36930</v>
      </c>
      <c r="B136" s="4">
        <v>1250000</v>
      </c>
      <c r="C136" s="4">
        <v>4375178.6900000004</v>
      </c>
      <c r="D136" s="4">
        <v>1247943.5</v>
      </c>
      <c r="E136" s="4"/>
      <c r="F136" s="4"/>
      <c r="G136" s="4"/>
      <c r="H136" s="4">
        <v>1663000</v>
      </c>
      <c r="I136" s="4">
        <v>0</v>
      </c>
      <c r="J136" s="4"/>
      <c r="K136" s="4">
        <v>2.8312206268310547E-7</v>
      </c>
      <c r="L136" s="4">
        <v>0</v>
      </c>
      <c r="M136" s="4">
        <v>137317.57</v>
      </c>
      <c r="N136" s="4">
        <v>0</v>
      </c>
      <c r="O136" s="4">
        <v>1000000</v>
      </c>
      <c r="P136" s="4">
        <v>0</v>
      </c>
      <c r="Q136" s="4">
        <v>23513434.5</v>
      </c>
      <c r="R136" s="4">
        <v>7121810</v>
      </c>
      <c r="S136" s="4">
        <v>5644007</v>
      </c>
      <c r="T136" s="4">
        <v>20999559.859999999</v>
      </c>
      <c r="U136" s="4">
        <v>2560525</v>
      </c>
      <c r="V136" s="4"/>
      <c r="W136" s="4">
        <v>2013591.6599838899</v>
      </c>
      <c r="X136" s="4">
        <v>1374750</v>
      </c>
      <c r="Y136" s="4">
        <v>1803840</v>
      </c>
      <c r="Z136" s="4">
        <v>2300803</v>
      </c>
      <c r="AA136" s="4">
        <v>8551988.3399999999</v>
      </c>
      <c r="AB136" s="4">
        <v>2343750</v>
      </c>
      <c r="AC136" s="4">
        <v>16316247</v>
      </c>
      <c r="AD136" s="4">
        <v>1050000</v>
      </c>
      <c r="AE136" s="4">
        <v>80202486.480000004</v>
      </c>
      <c r="AF136" s="4">
        <v>1360000</v>
      </c>
      <c r="AG136" s="4">
        <v>30637565.036477998</v>
      </c>
      <c r="AH136" s="4">
        <v>2805106.5632188991</v>
      </c>
    </row>
    <row r="137" spans="1:34" x14ac:dyDescent="0.3">
      <c r="A137" s="256">
        <v>36931</v>
      </c>
      <c r="B137" s="4">
        <v>1250000</v>
      </c>
      <c r="C137" s="4">
        <v>4375178.6900000004</v>
      </c>
      <c r="D137" s="4">
        <v>1247943.5</v>
      </c>
      <c r="E137" s="4"/>
      <c r="F137" s="4"/>
      <c r="G137" s="4"/>
      <c r="H137" s="4">
        <v>1663000</v>
      </c>
      <c r="I137" s="4">
        <v>0</v>
      </c>
      <c r="J137" s="4"/>
      <c r="K137" s="4">
        <v>2.8312206268310547E-7</v>
      </c>
      <c r="L137" s="4">
        <v>0</v>
      </c>
      <c r="M137" s="4">
        <v>137317.57</v>
      </c>
      <c r="N137" s="4">
        <v>0</v>
      </c>
      <c r="O137" s="4">
        <v>1000000</v>
      </c>
      <c r="P137" s="4">
        <v>0</v>
      </c>
      <c r="Q137" s="4">
        <v>23513434.5</v>
      </c>
      <c r="R137" s="4">
        <v>7121810</v>
      </c>
      <c r="S137" s="4">
        <v>5644007</v>
      </c>
      <c r="T137" s="4">
        <v>20999559.859999999</v>
      </c>
      <c r="U137" s="4">
        <v>2560525</v>
      </c>
      <c r="V137" s="4"/>
      <c r="W137" s="4">
        <v>2013591.6599838899</v>
      </c>
      <c r="X137" s="4">
        <v>1374750</v>
      </c>
      <c r="Y137" s="4">
        <v>1803840</v>
      </c>
      <c r="Z137" s="4">
        <v>2300803</v>
      </c>
      <c r="AA137" s="4">
        <v>8551988.3399999999</v>
      </c>
      <c r="AB137" s="4">
        <v>2343750</v>
      </c>
      <c r="AC137" s="4">
        <v>16316247</v>
      </c>
      <c r="AD137" s="4">
        <v>1050000</v>
      </c>
      <c r="AE137" s="4">
        <v>80202486.480000004</v>
      </c>
      <c r="AF137" s="4">
        <v>1360000</v>
      </c>
      <c r="AG137" s="4">
        <v>30637565.036477998</v>
      </c>
      <c r="AH137" s="4">
        <v>2805055.3156255549</v>
      </c>
    </row>
    <row r="138" spans="1:34" x14ac:dyDescent="0.3">
      <c r="A138" s="256">
        <v>36934</v>
      </c>
      <c r="B138" s="4">
        <v>1250000</v>
      </c>
      <c r="C138" s="4">
        <v>4375178.6900000004</v>
      </c>
      <c r="D138" s="4">
        <v>1247943.5</v>
      </c>
      <c r="E138" s="4"/>
      <c r="F138" s="4"/>
      <c r="G138" s="4"/>
      <c r="H138" s="4">
        <v>1663000</v>
      </c>
      <c r="I138" s="4">
        <v>0</v>
      </c>
      <c r="J138" s="4"/>
      <c r="K138" s="4">
        <v>2.8312206268310547E-7</v>
      </c>
      <c r="L138" s="4">
        <v>0</v>
      </c>
      <c r="M138" s="4">
        <v>137317.57</v>
      </c>
      <c r="N138" s="4">
        <v>0</v>
      </c>
      <c r="O138" s="4">
        <v>1000000</v>
      </c>
      <c r="P138" s="4">
        <v>0</v>
      </c>
      <c r="Q138" s="4">
        <v>23513434.5</v>
      </c>
      <c r="R138" s="4">
        <v>7121810</v>
      </c>
      <c r="S138" s="4">
        <v>5644007</v>
      </c>
      <c r="T138" s="4">
        <v>20999559.859999999</v>
      </c>
      <c r="U138" s="4">
        <v>2560525</v>
      </c>
      <c r="V138" s="4"/>
      <c r="W138" s="4">
        <v>2013591.6599838899</v>
      </c>
      <c r="X138" s="4">
        <v>1374750</v>
      </c>
      <c r="Y138" s="4">
        <v>1803840</v>
      </c>
      <c r="Z138" s="4">
        <v>2300803</v>
      </c>
      <c r="AA138" s="4">
        <v>8551988.3399999999</v>
      </c>
      <c r="AB138" s="4">
        <v>2343750</v>
      </c>
      <c r="AC138" s="4">
        <v>16316247</v>
      </c>
      <c r="AD138" s="4">
        <v>1050000</v>
      </c>
      <c r="AE138" s="4">
        <v>80202486.480000004</v>
      </c>
      <c r="AF138" s="4">
        <v>1360000</v>
      </c>
      <c r="AG138" s="4">
        <v>30637565.036477998</v>
      </c>
      <c r="AH138" s="4">
        <v>2808744.3049828243</v>
      </c>
    </row>
    <row r="139" spans="1:34" x14ac:dyDescent="0.3">
      <c r="A139" s="256">
        <v>36935</v>
      </c>
      <c r="B139" s="4">
        <v>1250000</v>
      </c>
      <c r="C139" s="4">
        <v>4375178.6900000004</v>
      </c>
      <c r="D139" s="4">
        <v>1247943.5</v>
      </c>
      <c r="E139" s="4"/>
      <c r="F139" s="4"/>
      <c r="G139" s="4"/>
      <c r="H139" s="4">
        <v>1663000</v>
      </c>
      <c r="I139" s="4">
        <v>0</v>
      </c>
      <c r="J139" s="4"/>
      <c r="K139" s="4">
        <v>2.8312206268310547E-7</v>
      </c>
      <c r="L139" s="4">
        <v>0</v>
      </c>
      <c r="M139" s="4">
        <v>137317.57</v>
      </c>
      <c r="N139" s="4">
        <v>0</v>
      </c>
      <c r="O139" s="4">
        <v>1000000</v>
      </c>
      <c r="P139" s="4">
        <v>0</v>
      </c>
      <c r="Q139" s="4">
        <v>23513434.5</v>
      </c>
      <c r="R139" s="4">
        <v>7121810</v>
      </c>
      <c r="S139" s="4">
        <v>5644007</v>
      </c>
      <c r="T139" s="4">
        <v>20999559.859999999</v>
      </c>
      <c r="U139" s="4">
        <v>2560525</v>
      </c>
      <c r="V139" s="4"/>
      <c r="W139" s="4">
        <v>2013591.6599838899</v>
      </c>
      <c r="X139" s="4">
        <v>1374750</v>
      </c>
      <c r="Y139" s="4">
        <v>1803840</v>
      </c>
      <c r="Z139" s="4">
        <v>2300803</v>
      </c>
      <c r="AA139" s="4">
        <v>8551988.3399999999</v>
      </c>
      <c r="AB139" s="4">
        <v>2343750</v>
      </c>
      <c r="AC139" s="4">
        <v>16316247</v>
      </c>
      <c r="AD139" s="4">
        <v>1050000</v>
      </c>
      <c r="AE139" s="4">
        <v>80202486.480000004</v>
      </c>
      <c r="AF139" s="4">
        <v>1360000</v>
      </c>
      <c r="AG139" s="4">
        <v>30637565.036477998</v>
      </c>
      <c r="AH139" s="4">
        <v>2809191.2413906981</v>
      </c>
    </row>
    <row r="140" spans="1:34" x14ac:dyDescent="0.3">
      <c r="A140" s="256">
        <v>36936</v>
      </c>
      <c r="B140" s="4">
        <v>1250000</v>
      </c>
      <c r="C140" s="4">
        <v>4375178.6900000004</v>
      </c>
      <c r="D140" s="4">
        <v>1247943.5</v>
      </c>
      <c r="E140" s="4"/>
      <c r="F140" s="4"/>
      <c r="G140" s="4"/>
      <c r="H140" s="4">
        <v>1663000</v>
      </c>
      <c r="I140" s="4">
        <v>0</v>
      </c>
      <c r="J140" s="4"/>
      <c r="K140" s="4">
        <v>2.8312206268310547E-7</v>
      </c>
      <c r="L140" s="4">
        <v>0</v>
      </c>
      <c r="M140" s="4">
        <v>137317.57</v>
      </c>
      <c r="N140" s="4">
        <v>0</v>
      </c>
      <c r="O140" s="4">
        <v>1000000</v>
      </c>
      <c r="P140" s="4">
        <v>0</v>
      </c>
      <c r="Q140" s="4">
        <v>23513434.5</v>
      </c>
      <c r="R140" s="4">
        <v>7121810</v>
      </c>
      <c r="S140" s="4">
        <v>5644007</v>
      </c>
      <c r="T140" s="4">
        <v>20999559.859999999</v>
      </c>
      <c r="U140" s="4">
        <v>2560525</v>
      </c>
      <c r="V140" s="4"/>
      <c r="W140" s="4">
        <v>2013591.6599838899</v>
      </c>
      <c r="X140" s="4">
        <v>1374750</v>
      </c>
      <c r="Y140" s="4">
        <v>1803840</v>
      </c>
      <c r="Z140" s="4">
        <v>2300803</v>
      </c>
      <c r="AA140" s="4">
        <v>8551988.3399999999</v>
      </c>
      <c r="AB140" s="4">
        <v>2343750</v>
      </c>
      <c r="AC140" s="4">
        <v>16316247</v>
      </c>
      <c r="AD140" s="4">
        <v>1050000</v>
      </c>
      <c r="AE140" s="4">
        <v>80202486.480000004</v>
      </c>
      <c r="AF140" s="4">
        <v>1360000</v>
      </c>
      <c r="AG140" s="4">
        <v>30637565.036477998</v>
      </c>
      <c r="AH140" s="4">
        <v>2821757.5063459473</v>
      </c>
    </row>
    <row r="141" spans="1:34" x14ac:dyDescent="0.3">
      <c r="A141" s="256">
        <v>36937</v>
      </c>
      <c r="B141" s="4">
        <v>1250000</v>
      </c>
      <c r="C141" s="4">
        <v>4375178.6900000004</v>
      </c>
      <c r="D141" s="4">
        <v>1247943.5</v>
      </c>
      <c r="E141" s="4"/>
      <c r="F141" s="4"/>
      <c r="G141" s="4"/>
      <c r="H141" s="4">
        <v>1663000</v>
      </c>
      <c r="I141" s="4">
        <v>0</v>
      </c>
      <c r="J141" s="4"/>
      <c r="K141" s="4">
        <v>2.8312206268310547E-7</v>
      </c>
      <c r="L141" s="4">
        <v>0</v>
      </c>
      <c r="M141" s="4">
        <v>137317.57</v>
      </c>
      <c r="N141" s="4">
        <v>0</v>
      </c>
      <c r="O141" s="4">
        <v>1000000</v>
      </c>
      <c r="P141" s="4">
        <v>0</v>
      </c>
      <c r="Q141" s="4">
        <v>23513434.5</v>
      </c>
      <c r="R141" s="4">
        <v>7121810</v>
      </c>
      <c r="S141" s="4">
        <v>5644007</v>
      </c>
      <c r="T141" s="4">
        <v>20999559.859999999</v>
      </c>
      <c r="U141" s="4">
        <v>2560525</v>
      </c>
      <c r="V141" s="4"/>
      <c r="W141" s="4">
        <v>2013591.6599838899</v>
      </c>
      <c r="X141" s="4">
        <v>1374750</v>
      </c>
      <c r="Y141" s="4">
        <v>1803840</v>
      </c>
      <c r="Z141" s="4">
        <v>2300803</v>
      </c>
      <c r="AA141" s="4">
        <v>8551988.3399999999</v>
      </c>
      <c r="AB141" s="4">
        <v>2343750</v>
      </c>
      <c r="AC141" s="4">
        <v>16316247</v>
      </c>
      <c r="AD141" s="4">
        <v>1050000</v>
      </c>
      <c r="AE141" s="4">
        <v>80202486.480000004</v>
      </c>
      <c r="AF141" s="4">
        <v>1360000</v>
      </c>
      <c r="AG141" s="4">
        <v>30637565.036477998</v>
      </c>
      <c r="AH141" s="4">
        <v>2820522.301763081</v>
      </c>
    </row>
    <row r="142" spans="1:34" x14ac:dyDescent="0.3">
      <c r="A142" s="256">
        <v>36938</v>
      </c>
      <c r="B142" s="4">
        <v>1250000</v>
      </c>
      <c r="C142" s="4">
        <v>4375178.6900000004</v>
      </c>
      <c r="D142" s="4">
        <v>1247943.5</v>
      </c>
      <c r="E142" s="4"/>
      <c r="F142" s="4"/>
      <c r="G142" s="4"/>
      <c r="H142" s="4">
        <v>1663000</v>
      </c>
      <c r="I142" s="4">
        <v>0</v>
      </c>
      <c r="J142" s="4"/>
      <c r="K142" s="4">
        <v>2.8312206268310547E-7</v>
      </c>
      <c r="L142" s="4">
        <v>0</v>
      </c>
      <c r="M142" s="4">
        <v>137317.57</v>
      </c>
      <c r="N142" s="4">
        <v>0</v>
      </c>
      <c r="O142" s="4">
        <v>1000000</v>
      </c>
      <c r="P142" s="4">
        <v>0</v>
      </c>
      <c r="Q142" s="4">
        <v>23513434.5</v>
      </c>
      <c r="R142" s="4">
        <v>7121810</v>
      </c>
      <c r="S142" s="4">
        <v>5644007</v>
      </c>
      <c r="T142" s="4">
        <v>20999559.859999999</v>
      </c>
      <c r="U142" s="4">
        <v>2560525</v>
      </c>
      <c r="V142" s="4"/>
      <c r="W142" s="4">
        <v>2013591.6599838899</v>
      </c>
      <c r="X142" s="4">
        <v>1374750</v>
      </c>
      <c r="Y142" s="4">
        <v>1803840</v>
      </c>
      <c r="Z142" s="4">
        <v>2300803</v>
      </c>
      <c r="AA142" s="4">
        <v>8551988.3399999999</v>
      </c>
      <c r="AB142" s="4">
        <v>2343750</v>
      </c>
      <c r="AC142" s="4">
        <v>16316247</v>
      </c>
      <c r="AD142" s="4">
        <v>1050000</v>
      </c>
      <c r="AE142" s="4">
        <v>80202486.480000004</v>
      </c>
      <c r="AF142" s="4">
        <v>1360000</v>
      </c>
      <c r="AG142" s="4">
        <v>30637565.036477998</v>
      </c>
      <c r="AH142" s="4">
        <v>2813317.4556789314</v>
      </c>
    </row>
    <row r="143" spans="1:34" x14ac:dyDescent="0.3">
      <c r="A143" s="256">
        <v>36942</v>
      </c>
      <c r="B143" s="4">
        <v>1250000</v>
      </c>
      <c r="C143" s="4">
        <v>4375178.6900000004</v>
      </c>
      <c r="D143" s="4">
        <v>1247943.5</v>
      </c>
      <c r="E143" s="4"/>
      <c r="F143" s="4"/>
      <c r="G143" s="4"/>
      <c r="H143" s="4">
        <v>1663000</v>
      </c>
      <c r="I143" s="4">
        <v>0</v>
      </c>
      <c r="J143" s="4"/>
      <c r="K143" s="4">
        <v>2.8312206268310547E-7</v>
      </c>
      <c r="L143" s="4">
        <v>0</v>
      </c>
      <c r="M143" s="4">
        <v>137317.57</v>
      </c>
      <c r="N143" s="4">
        <v>0</v>
      </c>
      <c r="O143" s="4">
        <v>1000000</v>
      </c>
      <c r="P143" s="4">
        <v>0</v>
      </c>
      <c r="Q143" s="4">
        <v>23513434.5</v>
      </c>
      <c r="R143" s="4">
        <v>7121810</v>
      </c>
      <c r="S143" s="4">
        <v>5644007</v>
      </c>
      <c r="T143" s="4">
        <v>20999559.859999999</v>
      </c>
      <c r="U143" s="4">
        <v>2560525</v>
      </c>
      <c r="V143" s="4"/>
      <c r="W143" s="4">
        <v>2013591.6599838899</v>
      </c>
      <c r="X143" s="4">
        <v>1374750</v>
      </c>
      <c r="Y143" s="4">
        <v>1803840</v>
      </c>
      <c r="Z143" s="4">
        <v>2300803</v>
      </c>
      <c r="AA143" s="4">
        <v>8551988.3399999999</v>
      </c>
      <c r="AB143" s="4">
        <v>2343750</v>
      </c>
      <c r="AC143" s="4">
        <v>16316247</v>
      </c>
      <c r="AD143" s="4">
        <v>1050000</v>
      </c>
      <c r="AE143" s="4">
        <v>80202486.480000004</v>
      </c>
      <c r="AF143" s="4">
        <v>1360000</v>
      </c>
      <c r="AG143" s="4">
        <v>30637565.036477998</v>
      </c>
      <c r="AH143" s="4">
        <v>2808953.4217410986</v>
      </c>
    </row>
    <row r="144" spans="1:34" x14ac:dyDescent="0.3">
      <c r="A144" s="256">
        <v>36943</v>
      </c>
      <c r="B144" s="4">
        <v>1250000</v>
      </c>
      <c r="C144" s="4">
        <v>4375178.6900000004</v>
      </c>
      <c r="D144" s="4">
        <v>1247943.5</v>
      </c>
      <c r="E144" s="4"/>
      <c r="F144" s="4"/>
      <c r="G144" s="4"/>
      <c r="H144" s="4">
        <v>1663000</v>
      </c>
      <c r="I144" s="4">
        <v>0</v>
      </c>
      <c r="J144" s="4"/>
      <c r="K144" s="4">
        <v>2.8312206268310547E-7</v>
      </c>
      <c r="L144" s="4">
        <v>0</v>
      </c>
      <c r="M144" s="4">
        <v>137317.57</v>
      </c>
      <c r="N144" s="4">
        <v>0</v>
      </c>
      <c r="O144" s="4">
        <v>1000000</v>
      </c>
      <c r="P144" s="4">
        <v>0</v>
      </c>
      <c r="Q144" s="4">
        <v>23513434.5</v>
      </c>
      <c r="R144" s="4">
        <v>7121810</v>
      </c>
      <c r="S144" s="4">
        <v>5644007</v>
      </c>
      <c r="T144" s="4">
        <v>20999559.859999999</v>
      </c>
      <c r="U144" s="4">
        <v>2560525</v>
      </c>
      <c r="V144" s="4"/>
      <c r="W144" s="4">
        <v>2013591.6599838899</v>
      </c>
      <c r="X144" s="4">
        <v>1374750</v>
      </c>
      <c r="Y144" s="4">
        <v>1803840</v>
      </c>
      <c r="Z144" s="4">
        <v>2300803</v>
      </c>
      <c r="AA144" s="4">
        <v>8551988.3399999999</v>
      </c>
      <c r="AB144" s="4">
        <v>2343750</v>
      </c>
      <c r="AC144" s="4">
        <v>16316247</v>
      </c>
      <c r="AD144" s="4">
        <v>1050000</v>
      </c>
      <c r="AE144" s="4">
        <v>80202486.479999989</v>
      </c>
      <c r="AF144" s="4">
        <v>1360000</v>
      </c>
      <c r="AG144" s="4">
        <v>30637565.036477998</v>
      </c>
      <c r="AH144" s="4">
        <v>2797657.0368346344</v>
      </c>
    </row>
    <row r="145" spans="1:34" x14ac:dyDescent="0.3">
      <c r="A145" s="256">
        <v>36944</v>
      </c>
      <c r="B145" s="4">
        <v>1250000</v>
      </c>
      <c r="C145" s="4">
        <v>4375178.6900000004</v>
      </c>
      <c r="D145" s="4">
        <v>1247943.5</v>
      </c>
      <c r="E145" s="4"/>
      <c r="F145" s="4"/>
      <c r="G145" s="4"/>
      <c r="H145" s="4">
        <v>1663000</v>
      </c>
      <c r="I145" s="4">
        <v>0</v>
      </c>
      <c r="J145" s="4"/>
      <c r="K145" s="4">
        <v>2.8312206268310547E-7</v>
      </c>
      <c r="L145" s="4">
        <v>0</v>
      </c>
      <c r="M145" s="4">
        <v>137317.57</v>
      </c>
      <c r="N145" s="4">
        <v>0</v>
      </c>
      <c r="O145" s="4">
        <v>1000000</v>
      </c>
      <c r="P145" s="4">
        <v>0</v>
      </c>
      <c r="Q145" s="4">
        <v>23513434.5</v>
      </c>
      <c r="R145" s="4">
        <v>7121810</v>
      </c>
      <c r="S145" s="4">
        <v>5644007</v>
      </c>
      <c r="T145" s="4">
        <v>20999559.859999999</v>
      </c>
      <c r="U145" s="4">
        <v>2560525</v>
      </c>
      <c r="V145" s="4"/>
      <c r="W145" s="4">
        <v>2013591.6599838899</v>
      </c>
      <c r="X145" s="4">
        <v>1374750</v>
      </c>
      <c r="Y145" s="4">
        <v>1803840</v>
      </c>
      <c r="Z145" s="4">
        <v>2300803</v>
      </c>
      <c r="AA145" s="4">
        <v>8551988.3399999999</v>
      </c>
      <c r="AB145" s="4">
        <v>2343750</v>
      </c>
      <c r="AC145" s="4">
        <v>16316247</v>
      </c>
      <c r="AD145" s="4">
        <v>1050000</v>
      </c>
      <c r="AE145" s="4">
        <v>80202486.479999989</v>
      </c>
      <c r="AF145" s="4">
        <v>1360000</v>
      </c>
      <c r="AG145" s="4">
        <v>30637565.036477998</v>
      </c>
      <c r="AH145" s="4">
        <v>2810418.2756953523</v>
      </c>
    </row>
    <row r="146" spans="1:34" x14ac:dyDescent="0.3">
      <c r="A146" s="256">
        <v>36945</v>
      </c>
      <c r="B146" s="4">
        <v>1250000</v>
      </c>
      <c r="C146" s="4">
        <v>4375178.6900000004</v>
      </c>
      <c r="D146" s="4">
        <v>1247943.5</v>
      </c>
      <c r="E146" s="4"/>
      <c r="F146" s="4"/>
      <c r="G146" s="4"/>
      <c r="H146" s="4">
        <v>1663000</v>
      </c>
      <c r="I146" s="4">
        <v>0</v>
      </c>
      <c r="J146" s="4"/>
      <c r="K146" s="4">
        <v>2.8312206268310547E-7</v>
      </c>
      <c r="L146" s="4">
        <v>0</v>
      </c>
      <c r="M146" s="4">
        <v>137317.57</v>
      </c>
      <c r="N146" s="4">
        <v>0</v>
      </c>
      <c r="O146" s="4">
        <v>1000000</v>
      </c>
      <c r="P146" s="4">
        <v>0</v>
      </c>
      <c r="Q146" s="4">
        <v>23513434.5</v>
      </c>
      <c r="R146" s="4">
        <v>7121810</v>
      </c>
      <c r="S146" s="4">
        <v>5644007</v>
      </c>
      <c r="T146" s="4">
        <v>20999559.859999999</v>
      </c>
      <c r="U146" s="4">
        <v>2560525</v>
      </c>
      <c r="V146" s="4"/>
      <c r="W146" s="4">
        <v>2013591.6599838899</v>
      </c>
      <c r="X146" s="4">
        <v>1374750</v>
      </c>
      <c r="Y146" s="4">
        <v>1803840</v>
      </c>
      <c r="Z146" s="4">
        <v>2300803</v>
      </c>
      <c r="AA146" s="4">
        <v>8551988.3399999999</v>
      </c>
      <c r="AB146" s="4">
        <v>2343750</v>
      </c>
      <c r="AC146" s="4">
        <v>16316247</v>
      </c>
      <c r="AD146" s="4">
        <v>1050000</v>
      </c>
      <c r="AE146" s="4">
        <v>80202486.479999989</v>
      </c>
      <c r="AF146" s="4">
        <v>1360000</v>
      </c>
      <c r="AG146" s="4">
        <v>30637565.036477998</v>
      </c>
      <c r="AH146" s="4">
        <v>2807934.5343045034</v>
      </c>
    </row>
    <row r="147" spans="1:34" x14ac:dyDescent="0.3">
      <c r="A147" s="256">
        <v>36948</v>
      </c>
      <c r="B147" s="4">
        <v>1250000</v>
      </c>
      <c r="C147" s="4">
        <v>4375178.6900000004</v>
      </c>
      <c r="D147" s="4">
        <v>1247943.5</v>
      </c>
      <c r="E147" s="4"/>
      <c r="F147" s="4"/>
      <c r="G147" s="4"/>
      <c r="H147" s="4">
        <v>1663000</v>
      </c>
      <c r="I147" s="4">
        <v>0</v>
      </c>
      <c r="J147" s="4"/>
      <c r="K147" s="4">
        <v>2.8312206268310547E-7</v>
      </c>
      <c r="L147" s="4">
        <v>0</v>
      </c>
      <c r="M147" s="4">
        <v>137317.57</v>
      </c>
      <c r="N147" s="4">
        <v>0</v>
      </c>
      <c r="O147" s="4">
        <v>1000000</v>
      </c>
      <c r="P147" s="4">
        <v>0</v>
      </c>
      <c r="Q147" s="4">
        <v>23513434.5</v>
      </c>
      <c r="R147" s="4">
        <v>7121810</v>
      </c>
      <c r="S147" s="4">
        <v>5644007</v>
      </c>
      <c r="T147" s="4">
        <v>20999559.859999999</v>
      </c>
      <c r="U147" s="4">
        <v>2560525</v>
      </c>
      <c r="V147" s="4"/>
      <c r="W147" s="4">
        <v>2013591.6599838899</v>
      </c>
      <c r="X147" s="4">
        <v>1374750</v>
      </c>
      <c r="Y147" s="4">
        <v>1803840</v>
      </c>
      <c r="Z147" s="4">
        <v>2300803</v>
      </c>
      <c r="AA147" s="4">
        <v>8551988.3399999999</v>
      </c>
      <c r="AB147" s="4">
        <v>2343750</v>
      </c>
      <c r="AC147" s="4">
        <v>16316247</v>
      </c>
      <c r="AD147" s="4">
        <v>1050000</v>
      </c>
      <c r="AE147" s="4">
        <v>80202486.479999989</v>
      </c>
      <c r="AF147" s="4">
        <v>1360000</v>
      </c>
      <c r="AG147" s="4">
        <v>30637565.036477998</v>
      </c>
      <c r="AH147" s="4">
        <v>2806059.3629211229</v>
      </c>
    </row>
    <row r="148" spans="1:34" x14ac:dyDescent="0.3">
      <c r="A148" s="256">
        <v>36949</v>
      </c>
      <c r="B148" s="4">
        <v>1250000</v>
      </c>
      <c r="C148" s="4">
        <v>4375178.6900000004</v>
      </c>
      <c r="D148" s="4">
        <v>1247943.5</v>
      </c>
      <c r="E148" s="4"/>
      <c r="F148" s="4"/>
      <c r="G148" s="4"/>
      <c r="H148" s="4">
        <v>1663000</v>
      </c>
      <c r="I148" s="4">
        <v>0</v>
      </c>
      <c r="J148" s="4"/>
      <c r="K148" s="4">
        <v>2.8312206268310547E-7</v>
      </c>
      <c r="L148" s="4">
        <v>0</v>
      </c>
      <c r="M148" s="4">
        <v>137317.57</v>
      </c>
      <c r="N148" s="4">
        <v>0</v>
      </c>
      <c r="O148" s="4">
        <v>1000000</v>
      </c>
      <c r="P148" s="4">
        <v>0</v>
      </c>
      <c r="Q148" s="4">
        <v>23513434.5</v>
      </c>
      <c r="R148" s="4">
        <v>7121810</v>
      </c>
      <c r="S148" s="4">
        <v>5644007</v>
      </c>
      <c r="T148" s="4">
        <v>20999559.859999999</v>
      </c>
      <c r="U148" s="4">
        <v>2560525</v>
      </c>
      <c r="V148" s="4"/>
      <c r="W148" s="4">
        <v>2013591.6599838899</v>
      </c>
      <c r="X148" s="4">
        <v>1374750</v>
      </c>
      <c r="Y148" s="4">
        <v>1803840</v>
      </c>
      <c r="Z148" s="4">
        <v>2300803</v>
      </c>
      <c r="AA148" s="4">
        <v>8551988.3399999999</v>
      </c>
      <c r="AB148" s="4">
        <v>2343750</v>
      </c>
      <c r="AC148" s="4">
        <v>16316247</v>
      </c>
      <c r="AD148" s="4">
        <v>1050000</v>
      </c>
      <c r="AE148" s="4">
        <v>80202486.479999989</v>
      </c>
      <c r="AF148" s="4">
        <v>1360000</v>
      </c>
      <c r="AG148" s="4">
        <v>30637565.036477998</v>
      </c>
      <c r="AH148" s="4">
        <v>2776275.6716963141</v>
      </c>
    </row>
    <row r="149" spans="1:34" x14ac:dyDescent="0.3">
      <c r="A149" s="256">
        <v>36950</v>
      </c>
      <c r="B149" s="4">
        <v>1250000</v>
      </c>
      <c r="C149" s="4">
        <v>4375178.6900000004</v>
      </c>
      <c r="D149" s="4">
        <v>1247943.5</v>
      </c>
      <c r="E149" s="4"/>
      <c r="F149" s="4"/>
      <c r="G149" s="4"/>
      <c r="H149" s="4">
        <v>1663000</v>
      </c>
      <c r="I149" s="4">
        <v>0</v>
      </c>
      <c r="J149" s="4"/>
      <c r="K149" s="4">
        <v>2.8312206268310547E-7</v>
      </c>
      <c r="L149" s="4">
        <v>0</v>
      </c>
      <c r="M149" s="4">
        <v>137317.57</v>
      </c>
      <c r="N149" s="4">
        <v>0</v>
      </c>
      <c r="O149" s="4">
        <v>1000000</v>
      </c>
      <c r="P149" s="4">
        <v>0</v>
      </c>
      <c r="Q149" s="4">
        <v>23513434.5</v>
      </c>
      <c r="R149" s="4">
        <v>7121810</v>
      </c>
      <c r="S149" s="4">
        <v>5644007</v>
      </c>
      <c r="T149" s="4">
        <v>20999559.859999999</v>
      </c>
      <c r="U149" s="4">
        <v>2560525</v>
      </c>
      <c r="V149" s="4"/>
      <c r="W149" s="4">
        <v>2013591.6599838899</v>
      </c>
      <c r="X149" s="4">
        <v>1374750</v>
      </c>
      <c r="Y149" s="4">
        <v>1803840</v>
      </c>
      <c r="Z149" s="4">
        <v>2300803</v>
      </c>
      <c r="AA149" s="4">
        <v>8551988.3399999999</v>
      </c>
      <c r="AB149" s="4">
        <v>2343750</v>
      </c>
      <c r="AC149" s="4">
        <v>16316247</v>
      </c>
      <c r="AD149" s="4">
        <v>1050000</v>
      </c>
      <c r="AE149" s="4">
        <v>80202486.479999989</v>
      </c>
      <c r="AF149" s="4">
        <v>1360000</v>
      </c>
      <c r="AG149" s="4">
        <v>30637565.036477998</v>
      </c>
      <c r="AH149" s="4">
        <v>2776190.2170762988</v>
      </c>
    </row>
    <row r="150" spans="1:34" x14ac:dyDescent="0.3">
      <c r="A150" s="256">
        <v>36951</v>
      </c>
      <c r="B150" s="4">
        <v>1250000</v>
      </c>
      <c r="C150" s="4">
        <v>4375178.6900000004</v>
      </c>
      <c r="D150" s="4">
        <v>1247943.5</v>
      </c>
      <c r="E150" s="4"/>
      <c r="F150" s="4"/>
      <c r="G150" s="4"/>
      <c r="H150" s="4">
        <v>1663000</v>
      </c>
      <c r="I150" s="4">
        <v>0</v>
      </c>
      <c r="J150" s="4"/>
      <c r="K150" s="4">
        <v>2.8312206268310547E-7</v>
      </c>
      <c r="L150" s="4">
        <v>0</v>
      </c>
      <c r="M150" s="4">
        <v>137317.57</v>
      </c>
      <c r="N150" s="4">
        <v>0</v>
      </c>
      <c r="O150" s="4">
        <v>1000000</v>
      </c>
      <c r="P150" s="4">
        <v>0</v>
      </c>
      <c r="Q150" s="4">
        <v>23513434.5</v>
      </c>
      <c r="R150" s="4">
        <v>7121810</v>
      </c>
      <c r="S150" s="4">
        <v>5644007</v>
      </c>
      <c r="T150" s="4">
        <v>20999559.859999999</v>
      </c>
      <c r="U150" s="4">
        <v>2560525</v>
      </c>
      <c r="V150" s="4"/>
      <c r="W150" s="4">
        <v>2013591.6599838899</v>
      </c>
      <c r="X150" s="4">
        <v>1374750</v>
      </c>
      <c r="Y150" s="4">
        <v>1803840</v>
      </c>
      <c r="Z150" s="4">
        <v>2300803</v>
      </c>
      <c r="AA150" s="4">
        <v>8551988.3399999999</v>
      </c>
      <c r="AB150" s="4">
        <v>2343750</v>
      </c>
      <c r="AC150" s="4">
        <v>16316247</v>
      </c>
      <c r="AD150" s="4">
        <v>1050000</v>
      </c>
      <c r="AE150" s="4">
        <v>80202486.479999989</v>
      </c>
      <c r="AF150" s="4">
        <v>1360000</v>
      </c>
      <c r="AG150" s="4">
        <v>30637565.036477998</v>
      </c>
      <c r="AH150" s="4">
        <v>2780129.4059277992</v>
      </c>
    </row>
    <row r="151" spans="1:34" x14ac:dyDescent="0.3">
      <c r="A151" s="256">
        <v>36952</v>
      </c>
      <c r="B151" s="4">
        <v>1250000</v>
      </c>
      <c r="C151" s="4">
        <v>4375178.6900000004</v>
      </c>
      <c r="D151" s="4">
        <v>1247943.5</v>
      </c>
      <c r="E151" s="4"/>
      <c r="F151" s="4"/>
      <c r="G151" s="4"/>
      <c r="H151" s="4">
        <v>1663000</v>
      </c>
      <c r="I151" s="4">
        <v>0</v>
      </c>
      <c r="J151" s="4"/>
      <c r="K151" s="4">
        <v>2.8312206268310547E-7</v>
      </c>
      <c r="L151" s="4">
        <v>0</v>
      </c>
      <c r="M151" s="4">
        <v>137317.57</v>
      </c>
      <c r="N151" s="4">
        <v>0</v>
      </c>
      <c r="O151" s="4">
        <v>1000000</v>
      </c>
      <c r="P151" s="4">
        <v>0</v>
      </c>
      <c r="Q151" s="4">
        <v>23513434.5</v>
      </c>
      <c r="R151" s="4">
        <v>7121810</v>
      </c>
      <c r="S151" s="4">
        <v>5644007</v>
      </c>
      <c r="T151" s="4">
        <v>20999559.859999999</v>
      </c>
      <c r="U151" s="4">
        <v>2560525</v>
      </c>
      <c r="V151" s="4"/>
      <c r="W151" s="4">
        <v>2013591.6599838899</v>
      </c>
      <c r="X151" s="4">
        <v>1374750</v>
      </c>
      <c r="Y151" s="4">
        <v>1803840</v>
      </c>
      <c r="Z151" s="4">
        <v>2300803</v>
      </c>
      <c r="AA151" s="4">
        <v>8551988.3399999999</v>
      </c>
      <c r="AB151" s="4">
        <v>2343750</v>
      </c>
      <c r="AC151" s="4">
        <v>16316247</v>
      </c>
      <c r="AD151" s="4">
        <v>1050000</v>
      </c>
      <c r="AE151" s="4">
        <v>80202486.479999989</v>
      </c>
      <c r="AF151" s="4">
        <v>1360000</v>
      </c>
      <c r="AG151" s="4">
        <v>30637565.036477998</v>
      </c>
      <c r="AH151" s="4">
        <v>2783287.5055176308</v>
      </c>
    </row>
    <row r="152" spans="1:34" x14ac:dyDescent="0.3">
      <c r="A152" s="256">
        <v>36955</v>
      </c>
      <c r="B152" s="4">
        <v>1250000</v>
      </c>
      <c r="C152" s="4">
        <v>4375178.6900000004</v>
      </c>
      <c r="D152" s="4">
        <v>1247943.5</v>
      </c>
      <c r="E152" s="4"/>
      <c r="F152" s="4"/>
      <c r="G152" s="4"/>
      <c r="H152" s="4">
        <v>1663000</v>
      </c>
      <c r="I152" s="4">
        <v>0</v>
      </c>
      <c r="J152" s="4"/>
      <c r="K152" s="4">
        <v>2.8312206268310547E-7</v>
      </c>
      <c r="L152" s="4">
        <v>0</v>
      </c>
      <c r="M152" s="4">
        <v>137317.57</v>
      </c>
      <c r="N152" s="4">
        <v>0</v>
      </c>
      <c r="O152" s="4">
        <v>1000000</v>
      </c>
      <c r="P152" s="4">
        <v>0</v>
      </c>
      <c r="Q152" s="4">
        <v>23513434.5</v>
      </c>
      <c r="R152" s="4">
        <v>7121810</v>
      </c>
      <c r="S152" s="4">
        <v>5644007</v>
      </c>
      <c r="T152" s="4">
        <v>20999559.859999999</v>
      </c>
      <c r="U152" s="4">
        <v>2560525</v>
      </c>
      <c r="V152" s="4"/>
      <c r="W152" s="4">
        <v>2013591.6599838899</v>
      </c>
      <c r="X152" s="4">
        <v>1374750</v>
      </c>
      <c r="Y152" s="4">
        <v>1803840</v>
      </c>
      <c r="Z152" s="4">
        <v>2300803</v>
      </c>
      <c r="AA152" s="4">
        <v>8551988.3399999999</v>
      </c>
      <c r="AB152" s="4">
        <v>2343750</v>
      </c>
      <c r="AC152" s="4">
        <v>16316247</v>
      </c>
      <c r="AD152" s="4">
        <v>1050000</v>
      </c>
      <c r="AE152" s="4">
        <v>80202486.479999989</v>
      </c>
      <c r="AF152" s="4">
        <v>1360000</v>
      </c>
      <c r="AG152" s="4">
        <v>30637565.036477998</v>
      </c>
      <c r="AH152" s="4">
        <v>2799701.4363783081</v>
      </c>
    </row>
    <row r="153" spans="1:34" x14ac:dyDescent="0.3">
      <c r="A153" s="256">
        <v>36956</v>
      </c>
      <c r="B153" s="4">
        <v>1250000</v>
      </c>
      <c r="C153" s="4">
        <v>4375178.6900000004</v>
      </c>
      <c r="D153" s="4">
        <v>1247943.5</v>
      </c>
      <c r="E153" s="4"/>
      <c r="F153" s="4"/>
      <c r="G153" s="4"/>
      <c r="H153" s="4">
        <v>1663000</v>
      </c>
      <c r="I153" s="4">
        <v>0</v>
      </c>
      <c r="J153" s="4"/>
      <c r="K153" s="4">
        <v>2.8312206268310547E-7</v>
      </c>
      <c r="L153" s="4">
        <v>0</v>
      </c>
      <c r="M153" s="4">
        <v>137317.57</v>
      </c>
      <c r="N153" s="4">
        <v>0</v>
      </c>
      <c r="O153" s="4">
        <v>1000000</v>
      </c>
      <c r="P153" s="4">
        <v>0</v>
      </c>
      <c r="Q153" s="4">
        <v>23513434.5</v>
      </c>
      <c r="R153" s="4">
        <v>7121810</v>
      </c>
      <c r="S153" s="4">
        <v>5644007</v>
      </c>
      <c r="T153" s="4">
        <v>20999559.859999999</v>
      </c>
      <c r="U153" s="4">
        <v>2560525</v>
      </c>
      <c r="V153" s="4"/>
      <c r="W153" s="4">
        <v>2013591.6599838899</v>
      </c>
      <c r="X153" s="4">
        <v>1374750</v>
      </c>
      <c r="Y153" s="4">
        <v>1803840</v>
      </c>
      <c r="Z153" s="4">
        <v>2300803</v>
      </c>
      <c r="AA153" s="4">
        <v>8551988.3399999999</v>
      </c>
      <c r="AB153" s="4">
        <v>2343750</v>
      </c>
      <c r="AC153" s="4">
        <v>16316247</v>
      </c>
      <c r="AD153" s="4">
        <v>1050000</v>
      </c>
      <c r="AE153" s="4">
        <v>80202486.479999989</v>
      </c>
      <c r="AF153" s="4">
        <v>1360000</v>
      </c>
      <c r="AG153" s="4">
        <v>30637565.036477998</v>
      </c>
      <c r="AH153" s="4">
        <v>2801715.4120777296</v>
      </c>
    </row>
    <row r="154" spans="1:34" x14ac:dyDescent="0.3">
      <c r="A154" s="256">
        <v>36957</v>
      </c>
      <c r="B154" s="4">
        <v>1250000</v>
      </c>
      <c r="C154" s="4">
        <v>4375178.6900000004</v>
      </c>
      <c r="D154" s="4">
        <v>1247943.5</v>
      </c>
      <c r="E154" s="4"/>
      <c r="F154" s="4"/>
      <c r="G154" s="4"/>
      <c r="H154" s="4">
        <v>1663000</v>
      </c>
      <c r="I154" s="4">
        <v>0</v>
      </c>
      <c r="J154" s="4"/>
      <c r="K154" s="4">
        <v>2.8312206268310547E-7</v>
      </c>
      <c r="L154" s="4">
        <v>0</v>
      </c>
      <c r="M154" s="4">
        <v>137317.57</v>
      </c>
      <c r="N154" s="4">
        <v>0</v>
      </c>
      <c r="O154" s="4">
        <v>1000000</v>
      </c>
      <c r="P154" s="4">
        <v>0</v>
      </c>
      <c r="Q154" s="4">
        <v>23513434.5</v>
      </c>
      <c r="R154" s="4">
        <v>7121810</v>
      </c>
      <c r="S154" s="4">
        <v>5644007</v>
      </c>
      <c r="T154" s="4">
        <v>20999559.859999999</v>
      </c>
      <c r="U154" s="4">
        <v>2560525</v>
      </c>
      <c r="V154" s="4"/>
      <c r="W154" s="4">
        <v>0</v>
      </c>
      <c r="X154" s="4">
        <v>0</v>
      </c>
      <c r="Y154" s="4">
        <v>1803840</v>
      </c>
      <c r="Z154" s="4">
        <v>2300803</v>
      </c>
      <c r="AA154" s="4">
        <v>8551988.3399999999</v>
      </c>
      <c r="AB154" s="4">
        <v>2343750</v>
      </c>
      <c r="AC154" s="4">
        <v>16316247</v>
      </c>
      <c r="AD154" s="4">
        <v>1050000</v>
      </c>
      <c r="AE154" s="4">
        <v>80202486.479999989</v>
      </c>
      <c r="AF154" s="4">
        <v>1360000</v>
      </c>
      <c r="AG154" s="4">
        <v>30637565.036477998</v>
      </c>
      <c r="AH154" s="4">
        <v>2801715.4120777296</v>
      </c>
    </row>
    <row r="155" spans="1:34" x14ac:dyDescent="0.3">
      <c r="A155" s="256">
        <v>36958</v>
      </c>
      <c r="B155" s="4">
        <v>1250000</v>
      </c>
      <c r="C155" s="4">
        <v>4375178.6900000004</v>
      </c>
      <c r="D155" s="4">
        <v>1247943.5</v>
      </c>
      <c r="E155" s="4"/>
      <c r="F155" s="4"/>
      <c r="G155" s="4"/>
      <c r="H155" s="4">
        <v>1663000</v>
      </c>
      <c r="I155" s="4">
        <v>0</v>
      </c>
      <c r="J155" s="4"/>
      <c r="K155" s="4">
        <v>2.8312206268310547E-7</v>
      </c>
      <c r="L155" s="4">
        <v>0</v>
      </c>
      <c r="M155" s="4">
        <v>137317.57</v>
      </c>
      <c r="N155" s="4">
        <v>0</v>
      </c>
      <c r="O155" s="4">
        <v>1000000</v>
      </c>
      <c r="P155" s="4">
        <v>0</v>
      </c>
      <c r="Q155" s="4">
        <v>23513434.5</v>
      </c>
      <c r="R155" s="4">
        <v>7121810</v>
      </c>
      <c r="S155" s="4">
        <v>5644007</v>
      </c>
      <c r="T155" s="4">
        <v>20999559.859999999</v>
      </c>
      <c r="U155" s="4">
        <v>2560525</v>
      </c>
      <c r="V155" s="4"/>
      <c r="W155" s="4">
        <v>0</v>
      </c>
      <c r="X155" s="4">
        <v>0</v>
      </c>
      <c r="Y155" s="4">
        <v>1803840</v>
      </c>
      <c r="Z155" s="4">
        <v>2300803</v>
      </c>
      <c r="AA155" s="4">
        <v>8551988.3399999999</v>
      </c>
      <c r="AB155" s="4">
        <v>2343750</v>
      </c>
      <c r="AC155" s="4">
        <v>16316247</v>
      </c>
      <c r="AD155" s="4">
        <v>1050000</v>
      </c>
      <c r="AE155" s="4">
        <v>80202486.479999989</v>
      </c>
      <c r="AF155" s="4">
        <v>1360000</v>
      </c>
      <c r="AG155" s="4">
        <v>30637565.036477998</v>
      </c>
      <c r="AH155" s="4">
        <v>2814203.2909947382</v>
      </c>
    </row>
    <row r="156" spans="1:34" x14ac:dyDescent="0.3">
      <c r="A156" s="256">
        <v>36959</v>
      </c>
      <c r="B156" s="4">
        <v>1250000</v>
      </c>
      <c r="C156" s="4">
        <v>4375178.6900000004</v>
      </c>
      <c r="D156" s="4">
        <v>1247943.5</v>
      </c>
      <c r="E156" s="4"/>
      <c r="F156" s="4"/>
      <c r="G156" s="4"/>
      <c r="H156" s="4">
        <v>1663000</v>
      </c>
      <c r="I156" s="4">
        <v>0</v>
      </c>
      <c r="J156" s="4"/>
      <c r="K156" s="4">
        <v>2.8312206268310547E-7</v>
      </c>
      <c r="L156" s="4">
        <v>0</v>
      </c>
      <c r="M156" s="4">
        <v>137317.57</v>
      </c>
      <c r="N156" s="4">
        <v>0</v>
      </c>
      <c r="O156" s="4">
        <v>1000000</v>
      </c>
      <c r="P156" s="4">
        <v>0</v>
      </c>
      <c r="Q156" s="4">
        <v>23513434.5</v>
      </c>
      <c r="R156" s="4">
        <v>7121810</v>
      </c>
      <c r="S156" s="4">
        <v>5644007</v>
      </c>
      <c r="T156" s="4">
        <v>20999559.859999999</v>
      </c>
      <c r="U156" s="4">
        <v>2560525</v>
      </c>
      <c r="V156" s="4"/>
      <c r="W156" s="4">
        <v>0</v>
      </c>
      <c r="X156" s="4">
        <v>0</v>
      </c>
      <c r="Y156" s="4">
        <v>1803840</v>
      </c>
      <c r="Z156" s="4">
        <v>2300803</v>
      </c>
      <c r="AA156" s="4">
        <v>8551988.3399999999</v>
      </c>
      <c r="AB156" s="4">
        <v>2343750</v>
      </c>
      <c r="AC156" s="4">
        <v>16316247</v>
      </c>
      <c r="AD156" s="4">
        <v>1050000</v>
      </c>
      <c r="AE156" s="4">
        <v>80202486.479999989</v>
      </c>
      <c r="AF156" s="4">
        <v>1360000</v>
      </c>
      <c r="AG156" s="4">
        <v>30637565.036477998</v>
      </c>
      <c r="AH156" s="4">
        <v>2816508.172412124</v>
      </c>
    </row>
    <row r="157" spans="1:34" x14ac:dyDescent="0.3">
      <c r="A157" s="256">
        <v>36962</v>
      </c>
      <c r="B157" s="4">
        <v>1250000</v>
      </c>
      <c r="C157" s="4">
        <v>4375178.6900000004</v>
      </c>
      <c r="D157" s="4">
        <v>1247943.5</v>
      </c>
      <c r="E157" s="4"/>
      <c r="F157" s="4"/>
      <c r="G157" s="4"/>
      <c r="H157" s="4">
        <v>1663000</v>
      </c>
      <c r="I157" s="4">
        <v>0</v>
      </c>
      <c r="J157" s="4"/>
      <c r="K157" s="4">
        <v>2.8312206268310547E-7</v>
      </c>
      <c r="L157" s="4">
        <v>0</v>
      </c>
      <c r="M157" s="4">
        <v>137317.57</v>
      </c>
      <c r="N157" s="4">
        <v>0</v>
      </c>
      <c r="O157" s="4">
        <v>1000000</v>
      </c>
      <c r="P157" s="4">
        <v>0</v>
      </c>
      <c r="Q157" s="4">
        <v>23513434.5</v>
      </c>
      <c r="R157" s="4">
        <v>7121810</v>
      </c>
      <c r="S157" s="4">
        <v>5644007</v>
      </c>
      <c r="T157" s="4">
        <v>20999559.859999999</v>
      </c>
      <c r="U157" s="4">
        <v>2560525</v>
      </c>
      <c r="V157" s="4"/>
      <c r="W157" s="4">
        <v>0</v>
      </c>
      <c r="X157" s="4">
        <v>0</v>
      </c>
      <c r="Y157" s="4">
        <v>1803840</v>
      </c>
      <c r="Z157" s="4">
        <v>2300803</v>
      </c>
      <c r="AA157" s="4">
        <v>8551988.3399999999</v>
      </c>
      <c r="AB157" s="4">
        <v>2343750</v>
      </c>
      <c r="AC157" s="4">
        <v>16316247</v>
      </c>
      <c r="AD157" s="4">
        <v>1050000</v>
      </c>
      <c r="AE157" s="4">
        <v>80202486.479999989</v>
      </c>
      <c r="AF157" s="4">
        <v>1360000</v>
      </c>
      <c r="AG157" s="4">
        <v>30637565.036477998</v>
      </c>
      <c r="AH157" s="4">
        <v>2818038.9000951624</v>
      </c>
    </row>
    <row r="158" spans="1:34" x14ac:dyDescent="0.3">
      <c r="A158" s="256">
        <v>36963</v>
      </c>
      <c r="B158" s="4">
        <v>1250000</v>
      </c>
      <c r="C158" s="4">
        <v>4375178.6900000004</v>
      </c>
      <c r="D158" s="4">
        <v>1247943.5</v>
      </c>
      <c r="E158" s="4"/>
      <c r="F158" s="4"/>
      <c r="G158" s="4"/>
      <c r="H158" s="4">
        <v>1663000</v>
      </c>
      <c r="I158" s="4">
        <v>0</v>
      </c>
      <c r="J158" s="4"/>
      <c r="K158" s="4">
        <v>2.8312206268310547E-7</v>
      </c>
      <c r="L158" s="4">
        <v>0</v>
      </c>
      <c r="M158" s="4">
        <v>137317.57</v>
      </c>
      <c r="N158" s="4">
        <v>0</v>
      </c>
      <c r="O158" s="4">
        <v>1000000</v>
      </c>
      <c r="P158" s="4">
        <v>0</v>
      </c>
      <c r="Q158" s="4">
        <v>23513434.5</v>
      </c>
      <c r="R158" s="4">
        <v>7121810</v>
      </c>
      <c r="S158" s="4">
        <v>5644007</v>
      </c>
      <c r="T158" s="4">
        <v>20999559.859999999</v>
      </c>
      <c r="U158" s="4">
        <v>2560525</v>
      </c>
      <c r="V158" s="4"/>
      <c r="W158" s="4">
        <v>0</v>
      </c>
      <c r="X158" s="4">
        <v>0</v>
      </c>
      <c r="Y158" s="4">
        <v>1803840</v>
      </c>
      <c r="Z158" s="4">
        <v>2300803</v>
      </c>
      <c r="AA158" s="4">
        <v>8551988.3399999999</v>
      </c>
      <c r="AB158" s="4">
        <v>2343750</v>
      </c>
      <c r="AC158" s="4">
        <v>16316247</v>
      </c>
      <c r="AD158" s="4">
        <v>1050000</v>
      </c>
      <c r="AE158" s="4">
        <v>80202486.479999989</v>
      </c>
      <c r="AF158" s="4">
        <v>1360000</v>
      </c>
      <c r="AG158" s="4">
        <v>30637565.036477998</v>
      </c>
      <c r="AH158" s="4">
        <v>2804977.6566211162</v>
      </c>
    </row>
    <row r="159" spans="1:34" x14ac:dyDescent="0.3">
      <c r="A159" s="256">
        <v>36964</v>
      </c>
      <c r="B159" s="4">
        <v>1250000</v>
      </c>
      <c r="C159" s="4">
        <v>4375178.6900000004</v>
      </c>
      <c r="D159" s="4">
        <v>1247943.5</v>
      </c>
      <c r="E159" s="4"/>
      <c r="F159" s="4"/>
      <c r="G159" s="4"/>
      <c r="H159" s="4">
        <v>1663000</v>
      </c>
      <c r="I159" s="4">
        <v>0</v>
      </c>
      <c r="J159" s="4"/>
      <c r="K159" s="4">
        <v>2.8312206268310547E-7</v>
      </c>
      <c r="L159" s="4">
        <v>0</v>
      </c>
      <c r="M159" s="4">
        <v>137317.57</v>
      </c>
      <c r="N159" s="4">
        <v>0</v>
      </c>
      <c r="O159" s="4">
        <v>1000000</v>
      </c>
      <c r="P159" s="4">
        <v>0</v>
      </c>
      <c r="Q159" s="4">
        <v>23513434.5</v>
      </c>
      <c r="R159" s="4">
        <v>7121810</v>
      </c>
      <c r="S159" s="4">
        <v>5644007</v>
      </c>
      <c r="T159" s="4">
        <v>20999559.859999999</v>
      </c>
      <c r="U159" s="4">
        <v>2560525</v>
      </c>
      <c r="V159" s="4"/>
      <c r="W159" s="4">
        <v>0</v>
      </c>
      <c r="X159" s="4">
        <v>0</v>
      </c>
      <c r="Y159" s="4">
        <v>1803840</v>
      </c>
      <c r="Z159" s="4">
        <v>2300803</v>
      </c>
      <c r="AA159" s="4">
        <v>8551988.3399999999</v>
      </c>
      <c r="AB159" s="4">
        <v>2343750</v>
      </c>
      <c r="AC159" s="4">
        <v>16316247</v>
      </c>
      <c r="AD159" s="4">
        <v>1050000</v>
      </c>
      <c r="AE159" s="4">
        <v>80202486.479999989</v>
      </c>
      <c r="AF159" s="4">
        <v>1360000</v>
      </c>
      <c r="AG159" s="4">
        <v>30637565.036477998</v>
      </c>
      <c r="AH159" s="4">
        <v>2804977.6566211162</v>
      </c>
    </row>
    <row r="160" spans="1:34" x14ac:dyDescent="0.3">
      <c r="A160" s="256">
        <v>36965</v>
      </c>
      <c r="B160" s="4">
        <v>1250000</v>
      </c>
      <c r="C160" s="4">
        <v>4375178.6900000004</v>
      </c>
      <c r="D160" s="4">
        <v>1247943.5</v>
      </c>
      <c r="E160" s="4"/>
      <c r="F160" s="4"/>
      <c r="G160" s="4"/>
      <c r="H160" s="4">
        <v>1663000</v>
      </c>
      <c r="I160" s="4">
        <v>0</v>
      </c>
      <c r="J160" s="4"/>
      <c r="K160" s="4">
        <v>2.8312206268310547E-7</v>
      </c>
      <c r="L160" s="4">
        <v>0</v>
      </c>
      <c r="M160" s="4">
        <v>137317.57</v>
      </c>
      <c r="N160" s="4">
        <v>0</v>
      </c>
      <c r="O160" s="4">
        <v>1000000</v>
      </c>
      <c r="P160" s="4">
        <v>0</v>
      </c>
      <c r="Q160" s="4">
        <v>23513434.5</v>
      </c>
      <c r="R160" s="4">
        <v>7121810</v>
      </c>
      <c r="S160" s="4">
        <v>5644007</v>
      </c>
      <c r="T160" s="4">
        <v>20999559.859999999</v>
      </c>
      <c r="U160" s="4">
        <v>2560525</v>
      </c>
      <c r="V160" s="4"/>
      <c r="W160" s="4">
        <v>0</v>
      </c>
      <c r="X160" s="4">
        <v>0</v>
      </c>
      <c r="Y160" s="4">
        <v>1803840</v>
      </c>
      <c r="Z160" s="4">
        <v>2300803</v>
      </c>
      <c r="AA160" s="4">
        <v>8551988.3399999999</v>
      </c>
      <c r="AB160" s="4">
        <v>2343750</v>
      </c>
      <c r="AC160" s="4">
        <v>16316247</v>
      </c>
      <c r="AD160" s="4">
        <v>1050000</v>
      </c>
      <c r="AE160" s="4">
        <v>80202486.479999989</v>
      </c>
      <c r="AF160" s="4">
        <v>1360000</v>
      </c>
      <c r="AG160" s="4">
        <v>30637565.036477998</v>
      </c>
      <c r="AH160" s="4">
        <v>2790109.535533424</v>
      </c>
    </row>
    <row r="161" spans="1:34" x14ac:dyDescent="0.3">
      <c r="A161" s="256">
        <v>36966</v>
      </c>
      <c r="B161" s="4">
        <v>1250000</v>
      </c>
      <c r="C161" s="4">
        <v>4375178.6900000004</v>
      </c>
      <c r="D161" s="4">
        <v>1247943.5</v>
      </c>
      <c r="E161" s="4"/>
      <c r="F161" s="4"/>
      <c r="G161" s="4"/>
      <c r="H161" s="4">
        <v>1663000</v>
      </c>
      <c r="I161" s="4">
        <v>0</v>
      </c>
      <c r="J161" s="4"/>
      <c r="K161" s="4">
        <v>2.8312206268310547E-7</v>
      </c>
      <c r="L161" s="4">
        <v>0</v>
      </c>
      <c r="M161" s="4">
        <v>137317.57</v>
      </c>
      <c r="N161" s="4">
        <v>0</v>
      </c>
      <c r="O161" s="4">
        <v>1000000</v>
      </c>
      <c r="P161" s="4">
        <v>0</v>
      </c>
      <c r="Q161" s="4">
        <v>23513434.5</v>
      </c>
      <c r="R161" s="4">
        <v>7121810</v>
      </c>
      <c r="S161" s="4">
        <v>5644007</v>
      </c>
      <c r="T161" s="4">
        <v>20999559.859999999</v>
      </c>
      <c r="U161" s="4">
        <v>2560525</v>
      </c>
      <c r="V161" s="4"/>
      <c r="W161" s="4">
        <v>0</v>
      </c>
      <c r="X161" s="4">
        <v>0</v>
      </c>
      <c r="Y161" s="4">
        <v>1803840</v>
      </c>
      <c r="Z161" s="4">
        <v>2300803</v>
      </c>
      <c r="AA161" s="4">
        <v>8551988.3399999999</v>
      </c>
      <c r="AB161" s="4">
        <v>2343750</v>
      </c>
      <c r="AC161" s="4">
        <v>16316247</v>
      </c>
      <c r="AD161" s="4">
        <v>1050000</v>
      </c>
      <c r="AE161" s="4">
        <v>80202486.479999989</v>
      </c>
      <c r="AF161" s="4">
        <v>1360000</v>
      </c>
      <c r="AG161" s="4">
        <v>30637565.036477998</v>
      </c>
      <c r="AH161" s="4">
        <v>2790168.1666503409</v>
      </c>
    </row>
    <row r="162" spans="1:34" x14ac:dyDescent="0.3">
      <c r="A162" s="256">
        <v>36969</v>
      </c>
      <c r="B162" s="4">
        <v>1250000</v>
      </c>
      <c r="C162" s="4">
        <v>4375178.6900000004</v>
      </c>
      <c r="D162" s="4">
        <v>1247943.5</v>
      </c>
      <c r="E162" s="4"/>
      <c r="F162" s="4"/>
      <c r="G162" s="4"/>
      <c r="H162" s="4">
        <v>1663000</v>
      </c>
      <c r="I162" s="4">
        <v>0</v>
      </c>
      <c r="J162" s="4"/>
      <c r="K162" s="4">
        <v>2.8312206268310547E-7</v>
      </c>
      <c r="L162" s="4">
        <v>0</v>
      </c>
      <c r="M162" s="4">
        <v>137317.57</v>
      </c>
      <c r="N162" s="4">
        <v>0</v>
      </c>
      <c r="O162" s="4">
        <v>1000000</v>
      </c>
      <c r="P162" s="4">
        <v>0</v>
      </c>
      <c r="Q162" s="4">
        <v>23513434.5</v>
      </c>
      <c r="R162" s="4">
        <v>7121810</v>
      </c>
      <c r="S162" s="4">
        <v>5644007</v>
      </c>
      <c r="T162" s="4">
        <v>20999559.859999999</v>
      </c>
      <c r="U162" s="4">
        <v>2560525</v>
      </c>
      <c r="V162" s="4"/>
      <c r="W162" s="4">
        <v>0</v>
      </c>
      <c r="X162" s="4">
        <v>0</v>
      </c>
      <c r="Y162" s="4">
        <v>1803840</v>
      </c>
      <c r="Z162" s="4">
        <v>2300803</v>
      </c>
      <c r="AA162" s="4">
        <v>8551988.3399999999</v>
      </c>
      <c r="AB162" s="4">
        <v>2343750</v>
      </c>
      <c r="AC162" s="4">
        <v>16316247</v>
      </c>
      <c r="AD162" s="4">
        <v>1050000</v>
      </c>
      <c r="AE162" s="4">
        <v>80202486.479999989</v>
      </c>
      <c r="AF162" s="4">
        <v>1360000</v>
      </c>
      <c r="AG162" s="4">
        <v>30637565.036477998</v>
      </c>
      <c r="AH162" s="4">
        <v>2792306.0584412967</v>
      </c>
    </row>
    <row r="163" spans="1:34" x14ac:dyDescent="0.3">
      <c r="A163" s="256">
        <v>36970</v>
      </c>
      <c r="B163" s="4">
        <v>1250000</v>
      </c>
      <c r="C163" s="4">
        <v>4375178.6900000004</v>
      </c>
      <c r="D163" s="4">
        <v>1247943.5</v>
      </c>
      <c r="E163" s="4"/>
      <c r="F163" s="4"/>
      <c r="G163" s="4"/>
      <c r="H163" s="4">
        <v>1663000</v>
      </c>
      <c r="I163" s="4">
        <v>0</v>
      </c>
      <c r="J163" s="4"/>
      <c r="K163" s="4">
        <v>2.8312206268310547E-7</v>
      </c>
      <c r="L163" s="4">
        <v>0</v>
      </c>
      <c r="M163" s="4">
        <v>137317.57</v>
      </c>
      <c r="N163" s="4">
        <v>0</v>
      </c>
      <c r="O163" s="4">
        <v>1000000</v>
      </c>
      <c r="P163" s="4">
        <v>0</v>
      </c>
      <c r="Q163" s="4">
        <v>23513434.5</v>
      </c>
      <c r="R163" s="4">
        <v>7121810</v>
      </c>
      <c r="S163" s="4">
        <v>5644007</v>
      </c>
      <c r="T163" s="4">
        <v>20999559.859999999</v>
      </c>
      <c r="U163" s="4">
        <v>2560525</v>
      </c>
      <c r="V163" s="4"/>
      <c r="W163" s="4">
        <v>0</v>
      </c>
      <c r="X163" s="4">
        <v>0</v>
      </c>
      <c r="Y163" s="4">
        <v>1803840</v>
      </c>
      <c r="Z163" s="4">
        <v>2300803</v>
      </c>
      <c r="AA163" s="4">
        <v>8551988.3399999999</v>
      </c>
      <c r="AB163" s="4">
        <v>2343750</v>
      </c>
      <c r="AC163" s="4">
        <v>16316247</v>
      </c>
      <c r="AD163" s="4">
        <v>1050000</v>
      </c>
      <c r="AE163" s="4">
        <v>80202486.479999989</v>
      </c>
      <c r="AF163" s="4">
        <v>1360000</v>
      </c>
      <c r="AG163" s="4">
        <v>30637565.036477998</v>
      </c>
      <c r="AH163" s="4">
        <v>2792329.2239444992</v>
      </c>
    </row>
    <row r="164" spans="1:34" x14ac:dyDescent="0.3">
      <c r="A164" s="256">
        <v>36971</v>
      </c>
      <c r="B164" s="4">
        <v>1250000</v>
      </c>
      <c r="C164" s="4">
        <v>4375178.6900000004</v>
      </c>
      <c r="D164" s="4">
        <v>1247943.5</v>
      </c>
      <c r="E164" s="4"/>
      <c r="F164" s="4"/>
      <c r="G164" s="4"/>
      <c r="H164" s="4">
        <v>1663000</v>
      </c>
      <c r="I164" s="4">
        <v>0</v>
      </c>
      <c r="J164" s="4"/>
      <c r="K164" s="4">
        <v>2.8312206268310547E-7</v>
      </c>
      <c r="L164" s="4">
        <v>0</v>
      </c>
      <c r="M164" s="4">
        <v>137317.57</v>
      </c>
      <c r="N164" s="4">
        <v>0</v>
      </c>
      <c r="O164" s="4">
        <v>1000000</v>
      </c>
      <c r="P164" s="4">
        <v>0</v>
      </c>
      <c r="Q164" s="4">
        <v>23513434.5</v>
      </c>
      <c r="R164" s="4">
        <v>7121810</v>
      </c>
      <c r="S164" s="4">
        <v>5644007</v>
      </c>
      <c r="T164" s="4">
        <v>20999559.859999999</v>
      </c>
      <c r="U164" s="4">
        <v>2560525</v>
      </c>
      <c r="V164" s="4"/>
      <c r="W164" s="4">
        <v>0</v>
      </c>
      <c r="X164" s="4">
        <v>0</v>
      </c>
      <c r="Y164" s="4">
        <v>1803840</v>
      </c>
      <c r="Z164" s="4">
        <v>2300803</v>
      </c>
      <c r="AA164" s="4">
        <v>8551988.3399999999</v>
      </c>
      <c r="AB164" s="4">
        <v>2343750</v>
      </c>
      <c r="AC164" s="4">
        <v>16316247</v>
      </c>
      <c r="AD164" s="4">
        <v>1050000</v>
      </c>
      <c r="AE164" s="4">
        <v>80202486.479999989</v>
      </c>
      <c r="AF164" s="4">
        <v>1360000</v>
      </c>
      <c r="AG164" s="4">
        <v>30637565.036477998</v>
      </c>
      <c r="AH164" s="4">
        <v>2791755.4324701233</v>
      </c>
    </row>
    <row r="165" spans="1:34" x14ac:dyDescent="0.3">
      <c r="A165" s="256">
        <v>36972</v>
      </c>
      <c r="B165" s="4">
        <v>1250000</v>
      </c>
      <c r="C165" s="4">
        <v>4375178.6900000004</v>
      </c>
      <c r="D165" s="4">
        <v>1247943.5</v>
      </c>
      <c r="E165" s="4"/>
      <c r="F165" s="4"/>
      <c r="G165" s="4"/>
      <c r="H165" s="4">
        <v>1663000</v>
      </c>
      <c r="I165" s="4">
        <v>0</v>
      </c>
      <c r="J165" s="4"/>
      <c r="K165" s="4">
        <v>2.8312206268310547E-7</v>
      </c>
      <c r="L165" s="4">
        <v>0</v>
      </c>
      <c r="M165" s="4">
        <v>137317.57</v>
      </c>
      <c r="N165" s="4">
        <v>0</v>
      </c>
      <c r="O165" s="4">
        <v>1000000</v>
      </c>
      <c r="P165" s="4">
        <v>0</v>
      </c>
      <c r="Q165" s="4">
        <v>23513434.5</v>
      </c>
      <c r="R165" s="4">
        <v>7121810</v>
      </c>
      <c r="S165" s="4">
        <v>5644007</v>
      </c>
      <c r="T165" s="4">
        <v>20999559.859999999</v>
      </c>
      <c r="U165" s="4">
        <v>2560525</v>
      </c>
      <c r="V165" s="4"/>
      <c r="W165" s="4">
        <v>0</v>
      </c>
      <c r="X165" s="4">
        <v>0</v>
      </c>
      <c r="Y165" s="4">
        <v>1803840</v>
      </c>
      <c r="Z165" s="4">
        <v>2300803</v>
      </c>
      <c r="AA165" s="4">
        <v>8551988.3399999999</v>
      </c>
      <c r="AB165" s="4">
        <v>2343750</v>
      </c>
      <c r="AC165" s="4">
        <v>16316247</v>
      </c>
      <c r="AD165" s="4">
        <v>1050000</v>
      </c>
      <c r="AE165" s="4">
        <v>80202486.479999989</v>
      </c>
      <c r="AF165" s="4">
        <v>1360000</v>
      </c>
      <c r="AG165" s="4">
        <v>30637565.036477998</v>
      </c>
      <c r="AH165" s="4">
        <v>2790016.7177492157</v>
      </c>
    </row>
    <row r="166" spans="1:34" x14ac:dyDescent="0.3">
      <c r="A166" s="256">
        <v>36973</v>
      </c>
      <c r="B166" s="4">
        <v>1250000</v>
      </c>
      <c r="C166" s="4">
        <v>4375178.6900000004</v>
      </c>
      <c r="D166" s="4">
        <v>1247943.5</v>
      </c>
      <c r="E166" s="4"/>
      <c r="F166" s="4"/>
      <c r="G166" s="4"/>
      <c r="H166" s="4">
        <v>1663000</v>
      </c>
      <c r="I166" s="4">
        <v>0</v>
      </c>
      <c r="J166" s="4"/>
      <c r="K166" s="4">
        <v>2.8312206268310547E-7</v>
      </c>
      <c r="L166" s="4">
        <v>0</v>
      </c>
      <c r="M166" s="4">
        <v>137317.57</v>
      </c>
      <c r="N166" s="4">
        <v>0</v>
      </c>
      <c r="O166" s="4">
        <v>1000000</v>
      </c>
      <c r="P166" s="4">
        <v>0</v>
      </c>
      <c r="Q166" s="4">
        <v>23513434.5</v>
      </c>
      <c r="R166" s="4">
        <v>7121810</v>
      </c>
      <c r="S166" s="4">
        <v>5644007</v>
      </c>
      <c r="T166" s="4">
        <v>20999559.859999999</v>
      </c>
      <c r="U166" s="4">
        <v>2560525</v>
      </c>
      <c r="V166" s="4"/>
      <c r="W166" s="4">
        <v>0</v>
      </c>
      <c r="X166" s="4">
        <v>0</v>
      </c>
      <c r="Y166" s="4">
        <v>1803840</v>
      </c>
      <c r="Z166" s="4">
        <v>2300803</v>
      </c>
      <c r="AA166" s="4">
        <v>8551988.3399999999</v>
      </c>
      <c r="AB166" s="4">
        <v>2343750</v>
      </c>
      <c r="AC166" s="4">
        <v>16316247</v>
      </c>
      <c r="AD166" s="4">
        <v>1050000</v>
      </c>
      <c r="AE166" s="4">
        <v>80202486.479999989</v>
      </c>
      <c r="AF166" s="4">
        <v>1360000</v>
      </c>
      <c r="AG166" s="4">
        <v>30637565.036477998</v>
      </c>
      <c r="AH166" s="4">
        <v>2791028.2872497807</v>
      </c>
    </row>
    <row r="167" spans="1:34" x14ac:dyDescent="0.3">
      <c r="A167" s="256">
        <v>36976</v>
      </c>
      <c r="B167" s="4">
        <v>1250000</v>
      </c>
      <c r="C167" s="4">
        <v>4375178.6900000004</v>
      </c>
      <c r="D167" s="4">
        <v>1247943.5</v>
      </c>
      <c r="E167" s="4"/>
      <c r="F167" s="4"/>
      <c r="G167" s="4"/>
      <c r="H167" s="4">
        <v>1663000</v>
      </c>
      <c r="I167" s="4">
        <v>0</v>
      </c>
      <c r="J167" s="4"/>
      <c r="K167" s="4">
        <v>2.8312206268310547E-7</v>
      </c>
      <c r="L167" s="4">
        <v>0</v>
      </c>
      <c r="M167" s="4">
        <v>137317.57</v>
      </c>
      <c r="N167" s="4">
        <v>0</v>
      </c>
      <c r="O167" s="4">
        <v>1000000</v>
      </c>
      <c r="P167" s="4">
        <v>0</v>
      </c>
      <c r="Q167" s="4">
        <v>23513434.5</v>
      </c>
      <c r="R167" s="4">
        <v>7121810</v>
      </c>
      <c r="S167" s="4">
        <v>5644007</v>
      </c>
      <c r="T167" s="4">
        <v>20999559.859999999</v>
      </c>
      <c r="U167" s="4">
        <v>2560525</v>
      </c>
      <c r="V167" s="4"/>
      <c r="W167" s="4">
        <v>0</v>
      </c>
      <c r="X167" s="4">
        <v>0</v>
      </c>
      <c r="Y167" s="4">
        <v>1803840</v>
      </c>
      <c r="Z167" s="4">
        <v>2300803</v>
      </c>
      <c r="AA167" s="4">
        <v>8551988.3399999999</v>
      </c>
      <c r="AB167" s="4">
        <v>2343750</v>
      </c>
      <c r="AC167" s="4">
        <v>16316247</v>
      </c>
      <c r="AD167" s="4">
        <v>1050000</v>
      </c>
      <c r="AE167" s="4">
        <v>80202486.479999989</v>
      </c>
      <c r="AF167" s="4">
        <v>1360000</v>
      </c>
      <c r="AG167" s="4">
        <v>30637565.036477998</v>
      </c>
      <c r="AH167" s="4">
        <v>2786540.9743029652</v>
      </c>
    </row>
    <row r="168" spans="1:34" x14ac:dyDescent="0.3">
      <c r="A168" s="256">
        <v>36977</v>
      </c>
      <c r="B168" s="4">
        <v>1250000</v>
      </c>
      <c r="C168" s="4">
        <v>4375178.6900000004</v>
      </c>
      <c r="D168" s="4">
        <v>1247943.5</v>
      </c>
      <c r="E168" s="4"/>
      <c r="F168" s="4"/>
      <c r="G168" s="4"/>
      <c r="H168" s="4">
        <v>1663000</v>
      </c>
      <c r="I168" s="4">
        <v>0</v>
      </c>
      <c r="J168" s="4"/>
      <c r="K168" s="4">
        <v>2.8312206268310547E-7</v>
      </c>
      <c r="L168" s="4">
        <v>0</v>
      </c>
      <c r="M168" s="4">
        <v>137317.57</v>
      </c>
      <c r="N168" s="4">
        <v>0</v>
      </c>
      <c r="O168" s="4">
        <v>1000000</v>
      </c>
      <c r="P168" s="4">
        <v>0</v>
      </c>
      <c r="Q168" s="4">
        <v>23513434.5</v>
      </c>
      <c r="R168" s="4">
        <v>7121810</v>
      </c>
      <c r="S168" s="4">
        <v>5644007</v>
      </c>
      <c r="T168" s="4">
        <v>20999559.859999999</v>
      </c>
      <c r="U168" s="4">
        <v>2560525</v>
      </c>
      <c r="V168" s="4"/>
      <c r="W168" s="4">
        <v>0</v>
      </c>
      <c r="X168" s="4">
        <v>0</v>
      </c>
      <c r="Y168" s="4">
        <v>1803840</v>
      </c>
      <c r="Z168" s="4">
        <v>2300803</v>
      </c>
      <c r="AA168" s="4">
        <v>8551988.3399999999</v>
      </c>
      <c r="AB168" s="4">
        <v>2343750</v>
      </c>
      <c r="AC168" s="4">
        <v>16316247</v>
      </c>
      <c r="AD168" s="4">
        <v>1050000</v>
      </c>
      <c r="AE168" s="4">
        <v>80202486.479999989</v>
      </c>
      <c r="AF168" s="4">
        <v>1360000</v>
      </c>
      <c r="AG168" s="4">
        <v>30637565.036477998</v>
      </c>
      <c r="AH168" s="4">
        <v>2766107.3621469741</v>
      </c>
    </row>
    <row r="169" spans="1:34" x14ac:dyDescent="0.3">
      <c r="A169" s="256">
        <v>36978</v>
      </c>
      <c r="B169" s="4">
        <v>1250000</v>
      </c>
      <c r="C169" s="4">
        <v>4375178.6900000004</v>
      </c>
      <c r="D169" s="4">
        <v>1247943.5</v>
      </c>
      <c r="E169" s="4"/>
      <c r="F169" s="4"/>
      <c r="G169" s="4"/>
      <c r="H169" s="4">
        <v>1663000</v>
      </c>
      <c r="I169" s="4">
        <v>0</v>
      </c>
      <c r="J169" s="4"/>
      <c r="K169" s="4">
        <v>2.8312206268310547E-7</v>
      </c>
      <c r="L169" s="4">
        <v>0</v>
      </c>
      <c r="M169" s="4">
        <v>137317.57</v>
      </c>
      <c r="N169" s="4">
        <v>0</v>
      </c>
      <c r="O169" s="4">
        <v>1000000</v>
      </c>
      <c r="P169" s="4">
        <v>0</v>
      </c>
      <c r="Q169" s="4">
        <v>23513434.5</v>
      </c>
      <c r="R169" s="4">
        <v>7121810</v>
      </c>
      <c r="S169" s="4">
        <v>5644007</v>
      </c>
      <c r="T169" s="4">
        <v>20999559.859999999</v>
      </c>
      <c r="U169" s="4">
        <v>2560525</v>
      </c>
      <c r="V169" s="4"/>
      <c r="W169" s="4">
        <v>0</v>
      </c>
      <c r="X169" s="4">
        <v>0</v>
      </c>
      <c r="Y169" s="4">
        <v>1803840</v>
      </c>
      <c r="Z169" s="4">
        <v>2300803</v>
      </c>
      <c r="AA169" s="4">
        <v>8551988.3399999999</v>
      </c>
      <c r="AB169" s="4">
        <v>2343750</v>
      </c>
      <c r="AC169" s="4">
        <v>16316247</v>
      </c>
      <c r="AD169" s="4">
        <v>1050000</v>
      </c>
      <c r="AE169" s="4">
        <v>80202486.479999989</v>
      </c>
      <c r="AF169" s="4">
        <v>1360000</v>
      </c>
      <c r="AG169" s="4">
        <v>30637565.036477998</v>
      </c>
      <c r="AH169" s="4">
        <v>2772569.1714852597</v>
      </c>
    </row>
    <row r="170" spans="1:34" x14ac:dyDescent="0.3">
      <c r="A170" s="256">
        <v>36979</v>
      </c>
      <c r="B170" s="4">
        <v>1250000</v>
      </c>
      <c r="C170" s="4">
        <v>4375178.6900000004</v>
      </c>
      <c r="D170" s="4">
        <v>770244.5</v>
      </c>
      <c r="E170" s="4"/>
      <c r="F170" s="4"/>
      <c r="G170" s="4"/>
      <c r="H170" s="4">
        <v>0</v>
      </c>
      <c r="I170" s="4">
        <v>0</v>
      </c>
      <c r="J170" s="4"/>
      <c r="K170" s="4">
        <v>2.8312206268310547E-7</v>
      </c>
      <c r="L170" s="4">
        <v>0</v>
      </c>
      <c r="M170" s="4">
        <v>137317.57</v>
      </c>
      <c r="N170" s="4">
        <v>0</v>
      </c>
      <c r="O170" s="4">
        <v>1000000</v>
      </c>
      <c r="P170" s="4">
        <v>0</v>
      </c>
      <c r="Q170" s="4">
        <v>23513434.5</v>
      </c>
      <c r="R170" s="4">
        <v>7121810</v>
      </c>
      <c r="S170" s="4">
        <v>5644007</v>
      </c>
      <c r="T170" s="4">
        <v>20887594.859999999</v>
      </c>
      <c r="U170" s="4">
        <v>2560525</v>
      </c>
      <c r="V170" s="4"/>
      <c r="W170" s="4">
        <v>0</v>
      </c>
      <c r="X170" s="4">
        <v>0</v>
      </c>
      <c r="Y170" s="4">
        <v>1803840</v>
      </c>
      <c r="Z170" s="4">
        <v>2300803</v>
      </c>
      <c r="AA170" s="4">
        <v>8551988.3399999999</v>
      </c>
      <c r="AB170" s="4">
        <v>2343750</v>
      </c>
      <c r="AC170" s="4">
        <v>16316247</v>
      </c>
      <c r="AD170" s="4">
        <v>1050000</v>
      </c>
      <c r="AE170" s="4">
        <v>44836040.100000001</v>
      </c>
      <c r="AF170" s="4">
        <v>0</v>
      </c>
      <c r="AG170" s="4">
        <v>30637565.036477998</v>
      </c>
      <c r="AH170" s="4">
        <v>2767715.7118172338</v>
      </c>
    </row>
    <row r="171" spans="1:34" x14ac:dyDescent="0.3">
      <c r="A171" s="256">
        <v>36980</v>
      </c>
      <c r="B171" s="4">
        <v>1250000</v>
      </c>
      <c r="C171" s="4">
        <v>2083768.15</v>
      </c>
      <c r="D171" s="4">
        <v>770244.5</v>
      </c>
      <c r="E171" s="4"/>
      <c r="F171" s="4"/>
      <c r="G171" s="4"/>
      <c r="H171" s="4">
        <v>0</v>
      </c>
      <c r="I171" s="4">
        <v>0</v>
      </c>
      <c r="J171" s="4"/>
      <c r="K171" s="4">
        <v>2.8312206268310547E-7</v>
      </c>
      <c r="L171" s="4">
        <v>0</v>
      </c>
      <c r="M171" s="4">
        <v>137317.57</v>
      </c>
      <c r="N171" s="4">
        <v>0</v>
      </c>
      <c r="O171" s="4">
        <v>1000000</v>
      </c>
      <c r="P171" s="4">
        <v>0</v>
      </c>
      <c r="Q171" s="4">
        <v>23513434.5</v>
      </c>
      <c r="R171" s="4">
        <v>7121810</v>
      </c>
      <c r="S171" s="4">
        <v>0</v>
      </c>
      <c r="T171" s="4">
        <v>20887594.859999999</v>
      </c>
      <c r="U171" s="4">
        <v>2560525</v>
      </c>
      <c r="V171" s="4"/>
      <c r="W171" s="284">
        <v>0</v>
      </c>
      <c r="X171" s="284">
        <v>0</v>
      </c>
      <c r="Y171" s="4">
        <v>1803840</v>
      </c>
      <c r="Z171" s="4">
        <v>2300803</v>
      </c>
      <c r="AA171" s="4">
        <v>8821363.3399999999</v>
      </c>
      <c r="AB171" s="4">
        <v>2343750</v>
      </c>
      <c r="AC171" s="4">
        <v>16316247</v>
      </c>
      <c r="AD171" s="4">
        <v>1050000</v>
      </c>
      <c r="AE171" s="4">
        <v>44836040.100000001</v>
      </c>
      <c r="AF171" s="4">
        <v>0</v>
      </c>
      <c r="AG171" s="4">
        <v>30637565.036477998</v>
      </c>
      <c r="AH171" s="4">
        <v>1383070.5025600588</v>
      </c>
    </row>
    <row r="172" spans="1:34" x14ac:dyDescent="0.3">
      <c r="A172" s="256">
        <v>36981</v>
      </c>
      <c r="B172" s="4">
        <v>1250000</v>
      </c>
      <c r="C172" s="4">
        <v>2083768.15</v>
      </c>
      <c r="D172" s="4">
        <v>770244.5</v>
      </c>
      <c r="E172" s="4"/>
      <c r="F172" s="4"/>
      <c r="G172" s="4"/>
      <c r="H172" s="4">
        <v>0</v>
      </c>
      <c r="I172" s="4">
        <v>0</v>
      </c>
      <c r="J172" s="4"/>
      <c r="K172" s="4">
        <v>2.8312206268310547E-7</v>
      </c>
      <c r="L172" s="4">
        <v>0</v>
      </c>
      <c r="M172" s="4">
        <v>137317.57</v>
      </c>
      <c r="N172" s="4">
        <v>0</v>
      </c>
      <c r="O172" s="4">
        <v>1000000</v>
      </c>
      <c r="P172" s="4">
        <v>0</v>
      </c>
      <c r="Q172" s="4">
        <v>23513434.5</v>
      </c>
      <c r="R172" s="4">
        <v>7121810</v>
      </c>
      <c r="S172" s="4">
        <v>0</v>
      </c>
      <c r="T172" s="4">
        <v>20887594.859999999</v>
      </c>
      <c r="U172" s="4">
        <v>2560525</v>
      </c>
      <c r="V172" s="4"/>
      <c r="W172" s="284">
        <v>0</v>
      </c>
      <c r="X172" s="284">
        <v>0</v>
      </c>
      <c r="Y172" s="4">
        <v>1803840</v>
      </c>
      <c r="Z172" s="4">
        <v>2300803</v>
      </c>
      <c r="AA172" s="4">
        <v>8821363.3399999999</v>
      </c>
      <c r="AB172" s="4">
        <v>2343750</v>
      </c>
      <c r="AC172" s="4">
        <v>16316247</v>
      </c>
      <c r="AD172" s="4">
        <v>1050000</v>
      </c>
      <c r="AE172" s="4">
        <v>44836040.100000001</v>
      </c>
      <c r="AF172" s="4">
        <v>0</v>
      </c>
      <c r="AG172" s="4">
        <v>30637565.036477998</v>
      </c>
      <c r="AH172" s="4">
        <v>1383070.5025600588</v>
      </c>
    </row>
    <row r="173" spans="1:34" x14ac:dyDescent="0.3">
      <c r="A173" s="256">
        <v>36983</v>
      </c>
      <c r="B173" s="4">
        <v>1250000</v>
      </c>
      <c r="C173" s="4">
        <v>2083768.15</v>
      </c>
      <c r="D173" s="4">
        <v>770244.5</v>
      </c>
      <c r="E173" s="4"/>
      <c r="F173" s="4"/>
      <c r="G173" s="4"/>
      <c r="H173" s="4">
        <v>0</v>
      </c>
      <c r="I173" s="4">
        <v>0</v>
      </c>
      <c r="J173" s="4"/>
      <c r="K173" s="4">
        <v>2.8312206268310547E-7</v>
      </c>
      <c r="L173" s="4">
        <v>0</v>
      </c>
      <c r="M173" s="4">
        <v>137317.57</v>
      </c>
      <c r="N173" s="4">
        <v>0</v>
      </c>
      <c r="O173" s="4">
        <v>1000000</v>
      </c>
      <c r="P173" s="4">
        <v>0</v>
      </c>
      <c r="Q173" s="4">
        <v>23513434.5</v>
      </c>
      <c r="R173" s="4">
        <v>7121810</v>
      </c>
      <c r="S173" s="4">
        <v>5644007</v>
      </c>
      <c r="T173" s="4">
        <v>20887594.859999999</v>
      </c>
      <c r="U173" s="4">
        <v>2560525</v>
      </c>
      <c r="V173" s="4"/>
      <c r="W173" s="284">
        <v>0</v>
      </c>
      <c r="X173" s="284">
        <v>0</v>
      </c>
      <c r="Y173" s="4">
        <v>1803840</v>
      </c>
      <c r="Z173" s="4">
        <v>2300803</v>
      </c>
      <c r="AA173" s="4">
        <v>8821363.3399999999</v>
      </c>
      <c r="AB173" s="4">
        <v>2343750</v>
      </c>
      <c r="AC173" s="4">
        <v>16316247</v>
      </c>
      <c r="AD173" s="4">
        <v>1050000</v>
      </c>
      <c r="AE173" s="4">
        <v>44836040.100000001</v>
      </c>
      <c r="AF173" s="4">
        <v>0</v>
      </c>
      <c r="AG173" s="4">
        <v>30637565.036477998</v>
      </c>
      <c r="AH173" s="4">
        <v>1384137.9223862754</v>
      </c>
    </row>
    <row r="174" spans="1:34" x14ac:dyDescent="0.3">
      <c r="A174" s="256">
        <v>36984</v>
      </c>
      <c r="B174" s="4">
        <v>1250000</v>
      </c>
      <c r="C174" s="4">
        <v>2083768.15</v>
      </c>
      <c r="D174" s="4">
        <v>770244.5</v>
      </c>
      <c r="E174" s="4"/>
      <c r="F174" s="4"/>
      <c r="G174" s="4"/>
      <c r="H174" s="4">
        <v>0</v>
      </c>
      <c r="I174" s="4">
        <v>0</v>
      </c>
      <c r="J174" s="4"/>
      <c r="K174" s="4">
        <v>2.8312206268310547E-7</v>
      </c>
      <c r="L174" s="4">
        <v>0</v>
      </c>
      <c r="M174" s="4">
        <v>137317.57</v>
      </c>
      <c r="N174" s="4">
        <v>0</v>
      </c>
      <c r="O174" s="4">
        <v>1000000</v>
      </c>
      <c r="P174" s="4">
        <v>0</v>
      </c>
      <c r="Q174" s="4">
        <v>23513434.5</v>
      </c>
      <c r="R174" s="4">
        <v>7121810</v>
      </c>
      <c r="S174" s="4">
        <v>5644007</v>
      </c>
      <c r="T174" s="4">
        <v>20887594.859999999</v>
      </c>
      <c r="U174" s="4">
        <v>2560525</v>
      </c>
      <c r="V174" s="4"/>
      <c r="W174" s="284">
        <v>0</v>
      </c>
      <c r="X174" s="284">
        <v>0</v>
      </c>
      <c r="Y174" s="4">
        <v>1803840</v>
      </c>
      <c r="Z174" s="4">
        <v>2300803</v>
      </c>
      <c r="AA174" s="4">
        <v>8821363.3399999999</v>
      </c>
      <c r="AB174" s="4">
        <v>2343750</v>
      </c>
      <c r="AC174" s="4">
        <v>16316247</v>
      </c>
      <c r="AD174" s="4">
        <v>1050000</v>
      </c>
      <c r="AE174" s="4">
        <v>44836040.100000001</v>
      </c>
      <c r="AF174" s="4">
        <v>0</v>
      </c>
      <c r="AG174" s="4">
        <v>30637565.036477998</v>
      </c>
      <c r="AH174" s="4">
        <v>1384137.9223862754</v>
      </c>
    </row>
    <row r="175" spans="1:34" x14ac:dyDescent="0.3">
      <c r="A175" s="256">
        <v>36985</v>
      </c>
      <c r="B175" s="4">
        <v>1250000</v>
      </c>
      <c r="C175" s="4">
        <v>2083768.15</v>
      </c>
      <c r="D175" s="4">
        <v>770244.5</v>
      </c>
      <c r="E175" s="4"/>
      <c r="F175" s="4"/>
      <c r="G175" s="4"/>
      <c r="H175" s="4">
        <v>0</v>
      </c>
      <c r="I175" s="4">
        <v>0</v>
      </c>
      <c r="J175" s="4"/>
      <c r="K175" s="4">
        <v>2.8312206268310547E-7</v>
      </c>
      <c r="L175" s="4">
        <v>0</v>
      </c>
      <c r="M175" s="4">
        <v>137317.57</v>
      </c>
      <c r="N175" s="4">
        <v>0</v>
      </c>
      <c r="O175" s="4">
        <v>1000000</v>
      </c>
      <c r="P175" s="4">
        <v>0</v>
      </c>
      <c r="Q175" s="4">
        <v>23513434.5</v>
      </c>
      <c r="R175" s="4">
        <v>7121810</v>
      </c>
      <c r="S175" s="4">
        <v>5644007</v>
      </c>
      <c r="T175" s="4">
        <v>20887594.859999999</v>
      </c>
      <c r="U175" s="4">
        <v>2560525</v>
      </c>
      <c r="V175" s="4"/>
      <c r="W175" s="284">
        <v>0</v>
      </c>
      <c r="X175" s="284">
        <v>0</v>
      </c>
      <c r="Y175" s="4">
        <v>1803840</v>
      </c>
      <c r="Z175" s="4">
        <v>2300803</v>
      </c>
      <c r="AA175" s="4">
        <v>8821363.3399999999</v>
      </c>
      <c r="AB175" s="4">
        <v>2343750</v>
      </c>
      <c r="AC175" s="4">
        <v>16316247</v>
      </c>
      <c r="AD175" s="4">
        <v>1050000</v>
      </c>
      <c r="AE175" s="4">
        <v>44836040.100000001</v>
      </c>
      <c r="AF175" s="4">
        <v>0</v>
      </c>
      <c r="AG175" s="4">
        <v>30637565.036477998</v>
      </c>
      <c r="AH175" s="4">
        <v>1374896.5134475785</v>
      </c>
    </row>
    <row r="176" spans="1:34" x14ac:dyDescent="0.3">
      <c r="A176" s="256">
        <v>36986</v>
      </c>
      <c r="B176" s="4">
        <v>1250000</v>
      </c>
      <c r="C176" s="4">
        <v>2083768.15</v>
      </c>
      <c r="D176" s="4">
        <v>770244.5</v>
      </c>
      <c r="E176" s="4"/>
      <c r="F176" s="4"/>
      <c r="G176" s="4"/>
      <c r="H176" s="4">
        <v>0</v>
      </c>
      <c r="I176" s="4">
        <v>0</v>
      </c>
      <c r="J176" s="4"/>
      <c r="K176" s="4">
        <v>2.8312206268310547E-7</v>
      </c>
      <c r="L176" s="4">
        <v>0</v>
      </c>
      <c r="M176" s="4">
        <v>137317.57</v>
      </c>
      <c r="N176" s="4">
        <v>0</v>
      </c>
      <c r="O176" s="4">
        <v>1000000</v>
      </c>
      <c r="P176" s="4">
        <v>0</v>
      </c>
      <c r="Q176" s="4">
        <v>23513434.5</v>
      </c>
      <c r="R176" s="4">
        <v>7121810</v>
      </c>
      <c r="S176" s="4">
        <v>5644007</v>
      </c>
      <c r="T176" s="4">
        <v>20887594.859999999</v>
      </c>
      <c r="U176" s="4">
        <v>2560525</v>
      </c>
      <c r="V176" s="4"/>
      <c r="W176" s="284">
        <v>0</v>
      </c>
      <c r="X176" s="284">
        <v>0</v>
      </c>
      <c r="Y176" s="4">
        <v>1803840</v>
      </c>
      <c r="Z176" s="4">
        <v>2300803</v>
      </c>
      <c r="AA176" s="4">
        <v>8821363.3399999999</v>
      </c>
      <c r="AB176" s="4">
        <v>2343750</v>
      </c>
      <c r="AC176" s="4">
        <v>16316247</v>
      </c>
      <c r="AD176" s="4">
        <v>1050000</v>
      </c>
      <c r="AE176" s="4">
        <v>44836040.100000001</v>
      </c>
      <c r="AF176" s="4">
        <v>0</v>
      </c>
      <c r="AG176" s="4">
        <v>30637565.036477998</v>
      </c>
      <c r="AH176" s="4">
        <v>1375813.6343260035</v>
      </c>
    </row>
    <row r="177" spans="1:34" x14ac:dyDescent="0.3">
      <c r="A177" s="256">
        <v>36987</v>
      </c>
      <c r="B177" s="4">
        <v>1250000</v>
      </c>
      <c r="C177" s="4">
        <v>2083768.15</v>
      </c>
      <c r="D177" s="4">
        <v>770244.5</v>
      </c>
      <c r="E177" s="4"/>
      <c r="F177" s="4"/>
      <c r="G177" s="4"/>
      <c r="H177" s="4">
        <v>0</v>
      </c>
      <c r="I177" s="4">
        <v>0</v>
      </c>
      <c r="J177" s="4"/>
      <c r="K177" s="4">
        <v>2.8312206268310547E-7</v>
      </c>
      <c r="L177" s="4">
        <v>0</v>
      </c>
      <c r="M177" s="4">
        <v>137317.57</v>
      </c>
      <c r="N177" s="4">
        <v>0</v>
      </c>
      <c r="O177" s="4">
        <v>1000000</v>
      </c>
      <c r="P177" s="4">
        <v>0</v>
      </c>
      <c r="Q177" s="4">
        <v>23513434.5</v>
      </c>
      <c r="R177" s="4">
        <v>7121810</v>
      </c>
      <c r="S177" s="4">
        <v>5644007</v>
      </c>
      <c r="T177" s="4">
        <v>20887594.859999999</v>
      </c>
      <c r="U177" s="4">
        <v>2560525</v>
      </c>
      <c r="V177" s="4"/>
      <c r="W177" s="284">
        <v>0</v>
      </c>
      <c r="X177" s="284">
        <v>0</v>
      </c>
      <c r="Y177" s="4">
        <v>1803840</v>
      </c>
      <c r="Z177" s="4">
        <v>2300803</v>
      </c>
      <c r="AA177" s="4">
        <v>8821363.3399999999</v>
      </c>
      <c r="AB177" s="4">
        <v>2343750</v>
      </c>
      <c r="AC177" s="4">
        <v>16316247</v>
      </c>
      <c r="AD177" s="4">
        <v>1050000</v>
      </c>
      <c r="AE177" s="4">
        <v>44836040.100000001</v>
      </c>
      <c r="AF177" s="4">
        <v>0</v>
      </c>
      <c r="AG177" s="4">
        <v>30637565.036477998</v>
      </c>
      <c r="AH177" s="4">
        <v>1380417.0236371907</v>
      </c>
    </row>
    <row r="178" spans="1:34" x14ac:dyDescent="0.3">
      <c r="A178" s="256">
        <v>36990</v>
      </c>
      <c r="B178" s="4">
        <v>1250000</v>
      </c>
      <c r="C178" s="4">
        <v>2083768.15</v>
      </c>
      <c r="D178" s="4">
        <v>770244.5</v>
      </c>
      <c r="E178" s="4"/>
      <c r="F178" s="4"/>
      <c r="G178" s="4"/>
      <c r="H178" s="4">
        <v>0</v>
      </c>
      <c r="I178" s="4">
        <v>0</v>
      </c>
      <c r="J178" s="4"/>
      <c r="K178" s="4">
        <v>2.8312206268310547E-7</v>
      </c>
      <c r="L178" s="4">
        <v>0</v>
      </c>
      <c r="M178" s="4">
        <v>137317.57</v>
      </c>
      <c r="N178" s="4">
        <v>0</v>
      </c>
      <c r="O178" s="4">
        <v>1000000</v>
      </c>
      <c r="P178" s="4">
        <v>0</v>
      </c>
      <c r="Q178" s="4">
        <v>23513434.5</v>
      </c>
      <c r="R178" s="4">
        <v>7121810</v>
      </c>
      <c r="S178" s="4">
        <v>5644007</v>
      </c>
      <c r="T178" s="4">
        <v>20887594.859999999</v>
      </c>
      <c r="U178" s="4">
        <v>2560525</v>
      </c>
      <c r="V178" s="4"/>
      <c r="W178" s="284">
        <v>0</v>
      </c>
      <c r="X178" s="284">
        <v>0</v>
      </c>
      <c r="Y178" s="4">
        <v>1803840</v>
      </c>
      <c r="Z178" s="4">
        <v>2300803</v>
      </c>
      <c r="AA178" s="4">
        <v>8821363.3399999999</v>
      </c>
      <c r="AB178" s="4">
        <v>2343750</v>
      </c>
      <c r="AC178" s="4">
        <v>16316247</v>
      </c>
      <c r="AD178" s="4">
        <v>1050000</v>
      </c>
      <c r="AE178" s="4">
        <v>44836040.100000001</v>
      </c>
      <c r="AF178" s="4">
        <v>0</v>
      </c>
      <c r="AG178" s="4">
        <v>30637565.036477998</v>
      </c>
      <c r="AH178" s="4">
        <v>1384369.9506041249</v>
      </c>
    </row>
    <row r="179" spans="1:34" x14ac:dyDescent="0.3">
      <c r="A179" s="256">
        <v>36991</v>
      </c>
      <c r="B179" s="4">
        <v>1250000</v>
      </c>
      <c r="C179" s="4">
        <v>2083768.15</v>
      </c>
      <c r="D179" s="4">
        <v>770244.5</v>
      </c>
      <c r="E179" s="4"/>
      <c r="F179" s="4"/>
      <c r="G179" s="4"/>
      <c r="H179" s="4">
        <v>0</v>
      </c>
      <c r="I179" s="4">
        <v>0</v>
      </c>
      <c r="J179" s="4"/>
      <c r="K179" s="4">
        <v>2.8312206268310547E-7</v>
      </c>
      <c r="L179" s="4">
        <v>0</v>
      </c>
      <c r="M179" s="4">
        <v>137317.57</v>
      </c>
      <c r="N179" s="4">
        <v>0</v>
      </c>
      <c r="O179" s="4">
        <v>1000000</v>
      </c>
      <c r="P179" s="4">
        <v>0</v>
      </c>
      <c r="Q179" s="4">
        <v>23513434.5</v>
      </c>
      <c r="R179" s="4">
        <v>7121810</v>
      </c>
      <c r="S179" s="4">
        <v>5644007</v>
      </c>
      <c r="T179" s="4">
        <v>20887594.859999999</v>
      </c>
      <c r="U179" s="4">
        <v>2560525</v>
      </c>
      <c r="V179" s="4"/>
      <c r="W179" s="284">
        <v>0</v>
      </c>
      <c r="X179" s="284">
        <v>0</v>
      </c>
      <c r="Y179" s="4">
        <v>1803840</v>
      </c>
      <c r="Z179" s="4">
        <v>2300803</v>
      </c>
      <c r="AA179" s="4">
        <v>8821363.3399999999</v>
      </c>
      <c r="AB179" s="4">
        <v>2343750</v>
      </c>
      <c r="AC179" s="4">
        <v>16316247</v>
      </c>
      <c r="AD179" s="4">
        <v>1050000</v>
      </c>
      <c r="AE179" s="4">
        <v>44836040.100000001</v>
      </c>
      <c r="AF179" s="4">
        <v>0</v>
      </c>
      <c r="AG179" s="4">
        <v>30637565.036477998</v>
      </c>
      <c r="AH179" s="4">
        <v>1390558.8696274951</v>
      </c>
    </row>
    <row r="180" spans="1:34" x14ac:dyDescent="0.3">
      <c r="A180" s="256">
        <v>36992</v>
      </c>
      <c r="B180" s="4">
        <v>1250000</v>
      </c>
      <c r="C180" s="4">
        <v>2083768.15</v>
      </c>
      <c r="D180" s="4">
        <v>770244.5</v>
      </c>
      <c r="E180" s="4"/>
      <c r="F180" s="4"/>
      <c r="G180" s="4"/>
      <c r="H180" s="4">
        <v>0</v>
      </c>
      <c r="I180" s="4">
        <v>0</v>
      </c>
      <c r="J180" s="4"/>
      <c r="K180" s="4">
        <v>2.8312206268310547E-7</v>
      </c>
      <c r="L180" s="4">
        <v>0</v>
      </c>
      <c r="M180" s="4">
        <v>137317.57</v>
      </c>
      <c r="N180" s="4">
        <v>0</v>
      </c>
      <c r="O180" s="4">
        <v>1000000</v>
      </c>
      <c r="P180" s="4">
        <v>0</v>
      </c>
      <c r="Q180" s="4">
        <v>23513434.5</v>
      </c>
      <c r="R180" s="4">
        <v>7121810</v>
      </c>
      <c r="S180" s="4">
        <v>5644007</v>
      </c>
      <c r="T180" s="4">
        <v>20887594.859999999</v>
      </c>
      <c r="U180" s="4">
        <v>2560525</v>
      </c>
      <c r="V180" s="4"/>
      <c r="W180" s="284">
        <v>0</v>
      </c>
      <c r="X180" s="284">
        <v>0</v>
      </c>
      <c r="Y180" s="4">
        <v>1803840</v>
      </c>
      <c r="Z180" s="4">
        <v>2300803</v>
      </c>
      <c r="AA180" s="4">
        <v>8821363.3399999999</v>
      </c>
      <c r="AB180" s="4">
        <v>2343750</v>
      </c>
      <c r="AC180" s="4">
        <v>16316247</v>
      </c>
      <c r="AD180" s="4">
        <v>1050000</v>
      </c>
      <c r="AE180" s="4">
        <v>44836040.100000001</v>
      </c>
      <c r="AF180" s="4">
        <v>0</v>
      </c>
      <c r="AG180" s="4">
        <v>30637565.036477998</v>
      </c>
      <c r="AH180" s="4">
        <v>1394368.5375176305</v>
      </c>
    </row>
    <row r="181" spans="1:34" x14ac:dyDescent="0.3">
      <c r="A181" s="256">
        <v>36993</v>
      </c>
      <c r="B181" s="4">
        <v>1250000</v>
      </c>
      <c r="C181" s="4">
        <v>2083768.15</v>
      </c>
      <c r="D181" s="4">
        <v>770244.5</v>
      </c>
      <c r="E181" s="4"/>
      <c r="F181" s="4"/>
      <c r="G181" s="4"/>
      <c r="H181" s="4">
        <v>0</v>
      </c>
      <c r="I181" s="4">
        <v>0</v>
      </c>
      <c r="J181" s="4"/>
      <c r="K181" s="4">
        <v>2.8312206268310547E-7</v>
      </c>
      <c r="L181" s="4">
        <v>0</v>
      </c>
      <c r="M181" s="4">
        <v>137317.57</v>
      </c>
      <c r="N181" s="4">
        <v>0</v>
      </c>
      <c r="O181" s="4">
        <v>1000000</v>
      </c>
      <c r="P181" s="4">
        <v>0</v>
      </c>
      <c r="Q181" s="4">
        <v>23513434.5</v>
      </c>
      <c r="R181" s="4">
        <v>7121810</v>
      </c>
      <c r="S181" s="4">
        <v>5644007</v>
      </c>
      <c r="T181" s="4">
        <v>20887594.859999999</v>
      </c>
      <c r="U181" s="4">
        <v>2560525</v>
      </c>
      <c r="V181" s="4"/>
      <c r="W181" s="284">
        <v>0</v>
      </c>
      <c r="X181" s="284">
        <v>0</v>
      </c>
      <c r="Y181" s="4">
        <v>1803840</v>
      </c>
      <c r="Z181" s="4">
        <v>2300803</v>
      </c>
      <c r="AA181" s="4">
        <v>8821363.3399999999</v>
      </c>
      <c r="AB181" s="4">
        <v>2343750</v>
      </c>
      <c r="AC181" s="4">
        <v>16316247</v>
      </c>
      <c r="AD181" s="4">
        <v>1050000</v>
      </c>
      <c r="AE181" s="4">
        <v>44836040.100000001</v>
      </c>
      <c r="AF181" s="4">
        <v>0</v>
      </c>
      <c r="AG181" s="4">
        <v>30637565.036477998</v>
      </c>
      <c r="AH181" s="4">
        <v>1389260.6634061171</v>
      </c>
    </row>
    <row r="182" spans="1:34" x14ac:dyDescent="0.3">
      <c r="A182" s="256">
        <v>36997</v>
      </c>
      <c r="B182" s="4">
        <v>1250000</v>
      </c>
      <c r="C182" s="4">
        <v>2083768.15</v>
      </c>
      <c r="D182" s="4">
        <v>770244.5</v>
      </c>
      <c r="E182" s="4"/>
      <c r="F182" s="4"/>
      <c r="G182" s="4"/>
      <c r="H182" s="4">
        <v>0</v>
      </c>
      <c r="I182" s="4">
        <v>0</v>
      </c>
      <c r="J182" s="4"/>
      <c r="K182" s="4">
        <v>2.8312206268310547E-7</v>
      </c>
      <c r="L182" s="4">
        <v>0</v>
      </c>
      <c r="M182" s="4">
        <v>137317.57</v>
      </c>
      <c r="N182" s="4">
        <v>0</v>
      </c>
      <c r="O182" s="4">
        <v>1000000</v>
      </c>
      <c r="P182" s="4">
        <v>0</v>
      </c>
      <c r="Q182" s="4">
        <v>23513434.5</v>
      </c>
      <c r="R182" s="4">
        <v>7121810</v>
      </c>
      <c r="S182" s="4">
        <v>5644007</v>
      </c>
      <c r="T182" s="4">
        <v>20887594.859999999</v>
      </c>
      <c r="U182" s="4">
        <v>2560525</v>
      </c>
      <c r="V182" s="4"/>
      <c r="W182" s="284">
        <v>0</v>
      </c>
      <c r="X182" s="284">
        <v>0</v>
      </c>
      <c r="Y182" s="4">
        <v>1803840</v>
      </c>
      <c r="Z182" s="4">
        <v>2300803</v>
      </c>
      <c r="AA182" s="4">
        <v>8821363.3399999999</v>
      </c>
      <c r="AB182" s="4">
        <v>2343750</v>
      </c>
      <c r="AC182" s="4">
        <v>16316247</v>
      </c>
      <c r="AD182" s="4">
        <v>1050000</v>
      </c>
      <c r="AE182" s="4">
        <v>44836040.100000001</v>
      </c>
      <c r="AF182" s="4">
        <v>0</v>
      </c>
      <c r="AG182" s="4">
        <v>30637565.036477998</v>
      </c>
      <c r="AH182" s="4">
        <v>1401048.2459874791</v>
      </c>
    </row>
    <row r="183" spans="1:34" x14ac:dyDescent="0.3">
      <c r="A183" s="256">
        <v>36998</v>
      </c>
      <c r="B183" s="4">
        <v>1250000</v>
      </c>
      <c r="C183" s="4">
        <v>2083768.15</v>
      </c>
      <c r="D183" s="4">
        <v>770244.5</v>
      </c>
      <c r="E183" s="4"/>
      <c r="F183" s="4"/>
      <c r="G183" s="4"/>
      <c r="H183" s="4">
        <v>0</v>
      </c>
      <c r="I183" s="4">
        <v>0</v>
      </c>
      <c r="J183" s="4"/>
      <c r="K183" s="4">
        <v>2.8312206268310547E-7</v>
      </c>
      <c r="L183" s="4">
        <v>0</v>
      </c>
      <c r="M183" s="4">
        <v>137317.57</v>
      </c>
      <c r="N183" s="4">
        <v>0</v>
      </c>
      <c r="O183" s="4">
        <v>1000000</v>
      </c>
      <c r="P183" s="4">
        <v>0</v>
      </c>
      <c r="Q183" s="4">
        <v>23513434.5</v>
      </c>
      <c r="R183" s="4">
        <v>7121810</v>
      </c>
      <c r="S183" s="4">
        <v>5644007</v>
      </c>
      <c r="T183" s="4">
        <v>20887594.859999999</v>
      </c>
      <c r="U183" s="4">
        <v>2560525</v>
      </c>
      <c r="V183" s="4"/>
      <c r="W183" s="284">
        <v>0</v>
      </c>
      <c r="X183" s="284">
        <v>0</v>
      </c>
      <c r="Y183" s="4">
        <v>1803840</v>
      </c>
      <c r="Z183" s="4">
        <v>2300803</v>
      </c>
      <c r="AA183" s="4">
        <v>8821363.3399999999</v>
      </c>
      <c r="AB183" s="4">
        <v>2343750</v>
      </c>
      <c r="AC183" s="4">
        <v>16316247</v>
      </c>
      <c r="AD183" s="4">
        <v>1050000</v>
      </c>
      <c r="AE183" s="4">
        <v>44836040.100000001</v>
      </c>
      <c r="AF183" s="4">
        <v>0</v>
      </c>
      <c r="AG183" s="4">
        <v>30637565.036477998</v>
      </c>
      <c r="AH183" s="4">
        <v>1414644.718360967</v>
      </c>
    </row>
    <row r="184" spans="1:34" x14ac:dyDescent="0.3">
      <c r="A184" s="256">
        <v>36999</v>
      </c>
      <c r="B184" s="4">
        <v>1250000</v>
      </c>
      <c r="C184" s="4">
        <v>2083768.15</v>
      </c>
      <c r="D184" s="4">
        <v>770244.5</v>
      </c>
      <c r="E184" s="4"/>
      <c r="F184" s="4"/>
      <c r="G184" s="4"/>
      <c r="H184" s="4">
        <v>0</v>
      </c>
      <c r="I184" s="4">
        <v>0</v>
      </c>
      <c r="J184" s="4"/>
      <c r="K184" s="4">
        <v>2.8312206268310547E-7</v>
      </c>
      <c r="L184" s="4">
        <v>0</v>
      </c>
      <c r="M184" s="4">
        <v>137317.57</v>
      </c>
      <c r="N184" s="4">
        <v>0</v>
      </c>
      <c r="O184" s="4">
        <v>1000000</v>
      </c>
      <c r="P184" s="4">
        <v>0</v>
      </c>
      <c r="Q184" s="4">
        <v>23513434.5</v>
      </c>
      <c r="R184" s="4">
        <v>7121810</v>
      </c>
      <c r="S184" s="4">
        <v>5644007</v>
      </c>
      <c r="T184" s="4">
        <v>20887594.859999999</v>
      </c>
      <c r="U184" s="4">
        <v>2560525</v>
      </c>
      <c r="V184" s="4"/>
      <c r="W184" s="284">
        <v>0</v>
      </c>
      <c r="X184" s="284">
        <v>0</v>
      </c>
      <c r="Y184" s="4">
        <v>1803840</v>
      </c>
      <c r="Z184" s="4">
        <v>2300803</v>
      </c>
      <c r="AA184" s="4">
        <v>8821363.3399999999</v>
      </c>
      <c r="AB184" s="4">
        <v>2343750</v>
      </c>
      <c r="AC184" s="4">
        <v>16316247</v>
      </c>
      <c r="AD184" s="4">
        <v>1050000</v>
      </c>
      <c r="AE184" s="4">
        <v>44836040.100000001</v>
      </c>
      <c r="AF184" s="4">
        <v>0</v>
      </c>
      <c r="AG184" s="4">
        <v>30637565.036477998</v>
      </c>
      <c r="AH184" s="4">
        <v>1414112.2408960932</v>
      </c>
    </row>
    <row r="185" spans="1:34" x14ac:dyDescent="0.3">
      <c r="A185" s="256">
        <v>37000</v>
      </c>
      <c r="B185" s="4">
        <v>1250000</v>
      </c>
      <c r="C185" s="4">
        <v>2083768.15</v>
      </c>
      <c r="D185" s="4">
        <v>770244.5</v>
      </c>
      <c r="E185" s="4"/>
      <c r="F185" s="4"/>
      <c r="G185" s="4"/>
      <c r="H185" s="4">
        <v>0</v>
      </c>
      <c r="I185" s="4">
        <v>0</v>
      </c>
      <c r="J185" s="4"/>
      <c r="K185" s="4">
        <v>2.8312206268310547E-7</v>
      </c>
      <c r="L185" s="4">
        <v>0</v>
      </c>
      <c r="M185" s="4">
        <v>137317.57</v>
      </c>
      <c r="N185" s="4">
        <v>0</v>
      </c>
      <c r="O185" s="4">
        <v>1000000</v>
      </c>
      <c r="P185" s="4">
        <v>0</v>
      </c>
      <c r="Q185" s="4">
        <v>23513434.5</v>
      </c>
      <c r="R185" s="4">
        <v>7121810</v>
      </c>
      <c r="S185" s="4">
        <v>5644007</v>
      </c>
      <c r="T185" s="4">
        <v>20887594.859999999</v>
      </c>
      <c r="U185" s="4">
        <v>2560525</v>
      </c>
      <c r="V185" s="4"/>
      <c r="W185" s="284">
        <v>0</v>
      </c>
      <c r="X185" s="284">
        <v>0</v>
      </c>
      <c r="Y185" s="4">
        <v>1803840</v>
      </c>
      <c r="Z185" s="4">
        <v>2300803</v>
      </c>
      <c r="AA185" s="4">
        <v>8821363.3399999999</v>
      </c>
      <c r="AB185" s="4">
        <v>2343750</v>
      </c>
      <c r="AC185" s="4">
        <v>16316247</v>
      </c>
      <c r="AD185" s="4">
        <v>1050000</v>
      </c>
      <c r="AE185" s="4">
        <v>44836040.100000001</v>
      </c>
      <c r="AF185" s="4">
        <v>0</v>
      </c>
      <c r="AG185" s="4">
        <v>30637565.036477998</v>
      </c>
      <c r="AH185" s="4">
        <v>1412722.7735692945</v>
      </c>
    </row>
    <row r="186" spans="1:34" x14ac:dyDescent="0.3">
      <c r="A186" s="256">
        <v>37001</v>
      </c>
      <c r="B186" s="4">
        <v>1250000</v>
      </c>
      <c r="C186" s="4">
        <v>2083768.15</v>
      </c>
      <c r="D186" s="4">
        <v>770244.5</v>
      </c>
      <c r="E186" s="4"/>
      <c r="F186" s="4"/>
      <c r="G186" s="4"/>
      <c r="H186" s="4">
        <v>0</v>
      </c>
      <c r="I186" s="4">
        <v>0</v>
      </c>
      <c r="J186" s="4"/>
      <c r="K186" s="4">
        <v>2.8312206268310547E-7</v>
      </c>
      <c r="L186" s="4">
        <v>0</v>
      </c>
      <c r="M186" s="4">
        <v>137317.57</v>
      </c>
      <c r="N186" s="4">
        <v>0</v>
      </c>
      <c r="O186" s="4">
        <v>1000000</v>
      </c>
      <c r="P186" s="4">
        <v>0</v>
      </c>
      <c r="Q186" s="4">
        <v>23513434.5</v>
      </c>
      <c r="R186" s="4">
        <v>7121810</v>
      </c>
      <c r="S186" s="4">
        <v>5644007</v>
      </c>
      <c r="T186" s="4">
        <v>20887594.859999999</v>
      </c>
      <c r="U186" s="4">
        <v>2560525</v>
      </c>
      <c r="V186" s="4"/>
      <c r="W186" s="284">
        <v>0</v>
      </c>
      <c r="X186" s="284">
        <v>0</v>
      </c>
      <c r="Y186" s="4">
        <v>1803840</v>
      </c>
      <c r="Z186" s="4">
        <v>2300803</v>
      </c>
      <c r="AA186" s="4">
        <v>8821363.3399999999</v>
      </c>
      <c r="AB186" s="4">
        <v>2343750</v>
      </c>
      <c r="AC186" s="4">
        <v>16316247</v>
      </c>
      <c r="AD186" s="4">
        <v>1050000</v>
      </c>
      <c r="AE186" s="4">
        <v>44836040.100000001</v>
      </c>
      <c r="AF186" s="4">
        <v>0</v>
      </c>
      <c r="AG186" s="4">
        <v>30637565.036477998</v>
      </c>
      <c r="AH186" s="4">
        <v>1405805.6935649614</v>
      </c>
    </row>
    <row r="187" spans="1:34" x14ac:dyDescent="0.3">
      <c r="A187" s="256">
        <v>37004</v>
      </c>
      <c r="B187" s="4">
        <v>1250000</v>
      </c>
      <c r="C187" s="4">
        <v>2083768.15</v>
      </c>
      <c r="D187" s="4">
        <v>770244.5</v>
      </c>
      <c r="E187" s="4"/>
      <c r="F187" s="4"/>
      <c r="G187" s="4"/>
      <c r="H187" s="4">
        <v>0</v>
      </c>
      <c r="I187" s="4">
        <v>0</v>
      </c>
      <c r="J187" s="4"/>
      <c r="K187" s="4">
        <v>2.8312206268310547E-7</v>
      </c>
      <c r="L187" s="4">
        <v>0</v>
      </c>
      <c r="M187" s="4">
        <v>137317.57</v>
      </c>
      <c r="N187" s="4">
        <v>0</v>
      </c>
      <c r="O187" s="4">
        <v>1000000</v>
      </c>
      <c r="P187" s="4">
        <v>0</v>
      </c>
      <c r="Q187" s="4">
        <v>23513434.5</v>
      </c>
      <c r="R187" s="4">
        <v>7121810</v>
      </c>
      <c r="S187" s="4">
        <v>5644007</v>
      </c>
      <c r="T187" s="4">
        <v>20887594.859999999</v>
      </c>
      <c r="U187" s="4">
        <v>2560525</v>
      </c>
      <c r="V187" s="4"/>
      <c r="W187" s="284">
        <v>0</v>
      </c>
      <c r="X187" s="284">
        <v>0</v>
      </c>
      <c r="Y187" s="4">
        <v>1803840</v>
      </c>
      <c r="Z187" s="4">
        <v>2300803</v>
      </c>
      <c r="AA187" s="4">
        <v>8821363.3399999999</v>
      </c>
      <c r="AB187" s="4">
        <v>2343750</v>
      </c>
      <c r="AC187" s="4">
        <v>16316247</v>
      </c>
      <c r="AD187" s="4">
        <v>1050000</v>
      </c>
      <c r="AE187" s="4">
        <v>44836040.100000001</v>
      </c>
      <c r="AF187" s="4">
        <v>0</v>
      </c>
      <c r="AG187" s="4">
        <v>30637565.036477998</v>
      </c>
      <c r="AH187" s="4">
        <v>1399345.9440037906</v>
      </c>
    </row>
    <row r="188" spans="1:34" x14ac:dyDescent="0.3">
      <c r="A188" s="256">
        <v>37005</v>
      </c>
      <c r="B188" s="4">
        <v>1250000</v>
      </c>
      <c r="C188" s="4">
        <v>2083768.15</v>
      </c>
      <c r="D188" s="4">
        <v>770244.5</v>
      </c>
      <c r="E188" s="4"/>
      <c r="F188" s="4"/>
      <c r="G188" s="4"/>
      <c r="H188" s="4">
        <v>0</v>
      </c>
      <c r="I188" s="4">
        <v>0</v>
      </c>
      <c r="J188" s="4"/>
      <c r="K188" s="4">
        <v>2.8312206268310547E-7</v>
      </c>
      <c r="L188" s="4">
        <v>0</v>
      </c>
      <c r="M188" s="4">
        <v>137317.57</v>
      </c>
      <c r="N188" s="4">
        <v>0</v>
      </c>
      <c r="O188" s="4">
        <v>1000000</v>
      </c>
      <c r="P188" s="4">
        <v>0</v>
      </c>
      <c r="Q188" s="4">
        <v>23513434.5</v>
      </c>
      <c r="R188" s="4">
        <v>7121810</v>
      </c>
      <c r="S188" s="4">
        <v>5644007</v>
      </c>
      <c r="T188" s="4">
        <v>20887594.859999999</v>
      </c>
      <c r="U188" s="4">
        <v>2560525</v>
      </c>
      <c r="V188" s="4"/>
      <c r="W188" s="284">
        <v>0</v>
      </c>
      <c r="X188" s="284">
        <v>0</v>
      </c>
      <c r="Y188" s="4">
        <v>1803840</v>
      </c>
      <c r="Z188" s="4">
        <v>2300803</v>
      </c>
      <c r="AA188" s="4">
        <v>8821363.3399999999</v>
      </c>
      <c r="AB188" s="4">
        <v>2343750</v>
      </c>
      <c r="AC188" s="4">
        <v>16316247</v>
      </c>
      <c r="AD188" s="4">
        <v>1050000</v>
      </c>
      <c r="AE188" s="4">
        <v>44836040.100000001</v>
      </c>
      <c r="AF188" s="4">
        <v>0</v>
      </c>
      <c r="AG188" s="4">
        <v>30637565.036477998</v>
      </c>
      <c r="AH188" s="4">
        <v>1398007.8609879713</v>
      </c>
    </row>
    <row r="189" spans="1:34" x14ac:dyDescent="0.3">
      <c r="A189" s="256">
        <v>37006</v>
      </c>
      <c r="B189" s="4">
        <v>1250000</v>
      </c>
      <c r="C189" s="4">
        <v>2083768.15</v>
      </c>
      <c r="D189" s="4">
        <v>770244.5</v>
      </c>
      <c r="E189" s="4"/>
      <c r="F189" s="4"/>
      <c r="G189" s="4"/>
      <c r="H189" s="4">
        <v>0</v>
      </c>
      <c r="I189" s="4">
        <v>0</v>
      </c>
      <c r="J189" s="4"/>
      <c r="K189" s="4">
        <v>2.8312206268310547E-7</v>
      </c>
      <c r="L189" s="4">
        <v>0</v>
      </c>
      <c r="M189" s="4">
        <v>137317.57</v>
      </c>
      <c r="N189" s="4">
        <v>0</v>
      </c>
      <c r="O189" s="4">
        <v>1000000</v>
      </c>
      <c r="P189" s="4">
        <v>0</v>
      </c>
      <c r="Q189" s="4">
        <v>23513434.5</v>
      </c>
      <c r="R189" s="4">
        <v>7121810</v>
      </c>
      <c r="S189" s="4">
        <v>5644007</v>
      </c>
      <c r="T189" s="4">
        <v>20887594.859999999</v>
      </c>
      <c r="U189" s="4">
        <v>2560525</v>
      </c>
      <c r="V189" s="4"/>
      <c r="W189" s="284">
        <v>0</v>
      </c>
      <c r="X189" s="284">
        <v>0</v>
      </c>
      <c r="Y189" s="4">
        <v>1803840</v>
      </c>
      <c r="Z189" s="4">
        <v>2300803</v>
      </c>
      <c r="AA189" s="4">
        <v>8821363.3399999999</v>
      </c>
      <c r="AB189" s="4">
        <v>2343750</v>
      </c>
      <c r="AC189" s="4">
        <v>16316247</v>
      </c>
      <c r="AD189" s="4">
        <v>1050000</v>
      </c>
      <c r="AE189" s="4">
        <v>44836040.100000001</v>
      </c>
      <c r="AF189" s="4">
        <v>0</v>
      </c>
      <c r="AG189" s="4">
        <v>30637565.036477998</v>
      </c>
      <c r="AH189" s="4">
        <v>1403839.514899065</v>
      </c>
    </row>
    <row r="190" spans="1:34" x14ac:dyDescent="0.3">
      <c r="A190" s="256">
        <v>37007</v>
      </c>
      <c r="B190" s="4">
        <v>1250000</v>
      </c>
      <c r="C190" s="4">
        <v>2083768.15</v>
      </c>
      <c r="D190" s="4">
        <v>770244.5</v>
      </c>
      <c r="E190" s="4"/>
      <c r="F190" s="4"/>
      <c r="G190" s="4"/>
      <c r="H190" s="4">
        <v>0</v>
      </c>
      <c r="I190" s="4">
        <v>0</v>
      </c>
      <c r="J190" s="4"/>
      <c r="K190" s="4">
        <v>2.8312206268310547E-7</v>
      </c>
      <c r="L190" s="4">
        <v>0</v>
      </c>
      <c r="M190" s="4">
        <v>137317.57</v>
      </c>
      <c r="N190" s="4">
        <v>0</v>
      </c>
      <c r="O190" s="4">
        <v>1000000</v>
      </c>
      <c r="P190" s="4">
        <v>0</v>
      </c>
      <c r="Q190" s="4">
        <v>23513434.5</v>
      </c>
      <c r="R190" s="4">
        <v>7121810</v>
      </c>
      <c r="S190" s="4">
        <v>5644007</v>
      </c>
      <c r="T190" s="4">
        <v>20887594.859999999</v>
      </c>
      <c r="U190" s="4">
        <v>2560525</v>
      </c>
      <c r="V190" s="4"/>
      <c r="W190" s="284">
        <v>0</v>
      </c>
      <c r="X190" s="284">
        <v>0</v>
      </c>
      <c r="Y190" s="4">
        <v>1803840</v>
      </c>
      <c r="Z190" s="4">
        <v>2300803</v>
      </c>
      <c r="AA190" s="4">
        <v>8821363.3399999999</v>
      </c>
      <c r="AB190" s="4">
        <v>2343750</v>
      </c>
      <c r="AC190" s="4">
        <v>16316247</v>
      </c>
      <c r="AD190" s="4">
        <v>1050000</v>
      </c>
      <c r="AE190" s="4">
        <v>44836040.100000001</v>
      </c>
      <c r="AF190" s="4">
        <v>0</v>
      </c>
      <c r="AG190" s="4">
        <v>30637565.036477998</v>
      </c>
      <c r="AH190" s="4">
        <v>1406966.5009960281</v>
      </c>
    </row>
    <row r="191" spans="1:34" x14ac:dyDescent="0.3">
      <c r="A191" s="256">
        <v>37008</v>
      </c>
      <c r="B191" s="4">
        <v>1250000</v>
      </c>
      <c r="C191" s="4">
        <v>2083768.15</v>
      </c>
      <c r="D191" s="4">
        <v>770244.5</v>
      </c>
      <c r="E191" s="4"/>
      <c r="F191" s="4"/>
      <c r="G191" s="4"/>
      <c r="H191" s="4">
        <v>0</v>
      </c>
      <c r="I191" s="4">
        <v>0</v>
      </c>
      <c r="J191" s="4"/>
      <c r="K191" s="4">
        <v>2.8312206268310547E-7</v>
      </c>
      <c r="L191" s="4">
        <v>0</v>
      </c>
      <c r="M191" s="4">
        <v>137317.57</v>
      </c>
      <c r="N191" s="4">
        <v>0</v>
      </c>
      <c r="O191" s="4">
        <v>1000000</v>
      </c>
      <c r="P191" s="4">
        <v>0</v>
      </c>
      <c r="Q191" s="4">
        <v>23513434.5</v>
      </c>
      <c r="R191" s="4">
        <v>7121810</v>
      </c>
      <c r="S191" s="4">
        <v>5644007</v>
      </c>
      <c r="T191" s="4">
        <v>20887594.859999999</v>
      </c>
      <c r="U191" s="4">
        <v>2560525</v>
      </c>
      <c r="V191" s="4"/>
      <c r="W191" s="284">
        <v>0</v>
      </c>
      <c r="X191" s="284">
        <v>0</v>
      </c>
      <c r="Y191" s="4">
        <v>1803840</v>
      </c>
      <c r="Z191" s="4">
        <v>2300803</v>
      </c>
      <c r="AA191" s="4">
        <v>8821363.3399999999</v>
      </c>
      <c r="AB191" s="4">
        <v>2343750</v>
      </c>
      <c r="AC191" s="4">
        <v>16316247</v>
      </c>
      <c r="AD191" s="4">
        <v>1050000</v>
      </c>
      <c r="AE191" s="4">
        <v>44836040.100000001</v>
      </c>
      <c r="AF191" s="4">
        <v>0</v>
      </c>
      <c r="AG191" s="4">
        <v>30637565.036477998</v>
      </c>
      <c r="AH191" s="4">
        <v>1409110.2192779775</v>
      </c>
    </row>
    <row r="192" spans="1:34" x14ac:dyDescent="0.3">
      <c r="A192" s="256">
        <v>37011</v>
      </c>
      <c r="B192" s="4">
        <v>1250000</v>
      </c>
      <c r="C192" s="4">
        <v>2083768.15</v>
      </c>
      <c r="D192" s="4">
        <v>770244.5</v>
      </c>
      <c r="E192" s="4"/>
      <c r="F192" s="4"/>
      <c r="G192" s="4"/>
      <c r="H192" s="4">
        <v>0</v>
      </c>
      <c r="I192" s="4">
        <v>0</v>
      </c>
      <c r="J192" s="4"/>
      <c r="K192" s="4">
        <v>2.8312206268310547E-7</v>
      </c>
      <c r="L192" s="4">
        <v>0</v>
      </c>
      <c r="M192" s="4">
        <v>137317.57</v>
      </c>
      <c r="N192" s="4">
        <v>0</v>
      </c>
      <c r="O192" s="4">
        <v>1000000</v>
      </c>
      <c r="P192" s="4">
        <v>0</v>
      </c>
      <c r="Q192" s="4">
        <v>23513434.5</v>
      </c>
      <c r="R192" s="4">
        <v>7121810</v>
      </c>
      <c r="S192" s="4">
        <v>5644007</v>
      </c>
      <c r="T192" s="4">
        <v>20887594.859999999</v>
      </c>
      <c r="U192" s="4">
        <v>2560525</v>
      </c>
      <c r="V192" s="4"/>
      <c r="W192" s="284">
        <v>0</v>
      </c>
      <c r="X192" s="284">
        <v>0</v>
      </c>
      <c r="Y192" s="4">
        <v>1803840</v>
      </c>
      <c r="Z192" s="4">
        <v>2300803</v>
      </c>
      <c r="AA192" s="4">
        <v>8821363.3399999999</v>
      </c>
      <c r="AB192" s="4">
        <v>2343750</v>
      </c>
      <c r="AC192" s="4">
        <v>16316247</v>
      </c>
      <c r="AD192" s="4">
        <v>1050000</v>
      </c>
      <c r="AE192" s="4">
        <v>44836040.100000001</v>
      </c>
      <c r="AF192" s="4">
        <v>0</v>
      </c>
      <c r="AG192" s="4">
        <v>30637565.036477998</v>
      </c>
      <c r="AH192" s="4">
        <v>1408157.0373901248</v>
      </c>
    </row>
    <row r="193" spans="1:34" x14ac:dyDescent="0.3">
      <c r="A193" s="256">
        <v>37012</v>
      </c>
      <c r="B193" s="4">
        <v>1250000</v>
      </c>
      <c r="C193" s="4">
        <v>2083768.15</v>
      </c>
      <c r="D193" s="4">
        <v>770244.5</v>
      </c>
      <c r="E193" s="4"/>
      <c r="F193" s="4"/>
      <c r="G193" s="4"/>
      <c r="H193" s="4">
        <v>0</v>
      </c>
      <c r="I193" s="4">
        <v>0</v>
      </c>
      <c r="J193" s="4"/>
      <c r="K193" s="4">
        <v>2.8312206268310547E-7</v>
      </c>
      <c r="L193" s="4">
        <v>0</v>
      </c>
      <c r="M193" s="4">
        <v>137317.57</v>
      </c>
      <c r="N193" s="4">
        <v>0</v>
      </c>
      <c r="O193" s="4">
        <v>1000000</v>
      </c>
      <c r="P193" s="4">
        <v>0</v>
      </c>
      <c r="Q193" s="4">
        <v>23513434.5</v>
      </c>
      <c r="R193" s="4">
        <v>7121810</v>
      </c>
      <c r="S193" s="4">
        <v>5644007</v>
      </c>
      <c r="T193" s="4">
        <v>20887594.859999999</v>
      </c>
      <c r="U193" s="4">
        <v>2560525</v>
      </c>
      <c r="V193" s="4"/>
      <c r="W193" s="284">
        <v>0</v>
      </c>
      <c r="X193" s="284">
        <v>0</v>
      </c>
      <c r="Y193" s="4">
        <v>1803840</v>
      </c>
      <c r="Z193" s="4">
        <v>2300803</v>
      </c>
      <c r="AA193" s="4">
        <v>8821363.3399999999</v>
      </c>
      <c r="AB193" s="4">
        <v>2343750</v>
      </c>
      <c r="AC193" s="4">
        <v>16316247</v>
      </c>
      <c r="AD193" s="4">
        <v>1050000</v>
      </c>
      <c r="AE193" s="4">
        <v>44836040.100000001</v>
      </c>
      <c r="AF193" s="4">
        <v>0</v>
      </c>
      <c r="AG193" s="4">
        <v>30637565.036477998</v>
      </c>
      <c r="AH193" s="4">
        <v>1408307.0889387031</v>
      </c>
    </row>
    <row r="194" spans="1:34" x14ac:dyDescent="0.3">
      <c r="A194" s="256">
        <v>37013</v>
      </c>
      <c r="B194" s="4">
        <v>1250000</v>
      </c>
      <c r="C194" s="4">
        <v>2083768.15</v>
      </c>
      <c r="D194" s="4">
        <v>770244.5</v>
      </c>
      <c r="E194" s="4"/>
      <c r="F194" s="4"/>
      <c r="G194" s="4"/>
      <c r="H194" s="4">
        <v>0</v>
      </c>
      <c r="I194" s="4">
        <v>0</v>
      </c>
      <c r="J194" s="4"/>
      <c r="K194" s="4">
        <v>2.8312206268310547E-7</v>
      </c>
      <c r="L194" s="4">
        <v>0</v>
      </c>
      <c r="M194" s="4">
        <v>137317.57</v>
      </c>
      <c r="N194" s="4">
        <v>0</v>
      </c>
      <c r="O194" s="4">
        <v>1000000</v>
      </c>
      <c r="P194" s="4">
        <v>0</v>
      </c>
      <c r="Q194" s="4">
        <v>23513434.5</v>
      </c>
      <c r="R194" s="4">
        <v>7121810</v>
      </c>
      <c r="S194" s="4">
        <v>5644007</v>
      </c>
      <c r="T194" s="4">
        <v>20887594.859999999</v>
      </c>
      <c r="U194" s="4">
        <v>2560525</v>
      </c>
      <c r="V194" s="4"/>
      <c r="W194" s="284">
        <v>0</v>
      </c>
      <c r="X194" s="284">
        <v>0</v>
      </c>
      <c r="Y194" s="4">
        <v>1803840</v>
      </c>
      <c r="Z194" s="4">
        <v>2300803</v>
      </c>
      <c r="AA194" s="4">
        <v>8821363.3399999999</v>
      </c>
      <c r="AB194" s="4">
        <v>2343750</v>
      </c>
      <c r="AC194" s="4">
        <v>16316247</v>
      </c>
      <c r="AD194" s="4">
        <v>1050000</v>
      </c>
      <c r="AE194" s="4">
        <v>44836040.100000001</v>
      </c>
      <c r="AF194" s="4">
        <v>0</v>
      </c>
      <c r="AG194" s="4">
        <v>30637565.036477998</v>
      </c>
      <c r="AH194" s="4">
        <v>1408959.1717293232</v>
      </c>
    </row>
    <row r="195" spans="1:34" x14ac:dyDescent="0.3">
      <c r="A195" s="256">
        <v>37014</v>
      </c>
      <c r="B195" s="4">
        <v>1250000</v>
      </c>
      <c r="C195" s="4">
        <v>2083768.15</v>
      </c>
      <c r="D195" s="4">
        <v>770244.5</v>
      </c>
      <c r="E195" s="4"/>
      <c r="F195" s="4"/>
      <c r="G195" s="4"/>
      <c r="H195" s="4">
        <v>0</v>
      </c>
      <c r="I195" s="4">
        <v>0</v>
      </c>
      <c r="J195" s="4"/>
      <c r="K195" s="4">
        <v>2.8312206268310547E-7</v>
      </c>
      <c r="L195" s="4">
        <v>0</v>
      </c>
      <c r="M195" s="4">
        <v>137317.57</v>
      </c>
      <c r="N195" s="4">
        <v>0</v>
      </c>
      <c r="O195" s="4">
        <v>1000000</v>
      </c>
      <c r="P195" s="4">
        <v>0</v>
      </c>
      <c r="Q195" s="4">
        <v>23513434.5</v>
      </c>
      <c r="R195" s="4">
        <v>7121810</v>
      </c>
      <c r="S195" s="4">
        <v>5644007</v>
      </c>
      <c r="T195" s="4">
        <v>20887594.859999999</v>
      </c>
      <c r="U195" s="4">
        <v>2560525</v>
      </c>
      <c r="V195" s="4"/>
      <c r="W195" s="284">
        <v>0</v>
      </c>
      <c r="X195" s="284">
        <v>0</v>
      </c>
      <c r="Y195" s="4">
        <v>1803840</v>
      </c>
      <c r="Z195" s="4">
        <v>2300803</v>
      </c>
      <c r="AA195" s="4">
        <v>8821363.3399999999</v>
      </c>
      <c r="AB195" s="4">
        <v>2343750</v>
      </c>
      <c r="AC195" s="4">
        <v>16316247</v>
      </c>
      <c r="AD195" s="4">
        <v>1050000</v>
      </c>
      <c r="AE195" s="4">
        <v>44836040.100000001</v>
      </c>
      <c r="AF195" s="4">
        <v>0</v>
      </c>
      <c r="AG195" s="4">
        <v>30637565.036477998</v>
      </c>
      <c r="AH195" s="4">
        <v>1401140.3925802603</v>
      </c>
    </row>
    <row r="196" spans="1:34" x14ac:dyDescent="0.3">
      <c r="A196" s="256">
        <v>37015</v>
      </c>
      <c r="B196" s="4">
        <v>1250000</v>
      </c>
      <c r="C196" s="4">
        <v>2083768.15</v>
      </c>
      <c r="D196" s="4">
        <v>770244.5</v>
      </c>
      <c r="E196" s="4"/>
      <c r="F196" s="4"/>
      <c r="G196" s="4"/>
      <c r="H196" s="4">
        <v>0</v>
      </c>
      <c r="I196" s="4">
        <v>0</v>
      </c>
      <c r="J196" s="4"/>
      <c r="K196" s="4">
        <v>2.8312206268310547E-7</v>
      </c>
      <c r="L196" s="4">
        <v>0</v>
      </c>
      <c r="M196" s="4">
        <v>137317.57</v>
      </c>
      <c r="N196" s="4">
        <v>0</v>
      </c>
      <c r="O196" s="4">
        <v>1000000</v>
      </c>
      <c r="P196" s="4">
        <v>0</v>
      </c>
      <c r="Q196" s="4">
        <v>23513434.5</v>
      </c>
      <c r="R196" s="4">
        <v>7121810</v>
      </c>
      <c r="S196" s="4">
        <v>5644007</v>
      </c>
      <c r="T196" s="4">
        <v>20887594.859999999</v>
      </c>
      <c r="U196" s="4">
        <v>2560525</v>
      </c>
      <c r="V196" s="4"/>
      <c r="W196" s="284">
        <v>0</v>
      </c>
      <c r="X196" s="284">
        <v>0</v>
      </c>
      <c r="Y196" s="4">
        <v>1803840</v>
      </c>
      <c r="Z196" s="4">
        <v>2300803</v>
      </c>
      <c r="AA196" s="4">
        <v>8821363.3399999999</v>
      </c>
      <c r="AB196" s="4">
        <v>2343750</v>
      </c>
      <c r="AC196" s="4">
        <v>16316247</v>
      </c>
      <c r="AD196" s="4">
        <v>1050000</v>
      </c>
      <c r="AE196" s="4">
        <v>44836040.100000001</v>
      </c>
      <c r="AF196" s="4">
        <v>0</v>
      </c>
      <c r="AG196" s="4">
        <v>30637565.036477998</v>
      </c>
      <c r="AH196" s="4">
        <v>1399593.2408908219</v>
      </c>
    </row>
    <row r="197" spans="1:34" x14ac:dyDescent="0.3">
      <c r="A197" s="256">
        <v>37018</v>
      </c>
      <c r="B197" s="4">
        <v>1250000</v>
      </c>
      <c r="C197" s="4">
        <v>2083768.15</v>
      </c>
      <c r="D197" s="4">
        <v>770244.5</v>
      </c>
      <c r="E197" s="4"/>
      <c r="F197" s="4"/>
      <c r="G197" s="4"/>
      <c r="H197" s="4">
        <v>0</v>
      </c>
      <c r="I197" s="4">
        <v>0</v>
      </c>
      <c r="J197" s="4"/>
      <c r="K197" s="4">
        <v>2.8312206268310547E-7</v>
      </c>
      <c r="L197" s="4">
        <v>0</v>
      </c>
      <c r="M197" s="4">
        <v>137317.57</v>
      </c>
      <c r="N197" s="4">
        <v>0</v>
      </c>
      <c r="O197" s="4">
        <v>1000000</v>
      </c>
      <c r="P197" s="4">
        <v>0</v>
      </c>
      <c r="Q197" s="4">
        <v>23513434.5</v>
      </c>
      <c r="R197" s="4">
        <v>7121810</v>
      </c>
      <c r="S197" s="4">
        <v>5644007</v>
      </c>
      <c r="T197" s="4">
        <v>20887594.859999999</v>
      </c>
      <c r="U197" s="4">
        <v>2560525</v>
      </c>
      <c r="V197" s="4"/>
      <c r="W197" s="284">
        <v>0</v>
      </c>
      <c r="X197" s="284">
        <v>0</v>
      </c>
      <c r="Y197" s="4">
        <v>1803840</v>
      </c>
      <c r="Z197" s="4">
        <v>2300803</v>
      </c>
      <c r="AA197" s="4">
        <v>8821363.3399999999</v>
      </c>
      <c r="AB197" s="4">
        <v>2343750</v>
      </c>
      <c r="AC197" s="4">
        <v>16316247</v>
      </c>
      <c r="AD197" s="4">
        <v>1050000</v>
      </c>
      <c r="AE197" s="4">
        <v>44836040.100000001</v>
      </c>
      <c r="AF197" s="4">
        <v>0</v>
      </c>
      <c r="AG197" s="4">
        <v>30637565.036477998</v>
      </c>
      <c r="AH197" s="4">
        <v>1401009.2712056004</v>
      </c>
    </row>
    <row r="198" spans="1:34" x14ac:dyDescent="0.3">
      <c r="A198" s="256">
        <v>37019</v>
      </c>
      <c r="B198" s="4">
        <v>1250000</v>
      </c>
      <c r="C198" s="4">
        <v>2083768.15</v>
      </c>
      <c r="D198" s="4">
        <v>770244.5</v>
      </c>
      <c r="E198" s="4"/>
      <c r="F198" s="4"/>
      <c r="G198" s="4"/>
      <c r="H198" s="4">
        <v>0</v>
      </c>
      <c r="I198" s="4">
        <v>0</v>
      </c>
      <c r="J198" s="4"/>
      <c r="K198" s="4">
        <v>2.8312206268310547E-7</v>
      </c>
      <c r="L198" s="4">
        <v>0</v>
      </c>
      <c r="M198" s="4">
        <v>137317.57</v>
      </c>
      <c r="N198" s="4">
        <v>0</v>
      </c>
      <c r="O198" s="4">
        <v>1000000</v>
      </c>
      <c r="P198" s="4">
        <v>0</v>
      </c>
      <c r="Q198" s="4">
        <v>23513434.5</v>
      </c>
      <c r="R198" s="4">
        <v>7121810</v>
      </c>
      <c r="S198" s="4">
        <v>5644007</v>
      </c>
      <c r="T198" s="4">
        <v>20887594.859999999</v>
      </c>
      <c r="U198" s="4">
        <v>2560525</v>
      </c>
      <c r="V198" s="4"/>
      <c r="W198" s="284">
        <v>0</v>
      </c>
      <c r="X198" s="284">
        <v>0</v>
      </c>
      <c r="Y198" s="4">
        <v>1803840</v>
      </c>
      <c r="Z198" s="4">
        <v>2300803</v>
      </c>
      <c r="AA198" s="4">
        <v>8821363.3399999999</v>
      </c>
      <c r="AB198" s="4">
        <v>2343750</v>
      </c>
      <c r="AC198" s="4">
        <v>16316247</v>
      </c>
      <c r="AD198" s="4">
        <v>1050000</v>
      </c>
      <c r="AE198" s="4">
        <v>44836040.100000001</v>
      </c>
      <c r="AF198" s="4">
        <v>0</v>
      </c>
      <c r="AG198" s="4">
        <v>30637565.036477998</v>
      </c>
      <c r="AH198" s="4">
        <v>1402854.6932577689</v>
      </c>
    </row>
    <row r="199" spans="1:34" x14ac:dyDescent="0.3">
      <c r="A199" s="256">
        <v>37020</v>
      </c>
      <c r="B199" s="4">
        <v>1250000</v>
      </c>
      <c r="C199" s="4">
        <v>2083768.15</v>
      </c>
      <c r="D199" s="4">
        <v>770244.5</v>
      </c>
      <c r="E199" s="4"/>
      <c r="F199" s="4"/>
      <c r="G199" s="4"/>
      <c r="H199" s="4">
        <v>0</v>
      </c>
      <c r="I199" s="4">
        <v>0</v>
      </c>
      <c r="J199" s="4"/>
      <c r="K199" s="4">
        <v>2.8312206268310547E-7</v>
      </c>
      <c r="L199" s="4">
        <v>0</v>
      </c>
      <c r="M199" s="4">
        <v>137317.57</v>
      </c>
      <c r="N199" s="4">
        <v>0</v>
      </c>
      <c r="O199" s="4">
        <v>1000000</v>
      </c>
      <c r="P199" s="4">
        <v>0</v>
      </c>
      <c r="Q199" s="4">
        <v>23513434.5</v>
      </c>
      <c r="R199" s="4">
        <v>7121810</v>
      </c>
      <c r="S199" s="4">
        <v>5644007</v>
      </c>
      <c r="T199" s="4">
        <v>20887594.859999999</v>
      </c>
      <c r="U199" s="4">
        <v>2560525</v>
      </c>
      <c r="V199" s="4"/>
      <c r="W199" s="284">
        <v>0</v>
      </c>
      <c r="X199" s="284">
        <v>0</v>
      </c>
      <c r="Y199" s="4">
        <v>1803840</v>
      </c>
      <c r="Z199" s="4">
        <v>2300803</v>
      </c>
      <c r="AA199" s="4">
        <v>8821363.3399999999</v>
      </c>
      <c r="AB199" s="4">
        <v>2343750</v>
      </c>
      <c r="AC199" s="4">
        <v>16316247</v>
      </c>
      <c r="AD199" s="4">
        <v>1050000</v>
      </c>
      <c r="AE199" s="4">
        <v>44836040.100000001</v>
      </c>
      <c r="AF199" s="4">
        <v>0</v>
      </c>
      <c r="AG199" s="4">
        <v>30637565.036477998</v>
      </c>
      <c r="AH199" s="4">
        <v>1402049.3647481999</v>
      </c>
    </row>
    <row r="200" spans="1:34" x14ac:dyDescent="0.3">
      <c r="A200" s="256">
        <v>37021</v>
      </c>
      <c r="B200" s="4">
        <v>1250000</v>
      </c>
      <c r="C200" s="4">
        <v>2083768.15</v>
      </c>
      <c r="D200" s="4">
        <v>770244.5</v>
      </c>
      <c r="E200" s="4"/>
      <c r="F200" s="4"/>
      <c r="G200" s="4"/>
      <c r="H200" s="4">
        <v>0</v>
      </c>
      <c r="I200" s="4">
        <v>0</v>
      </c>
      <c r="J200" s="4"/>
      <c r="K200" s="4">
        <v>2.8312206268310547E-7</v>
      </c>
      <c r="L200" s="4">
        <v>0</v>
      </c>
      <c r="M200" s="4">
        <v>137317.57</v>
      </c>
      <c r="N200" s="4">
        <v>0</v>
      </c>
      <c r="O200" s="4">
        <v>1000000</v>
      </c>
      <c r="P200" s="4">
        <v>0</v>
      </c>
      <c r="Q200" s="4">
        <v>23513434.5</v>
      </c>
      <c r="R200" s="4">
        <v>7121810</v>
      </c>
      <c r="S200" s="4">
        <v>5644007</v>
      </c>
      <c r="T200" s="4">
        <v>20887594.859999999</v>
      </c>
      <c r="U200" s="4">
        <v>2560525</v>
      </c>
      <c r="V200" s="4"/>
      <c r="W200" s="284">
        <v>0</v>
      </c>
      <c r="X200" s="284">
        <v>0</v>
      </c>
      <c r="Y200" s="4">
        <v>1803840</v>
      </c>
      <c r="Z200" s="4">
        <v>2300803</v>
      </c>
      <c r="AA200" s="4">
        <v>8821363.3399999999</v>
      </c>
      <c r="AB200" s="4">
        <v>2343750</v>
      </c>
      <c r="AC200" s="4">
        <v>16316247</v>
      </c>
      <c r="AD200" s="4">
        <v>1050000</v>
      </c>
      <c r="AE200" s="4">
        <v>44836040.100000001</v>
      </c>
      <c r="AF200" s="4">
        <v>0</v>
      </c>
      <c r="AG200" s="4">
        <v>30637565.036477998</v>
      </c>
      <c r="AH200" s="4">
        <v>1397721.1015187411</v>
      </c>
    </row>
    <row r="201" spans="1:34" x14ac:dyDescent="0.3">
      <c r="A201" s="256">
        <v>37022</v>
      </c>
      <c r="B201" s="4">
        <v>1250000</v>
      </c>
      <c r="C201" s="4">
        <v>2083768.15</v>
      </c>
      <c r="D201" s="4">
        <v>770244.5</v>
      </c>
      <c r="E201" s="4"/>
      <c r="F201" s="4"/>
      <c r="G201" s="4"/>
      <c r="H201" s="4">
        <v>0</v>
      </c>
      <c r="I201" s="4">
        <v>0</v>
      </c>
      <c r="J201" s="4"/>
      <c r="K201" s="4">
        <v>2.8312206268310547E-7</v>
      </c>
      <c r="L201" s="4">
        <v>0</v>
      </c>
      <c r="M201" s="4">
        <v>137317.57</v>
      </c>
      <c r="N201" s="4">
        <v>0</v>
      </c>
      <c r="O201" s="4">
        <v>1000000</v>
      </c>
      <c r="P201" s="4">
        <v>0</v>
      </c>
      <c r="Q201" s="4">
        <v>23513434.5</v>
      </c>
      <c r="R201" s="4">
        <v>7121810</v>
      </c>
      <c r="S201" s="4">
        <v>5644007</v>
      </c>
      <c r="T201" s="4">
        <v>20887594.859999999</v>
      </c>
      <c r="U201" s="4">
        <v>2560525</v>
      </c>
      <c r="V201" s="4"/>
      <c r="W201" s="284">
        <v>0</v>
      </c>
      <c r="X201" s="284">
        <v>0</v>
      </c>
      <c r="Y201" s="4">
        <v>1803840</v>
      </c>
      <c r="Z201" s="4">
        <v>2300803</v>
      </c>
      <c r="AA201" s="4">
        <v>8821363.3399999999</v>
      </c>
      <c r="AB201" s="4">
        <v>2343750</v>
      </c>
      <c r="AC201" s="4">
        <v>16316247</v>
      </c>
      <c r="AD201" s="4">
        <v>1050000</v>
      </c>
      <c r="AE201" s="4">
        <v>44836040.100000001</v>
      </c>
      <c r="AF201" s="4">
        <v>0</v>
      </c>
      <c r="AG201" s="4">
        <v>30637565.036477998</v>
      </c>
      <c r="AH201" s="4">
        <v>1401993.9140888515</v>
      </c>
    </row>
    <row r="202" spans="1:34" x14ac:dyDescent="0.3">
      <c r="A202" s="256">
        <v>37025</v>
      </c>
      <c r="B202" s="4">
        <v>1250000</v>
      </c>
      <c r="C202" s="4">
        <v>2083768.15</v>
      </c>
      <c r="D202" s="4">
        <v>770244.5</v>
      </c>
      <c r="E202" s="4"/>
      <c r="F202" s="4"/>
      <c r="G202" s="4"/>
      <c r="H202" s="4">
        <v>0</v>
      </c>
      <c r="I202" s="4">
        <v>0</v>
      </c>
      <c r="J202" s="4"/>
      <c r="K202" s="4">
        <v>2.8312206268310547E-7</v>
      </c>
      <c r="L202" s="4">
        <v>0</v>
      </c>
      <c r="M202" s="4">
        <v>137317.57</v>
      </c>
      <c r="N202" s="4">
        <v>0</v>
      </c>
      <c r="O202" s="4">
        <v>1000000</v>
      </c>
      <c r="P202" s="4">
        <v>0</v>
      </c>
      <c r="Q202" s="4">
        <v>23513434.5</v>
      </c>
      <c r="R202" s="4">
        <v>7121810</v>
      </c>
      <c r="S202" s="4">
        <v>5644007</v>
      </c>
      <c r="T202" s="4">
        <v>20887594.859999999</v>
      </c>
      <c r="U202" s="4">
        <v>2560525</v>
      </c>
      <c r="V202" s="4"/>
      <c r="W202" s="284">
        <v>0</v>
      </c>
      <c r="X202" s="284">
        <v>0</v>
      </c>
      <c r="Y202" s="4">
        <v>1803840</v>
      </c>
      <c r="Z202" s="4">
        <v>2300803</v>
      </c>
      <c r="AA202" s="4">
        <v>8821363.3399999999</v>
      </c>
      <c r="AB202" s="4">
        <v>2343750</v>
      </c>
      <c r="AC202" s="4">
        <v>16316247</v>
      </c>
      <c r="AD202" s="4">
        <v>1050000</v>
      </c>
      <c r="AE202" s="4">
        <v>44836040.100000001</v>
      </c>
      <c r="AF202" s="4">
        <v>0</v>
      </c>
      <c r="AG202" s="4">
        <v>30637565.036477998</v>
      </c>
      <c r="AH202" s="4">
        <v>1406624.8737162091</v>
      </c>
    </row>
    <row r="203" spans="1:34" x14ac:dyDescent="0.3">
      <c r="A203" s="256">
        <v>37026</v>
      </c>
      <c r="B203" s="4">
        <v>1250000</v>
      </c>
      <c r="C203" s="4">
        <v>2083768.15</v>
      </c>
      <c r="D203" s="4">
        <v>770244.5</v>
      </c>
      <c r="E203" s="4"/>
      <c r="F203" s="4"/>
      <c r="G203" s="4"/>
      <c r="H203" s="4">
        <v>0</v>
      </c>
      <c r="I203" s="4">
        <v>0</v>
      </c>
      <c r="J203" s="4"/>
      <c r="K203" s="4">
        <v>2.8312206268310547E-7</v>
      </c>
      <c r="L203" s="4">
        <v>0</v>
      </c>
      <c r="M203" s="4">
        <v>137317.57</v>
      </c>
      <c r="N203" s="4">
        <v>0</v>
      </c>
      <c r="O203" s="4">
        <v>1000000</v>
      </c>
      <c r="P203" s="4">
        <v>0</v>
      </c>
      <c r="Q203" s="4">
        <v>23513434.5</v>
      </c>
      <c r="R203" s="4">
        <v>7121810</v>
      </c>
      <c r="S203" s="4">
        <v>5644007</v>
      </c>
      <c r="T203" s="4">
        <v>20887594.859999999</v>
      </c>
      <c r="U203" s="4">
        <v>2560525</v>
      </c>
      <c r="V203" s="4"/>
      <c r="W203" s="284">
        <v>0</v>
      </c>
      <c r="X203" s="284">
        <v>0</v>
      </c>
      <c r="Y203" s="4">
        <v>1803840</v>
      </c>
      <c r="Z203" s="4">
        <v>2300803</v>
      </c>
      <c r="AA203" s="4">
        <v>8821363.3399999999</v>
      </c>
      <c r="AB203" s="4">
        <v>2343750</v>
      </c>
      <c r="AC203" s="4">
        <v>16316247</v>
      </c>
      <c r="AD203" s="4">
        <v>1050000</v>
      </c>
      <c r="AE203" s="4">
        <v>44836040.100000001</v>
      </c>
      <c r="AF203" s="4">
        <v>0</v>
      </c>
      <c r="AG203" s="4">
        <v>30637565.036477998</v>
      </c>
      <c r="AH203" s="4">
        <v>1406605.4441871438</v>
      </c>
    </row>
    <row r="204" spans="1:34" x14ac:dyDescent="0.3">
      <c r="A204" s="256">
        <v>37027</v>
      </c>
      <c r="B204" s="4">
        <v>1250000</v>
      </c>
      <c r="C204" s="4">
        <v>2083768.15</v>
      </c>
      <c r="D204" s="4">
        <v>770244.5</v>
      </c>
      <c r="E204" s="4"/>
      <c r="F204" s="4"/>
      <c r="G204" s="4"/>
      <c r="H204" s="4">
        <v>0</v>
      </c>
      <c r="I204" s="4">
        <v>0</v>
      </c>
      <c r="J204" s="4"/>
      <c r="K204" s="4">
        <v>2.8312206268310547E-7</v>
      </c>
      <c r="L204" s="4">
        <v>0</v>
      </c>
      <c r="M204" s="4">
        <v>137317.57</v>
      </c>
      <c r="N204" s="4">
        <v>0</v>
      </c>
      <c r="O204" s="4">
        <v>1000000</v>
      </c>
      <c r="P204" s="4">
        <v>0</v>
      </c>
      <c r="Q204" s="4">
        <v>23513434.5</v>
      </c>
      <c r="R204" s="4">
        <v>7121810</v>
      </c>
      <c r="S204" s="4">
        <v>5644007</v>
      </c>
      <c r="T204" s="4">
        <v>20887594.859999999</v>
      </c>
      <c r="U204" s="4">
        <v>2560525</v>
      </c>
      <c r="V204" s="4"/>
      <c r="W204" s="284">
        <v>0</v>
      </c>
      <c r="X204" s="284">
        <v>0</v>
      </c>
      <c r="Y204" s="4">
        <v>1803840</v>
      </c>
      <c r="Z204" s="4">
        <v>2300803</v>
      </c>
      <c r="AA204" s="4">
        <v>8821363.3399999999</v>
      </c>
      <c r="AB204" s="4">
        <v>2343750</v>
      </c>
      <c r="AC204" s="4">
        <v>16316247</v>
      </c>
      <c r="AD204" s="4">
        <v>1050000</v>
      </c>
      <c r="AE204" s="4">
        <v>44836040.100000001</v>
      </c>
      <c r="AF204" s="4">
        <v>0</v>
      </c>
      <c r="AG204" s="4">
        <v>30637565.036477998</v>
      </c>
      <c r="AH204" s="4">
        <v>1442963.0699831024</v>
      </c>
    </row>
    <row r="205" spans="1:34" x14ac:dyDescent="0.3">
      <c r="A205" s="256">
        <v>37028</v>
      </c>
      <c r="B205" s="4">
        <v>1250000</v>
      </c>
      <c r="C205" s="4">
        <v>2083768.15</v>
      </c>
      <c r="D205" s="4">
        <v>770244.5</v>
      </c>
      <c r="E205" s="4"/>
      <c r="F205" s="4"/>
      <c r="G205" s="4"/>
      <c r="H205" s="4">
        <v>0</v>
      </c>
      <c r="I205" s="4">
        <v>0</v>
      </c>
      <c r="J205" s="4"/>
      <c r="K205" s="4">
        <v>2.8312206268310547E-7</v>
      </c>
      <c r="L205" s="4">
        <v>0</v>
      </c>
      <c r="M205" s="4">
        <v>137317.57</v>
      </c>
      <c r="N205" s="4">
        <v>0</v>
      </c>
      <c r="O205" s="4">
        <v>1000000</v>
      </c>
      <c r="P205" s="4">
        <v>0</v>
      </c>
      <c r="Q205" s="4">
        <v>23513434.5</v>
      </c>
      <c r="R205" s="4">
        <v>7121810</v>
      </c>
      <c r="S205" s="4">
        <v>5644007</v>
      </c>
      <c r="T205" s="4">
        <v>20887594.859999999</v>
      </c>
      <c r="U205" s="4">
        <v>2560525</v>
      </c>
      <c r="V205" s="4"/>
      <c r="W205" s="284">
        <v>0</v>
      </c>
      <c r="X205" s="284">
        <v>0</v>
      </c>
      <c r="Y205" s="4">
        <v>1803840</v>
      </c>
      <c r="Z205" s="4">
        <v>2300803</v>
      </c>
      <c r="AA205" s="4">
        <v>8821363.3399999999</v>
      </c>
      <c r="AB205" s="4">
        <v>2343750</v>
      </c>
      <c r="AC205" s="4">
        <v>16316247</v>
      </c>
      <c r="AD205" s="4">
        <v>1050000</v>
      </c>
      <c r="AE205" s="4">
        <v>44836040.100000001</v>
      </c>
      <c r="AF205" s="4">
        <v>0</v>
      </c>
      <c r="AG205" s="4">
        <v>30637565.036477998</v>
      </c>
      <c r="AH205" s="4">
        <v>1433233.8215953307</v>
      </c>
    </row>
    <row r="206" spans="1:34" x14ac:dyDescent="0.3">
      <c r="A206" s="256">
        <v>37029</v>
      </c>
      <c r="B206" s="4">
        <v>1250000</v>
      </c>
      <c r="C206" s="4">
        <v>2083768.15</v>
      </c>
      <c r="D206" s="4">
        <v>770244.5</v>
      </c>
      <c r="E206" s="4"/>
      <c r="F206" s="4"/>
      <c r="G206" s="4"/>
      <c r="H206" s="4">
        <v>0</v>
      </c>
      <c r="I206" s="4">
        <v>0</v>
      </c>
      <c r="J206" s="4"/>
      <c r="K206" s="4">
        <v>2.8312206268310547E-7</v>
      </c>
      <c r="L206" s="4">
        <v>0</v>
      </c>
      <c r="M206" s="4">
        <v>137317.57</v>
      </c>
      <c r="N206" s="4">
        <v>0</v>
      </c>
      <c r="O206" s="4">
        <v>1000000</v>
      </c>
      <c r="P206" s="4">
        <v>0</v>
      </c>
      <c r="Q206" s="4">
        <v>23513434.5</v>
      </c>
      <c r="R206" s="4">
        <v>7121810</v>
      </c>
      <c r="S206" s="4">
        <v>5644007</v>
      </c>
      <c r="T206" s="4">
        <v>20887594.859999999</v>
      </c>
      <c r="U206" s="4">
        <v>2560525</v>
      </c>
      <c r="V206" s="4"/>
      <c r="W206" s="284">
        <v>0</v>
      </c>
      <c r="X206" s="284">
        <v>0</v>
      </c>
      <c r="Y206" s="4">
        <v>1803840</v>
      </c>
      <c r="Z206" s="4">
        <v>2300803</v>
      </c>
      <c r="AA206" s="4">
        <v>8821363.3399999999</v>
      </c>
      <c r="AB206" s="4">
        <v>2343750</v>
      </c>
      <c r="AC206" s="4">
        <v>16316247</v>
      </c>
      <c r="AD206" s="4">
        <v>1050000</v>
      </c>
      <c r="AE206" s="4">
        <v>44836040.100000001</v>
      </c>
      <c r="AF206" s="4">
        <v>0</v>
      </c>
      <c r="AG206" s="4">
        <v>30637565.036477998</v>
      </c>
      <c r="AH206" s="4">
        <v>1435822.1910961187</v>
      </c>
    </row>
    <row r="207" spans="1:34" x14ac:dyDescent="0.3">
      <c r="A207" s="256">
        <v>37032</v>
      </c>
      <c r="B207" s="4">
        <v>1250000</v>
      </c>
      <c r="C207" s="4">
        <v>2083768.15</v>
      </c>
      <c r="D207" s="4">
        <v>770244.5</v>
      </c>
      <c r="E207" s="4"/>
      <c r="F207" s="4"/>
      <c r="G207" s="4"/>
      <c r="H207" s="4">
        <v>0</v>
      </c>
      <c r="I207" s="4">
        <v>0</v>
      </c>
      <c r="J207" s="4"/>
      <c r="K207" s="4">
        <v>2.8312206268310547E-7</v>
      </c>
      <c r="L207" s="4">
        <v>0</v>
      </c>
      <c r="M207" s="4">
        <v>137317.57</v>
      </c>
      <c r="N207" s="4">
        <v>0</v>
      </c>
      <c r="O207" s="4">
        <v>1000000</v>
      </c>
      <c r="P207" s="4">
        <v>0</v>
      </c>
      <c r="Q207" s="4">
        <v>23513434.5</v>
      </c>
      <c r="R207" s="4">
        <v>7121810</v>
      </c>
      <c r="S207" s="4">
        <v>5644007</v>
      </c>
      <c r="T207" s="4">
        <v>20887594.859999999</v>
      </c>
      <c r="U207" s="4">
        <v>2560525</v>
      </c>
      <c r="V207" s="4"/>
      <c r="W207" s="284">
        <v>0</v>
      </c>
      <c r="X207" s="284">
        <v>0</v>
      </c>
      <c r="Y207" s="4">
        <v>1803840</v>
      </c>
      <c r="Z207" s="4">
        <v>2300803</v>
      </c>
      <c r="AA207" s="4">
        <v>8821363.3399999999</v>
      </c>
      <c r="AB207" s="4">
        <v>2343750</v>
      </c>
      <c r="AC207" s="4">
        <v>16316247</v>
      </c>
      <c r="AD207" s="4">
        <v>1050000</v>
      </c>
      <c r="AE207" s="4">
        <v>44836040.100000001</v>
      </c>
      <c r="AF207" s="4">
        <v>0</v>
      </c>
      <c r="AG207" s="4">
        <v>30637565.036477998</v>
      </c>
      <c r="AH207" s="4">
        <v>1460886.3203248668</v>
      </c>
    </row>
    <row r="208" spans="1:34" x14ac:dyDescent="0.3">
      <c r="A208" s="256">
        <v>37033</v>
      </c>
      <c r="B208" s="4">
        <v>1250000</v>
      </c>
      <c r="C208" s="4">
        <v>2083768.15</v>
      </c>
      <c r="D208" s="4">
        <v>770244.5</v>
      </c>
      <c r="E208" s="4"/>
      <c r="F208" s="4"/>
      <c r="G208" s="4"/>
      <c r="H208" s="4">
        <v>0</v>
      </c>
      <c r="I208" s="4">
        <v>0</v>
      </c>
      <c r="J208" s="4"/>
      <c r="K208" s="4">
        <v>2.8312206268310547E-7</v>
      </c>
      <c r="L208" s="4">
        <v>0</v>
      </c>
      <c r="M208" s="4">
        <v>137317.57</v>
      </c>
      <c r="N208" s="4">
        <v>0</v>
      </c>
      <c r="O208" s="4">
        <v>1000000</v>
      </c>
      <c r="P208" s="4">
        <v>0</v>
      </c>
      <c r="Q208" s="4">
        <v>23513434.5</v>
      </c>
      <c r="R208" s="4">
        <v>7121810</v>
      </c>
      <c r="S208" s="4">
        <v>5644007</v>
      </c>
      <c r="T208" s="4">
        <v>20887594.859999999</v>
      </c>
      <c r="U208" s="4">
        <v>2560525</v>
      </c>
      <c r="V208" s="4"/>
      <c r="W208" s="284">
        <v>0</v>
      </c>
      <c r="X208" s="284">
        <v>0</v>
      </c>
      <c r="Y208" s="4">
        <v>1803840</v>
      </c>
      <c r="Z208" s="4">
        <v>2300803</v>
      </c>
      <c r="AA208" s="4">
        <v>8821363.3399999999</v>
      </c>
      <c r="AB208" s="4">
        <v>2343750</v>
      </c>
      <c r="AC208" s="4">
        <v>16316247</v>
      </c>
      <c r="AD208" s="4">
        <v>1050000</v>
      </c>
      <c r="AE208" s="4">
        <v>44836040.100000001</v>
      </c>
      <c r="AF208" s="4">
        <v>0</v>
      </c>
      <c r="AG208" s="4">
        <v>30637565.036477998</v>
      </c>
      <c r="AH208" s="4">
        <v>1465306.3395898594</v>
      </c>
    </row>
    <row r="209" spans="1:34" x14ac:dyDescent="0.3">
      <c r="A209" s="256">
        <v>37034</v>
      </c>
      <c r="B209" s="4">
        <v>1250000</v>
      </c>
      <c r="C209" s="4">
        <v>2083768.15</v>
      </c>
      <c r="D209" s="4">
        <v>770244.5</v>
      </c>
      <c r="E209" s="4"/>
      <c r="F209" s="4"/>
      <c r="G209" s="4"/>
      <c r="H209" s="4">
        <v>0</v>
      </c>
      <c r="I209" s="4">
        <v>0</v>
      </c>
      <c r="J209" s="4"/>
      <c r="K209" s="4">
        <v>2.8312206268310547E-7</v>
      </c>
      <c r="L209" s="4">
        <v>0</v>
      </c>
      <c r="M209" s="4">
        <v>137317.57</v>
      </c>
      <c r="N209" s="4">
        <v>0</v>
      </c>
      <c r="O209" s="4">
        <v>1000000</v>
      </c>
      <c r="P209" s="4">
        <v>0</v>
      </c>
      <c r="Q209" s="4">
        <v>23513434.5</v>
      </c>
      <c r="R209" s="4">
        <v>7121810</v>
      </c>
      <c r="S209" s="4">
        <v>5644007</v>
      </c>
      <c r="T209" s="4">
        <v>20887594.859999999</v>
      </c>
      <c r="U209" s="4">
        <v>2560525</v>
      </c>
      <c r="V209" s="4"/>
      <c r="W209" s="284">
        <v>0</v>
      </c>
      <c r="X209" s="284">
        <v>0</v>
      </c>
      <c r="Y209" s="4">
        <v>1803840</v>
      </c>
      <c r="Z209" s="4">
        <v>2300803</v>
      </c>
      <c r="AA209" s="4">
        <v>8821363.3399999999</v>
      </c>
      <c r="AB209" s="4">
        <v>2343750</v>
      </c>
      <c r="AC209" s="4">
        <v>16316247</v>
      </c>
      <c r="AD209" s="4">
        <v>1050000</v>
      </c>
      <c r="AE209" s="4">
        <v>44836040.100000001</v>
      </c>
      <c r="AF209" s="4">
        <v>0</v>
      </c>
      <c r="AG209" s="4">
        <v>30637565.036477998</v>
      </c>
      <c r="AH209" s="4">
        <v>1458938.4237744398</v>
      </c>
    </row>
    <row r="210" spans="1:34" x14ac:dyDescent="0.3">
      <c r="A210" s="256">
        <v>37035</v>
      </c>
      <c r="B210" s="4">
        <v>1250000</v>
      </c>
      <c r="C210" s="4">
        <v>2083768.15</v>
      </c>
      <c r="D210" s="4">
        <v>770244.5</v>
      </c>
      <c r="E210" s="4"/>
      <c r="F210" s="4"/>
      <c r="G210" s="4"/>
      <c r="H210" s="4">
        <v>0</v>
      </c>
      <c r="I210" s="4">
        <v>0</v>
      </c>
      <c r="J210" s="4"/>
      <c r="K210" s="4">
        <v>2.8312206268310547E-7</v>
      </c>
      <c r="L210" s="4">
        <v>0</v>
      </c>
      <c r="M210" s="4">
        <v>137317.57</v>
      </c>
      <c r="N210" s="4">
        <v>0</v>
      </c>
      <c r="O210" s="4">
        <v>1000000</v>
      </c>
      <c r="P210" s="4">
        <v>0</v>
      </c>
      <c r="Q210" s="4">
        <v>23513434.5</v>
      </c>
      <c r="R210" s="4">
        <v>7121810</v>
      </c>
      <c r="S210" s="4">
        <v>5644007</v>
      </c>
      <c r="T210" s="4">
        <v>20887594.859999999</v>
      </c>
      <c r="U210" s="4">
        <v>2560525</v>
      </c>
      <c r="V210" s="4"/>
      <c r="W210" s="284">
        <v>0</v>
      </c>
      <c r="X210" s="284">
        <v>0</v>
      </c>
      <c r="Y210" s="4">
        <v>1803840</v>
      </c>
      <c r="Z210" s="4">
        <v>2300803</v>
      </c>
      <c r="AA210" s="4">
        <v>8821363.3399999999</v>
      </c>
      <c r="AB210" s="4">
        <v>2343750</v>
      </c>
      <c r="AC210" s="4">
        <v>16316247</v>
      </c>
      <c r="AD210" s="4">
        <v>1050000</v>
      </c>
      <c r="AE210" s="4">
        <v>44836040.100000001</v>
      </c>
      <c r="AF210" s="4">
        <v>0</v>
      </c>
      <c r="AG210" s="4">
        <v>30637565.036477998</v>
      </c>
      <c r="AH210" s="4">
        <v>1453026.1459314784</v>
      </c>
    </row>
    <row r="211" spans="1:34" x14ac:dyDescent="0.3">
      <c r="A211" s="256">
        <v>37036</v>
      </c>
      <c r="B211" s="4">
        <v>1250000</v>
      </c>
      <c r="C211" s="4">
        <v>2083768.15</v>
      </c>
      <c r="D211" s="4">
        <v>770244.5</v>
      </c>
      <c r="E211" s="4"/>
      <c r="F211" s="4"/>
      <c r="G211" s="4"/>
      <c r="H211" s="4">
        <v>0</v>
      </c>
      <c r="I211" s="4">
        <v>0</v>
      </c>
      <c r="J211" s="4"/>
      <c r="K211" s="4">
        <v>2.8312206268310547E-7</v>
      </c>
      <c r="L211" s="4">
        <v>0</v>
      </c>
      <c r="M211" s="4">
        <v>137317.57</v>
      </c>
      <c r="N211" s="4">
        <v>0</v>
      </c>
      <c r="O211" s="4">
        <v>1000000</v>
      </c>
      <c r="P211" s="4">
        <v>0</v>
      </c>
      <c r="Q211" s="4">
        <v>23513434.5</v>
      </c>
      <c r="R211" s="4">
        <v>7121810</v>
      </c>
      <c r="S211" s="4">
        <v>5644007</v>
      </c>
      <c r="T211" s="4">
        <v>20887594.859999999</v>
      </c>
      <c r="U211" s="4">
        <v>2560525</v>
      </c>
      <c r="V211" s="4"/>
      <c r="W211" s="284">
        <v>0</v>
      </c>
      <c r="X211" s="284">
        <v>0</v>
      </c>
      <c r="Y211" s="4">
        <v>1803840</v>
      </c>
      <c r="Z211" s="4">
        <v>2300803</v>
      </c>
      <c r="AA211" s="4">
        <v>8821363.3399999999</v>
      </c>
      <c r="AB211" s="4">
        <v>2343750</v>
      </c>
      <c r="AC211" s="4">
        <v>16316247</v>
      </c>
      <c r="AD211" s="4">
        <v>1050000</v>
      </c>
      <c r="AE211" s="4">
        <v>44836040.100000001</v>
      </c>
      <c r="AF211" s="4">
        <v>0</v>
      </c>
      <c r="AG211" s="4">
        <v>30637565.036477998</v>
      </c>
      <c r="AH211" s="4">
        <v>1453989.2374231648</v>
      </c>
    </row>
    <row r="212" spans="1:34" x14ac:dyDescent="0.3">
      <c r="A212" s="256">
        <v>37040</v>
      </c>
      <c r="B212" s="4">
        <v>1250000</v>
      </c>
      <c r="C212" s="4">
        <v>2083768.15</v>
      </c>
      <c r="D212" s="4">
        <v>770244.5</v>
      </c>
      <c r="E212" s="4"/>
      <c r="F212" s="4"/>
      <c r="G212" s="4"/>
      <c r="H212" s="4">
        <v>0</v>
      </c>
      <c r="I212" s="4">
        <v>0</v>
      </c>
      <c r="J212" s="4"/>
      <c r="K212" s="4">
        <v>2.8312206268310547E-7</v>
      </c>
      <c r="L212" s="4">
        <v>0</v>
      </c>
      <c r="M212" s="4">
        <v>137317.57</v>
      </c>
      <c r="N212" s="4">
        <v>0</v>
      </c>
      <c r="O212" s="4">
        <v>1000000</v>
      </c>
      <c r="P212" s="4">
        <v>0</v>
      </c>
      <c r="Q212" s="4">
        <v>23513434.5</v>
      </c>
      <c r="R212" s="4">
        <v>7121810</v>
      </c>
      <c r="S212" s="4">
        <v>5644007</v>
      </c>
      <c r="T212" s="4">
        <v>20887594.859999999</v>
      </c>
      <c r="U212" s="4">
        <v>2560525</v>
      </c>
      <c r="V212" s="4"/>
      <c r="W212" s="284">
        <v>0</v>
      </c>
      <c r="X212" s="284">
        <v>0</v>
      </c>
      <c r="Y212" s="4">
        <v>1803840</v>
      </c>
      <c r="Z212" s="4">
        <v>2300803</v>
      </c>
      <c r="AA212" s="4">
        <v>8821363.3399999999</v>
      </c>
      <c r="AB212" s="4">
        <v>2343750</v>
      </c>
      <c r="AC212" s="4">
        <v>16316247</v>
      </c>
      <c r="AD212" s="4">
        <v>1050000</v>
      </c>
      <c r="AE212" s="4">
        <v>44836040.100000001</v>
      </c>
      <c r="AF212" s="4">
        <v>0</v>
      </c>
      <c r="AG212" s="4">
        <v>30637565.036477998</v>
      </c>
      <c r="AH212" s="4">
        <v>1456496.5831299443</v>
      </c>
    </row>
    <row r="213" spans="1:34" x14ac:dyDescent="0.3">
      <c r="A213" s="256">
        <v>37041</v>
      </c>
      <c r="B213" s="4">
        <v>1250000</v>
      </c>
      <c r="C213" s="4">
        <v>2083768.15</v>
      </c>
      <c r="D213" s="4">
        <v>770244.5</v>
      </c>
      <c r="E213" s="4"/>
      <c r="F213" s="4"/>
      <c r="G213" s="4"/>
      <c r="H213" s="4">
        <v>0</v>
      </c>
      <c r="I213" s="4">
        <v>0</v>
      </c>
      <c r="J213" s="4"/>
      <c r="K213" s="4">
        <v>2.8312206268310547E-7</v>
      </c>
      <c r="L213" s="4">
        <v>0</v>
      </c>
      <c r="M213" s="4">
        <v>137317.57</v>
      </c>
      <c r="N213" s="4">
        <v>0</v>
      </c>
      <c r="O213" s="4">
        <v>1000000</v>
      </c>
      <c r="P213" s="4">
        <v>0</v>
      </c>
      <c r="Q213" s="4">
        <v>23513434.5</v>
      </c>
      <c r="R213" s="4">
        <v>7121810</v>
      </c>
      <c r="S213" s="4">
        <v>5644007</v>
      </c>
      <c r="T213" s="4">
        <v>20887594.859999999</v>
      </c>
      <c r="U213" s="4">
        <v>2560525</v>
      </c>
      <c r="V213" s="4"/>
      <c r="W213" s="284">
        <v>0</v>
      </c>
      <c r="X213" s="284">
        <v>0</v>
      </c>
      <c r="Y213" s="4">
        <v>1803840</v>
      </c>
      <c r="Z213" s="4">
        <v>2300803</v>
      </c>
      <c r="AA213" s="4">
        <v>8821363.3399999999</v>
      </c>
      <c r="AB213" s="4">
        <v>2343750</v>
      </c>
      <c r="AC213" s="4">
        <v>16316247</v>
      </c>
      <c r="AD213" s="4">
        <v>1050000</v>
      </c>
      <c r="AE213" s="4">
        <v>44836040.100000001</v>
      </c>
      <c r="AF213" s="4">
        <v>0</v>
      </c>
      <c r="AG213" s="4">
        <v>30637565.036477998</v>
      </c>
      <c r="AH213" s="4">
        <v>1451812.4416353619</v>
      </c>
    </row>
    <row r="214" spans="1:34" x14ac:dyDescent="0.3">
      <c r="A214" s="256">
        <v>37042</v>
      </c>
      <c r="B214" s="4">
        <v>1250000</v>
      </c>
      <c r="C214" s="4">
        <v>2083768.15</v>
      </c>
      <c r="D214" s="4">
        <v>770244.5</v>
      </c>
      <c r="E214" s="4"/>
      <c r="F214" s="4"/>
      <c r="G214" s="4"/>
      <c r="H214" s="4">
        <v>0</v>
      </c>
      <c r="I214" s="4">
        <v>0</v>
      </c>
      <c r="J214" s="4"/>
      <c r="K214" s="4">
        <v>2.8312206268310547E-7</v>
      </c>
      <c r="L214" s="4">
        <v>0</v>
      </c>
      <c r="M214" s="4">
        <v>137317.57</v>
      </c>
      <c r="N214" s="4">
        <v>0</v>
      </c>
      <c r="O214" s="4">
        <v>1000000</v>
      </c>
      <c r="P214" s="4">
        <v>0</v>
      </c>
      <c r="Q214" s="4">
        <v>23513434.5</v>
      </c>
      <c r="R214" s="4">
        <v>7121810</v>
      </c>
      <c r="S214" s="4">
        <v>5644007</v>
      </c>
      <c r="T214" s="4">
        <v>20887594.859999999</v>
      </c>
      <c r="U214" s="4">
        <v>2560525</v>
      </c>
      <c r="V214" s="4"/>
      <c r="W214" s="284">
        <v>0</v>
      </c>
      <c r="X214" s="284">
        <v>0</v>
      </c>
      <c r="Y214" s="4">
        <v>1803840</v>
      </c>
      <c r="Z214" s="4">
        <v>2300803</v>
      </c>
      <c r="AA214" s="4">
        <v>8821363.3399999999</v>
      </c>
      <c r="AB214" s="4">
        <v>2343750</v>
      </c>
      <c r="AC214" s="4">
        <v>16316247</v>
      </c>
      <c r="AD214" s="4">
        <v>1050000</v>
      </c>
      <c r="AE214" s="4">
        <v>44836040.100000001</v>
      </c>
      <c r="AF214" s="4">
        <v>0</v>
      </c>
      <c r="AG214" s="4">
        <v>30637565.036477998</v>
      </c>
      <c r="AH214" s="4">
        <v>1406123.485790218</v>
      </c>
    </row>
    <row r="215" spans="1:34" x14ac:dyDescent="0.3">
      <c r="A215" s="256">
        <v>37043</v>
      </c>
      <c r="B215" s="4">
        <v>1250000</v>
      </c>
      <c r="C215" s="4">
        <v>2083768.15</v>
      </c>
      <c r="D215" s="4">
        <v>770244.5</v>
      </c>
      <c r="E215" s="4"/>
      <c r="F215" s="4"/>
      <c r="G215" s="4"/>
      <c r="H215" s="4">
        <v>0</v>
      </c>
      <c r="I215" s="4">
        <v>0</v>
      </c>
      <c r="J215" s="4"/>
      <c r="K215" s="4">
        <v>2.8312206268310547E-7</v>
      </c>
      <c r="L215" s="4">
        <v>0</v>
      </c>
      <c r="M215" s="4">
        <v>137317.57</v>
      </c>
      <c r="N215" s="4">
        <v>0</v>
      </c>
      <c r="O215" s="4">
        <v>1000000</v>
      </c>
      <c r="P215" s="4">
        <v>0</v>
      </c>
      <c r="Q215" s="4">
        <v>23513434.5</v>
      </c>
      <c r="R215" s="4">
        <v>7121810</v>
      </c>
      <c r="S215" s="4">
        <v>5644007</v>
      </c>
      <c r="T215" s="4">
        <v>20887594.859999999</v>
      </c>
      <c r="U215" s="4">
        <v>2560525</v>
      </c>
      <c r="V215" s="4"/>
      <c r="W215" s="284">
        <v>0</v>
      </c>
      <c r="X215" s="284">
        <v>0</v>
      </c>
      <c r="Y215" s="4">
        <v>1803840</v>
      </c>
      <c r="Z215" s="4">
        <v>2300803</v>
      </c>
      <c r="AA215" s="4">
        <v>8821363.3399999999</v>
      </c>
      <c r="AB215" s="4">
        <v>2343750</v>
      </c>
      <c r="AC215" s="4">
        <v>16316247</v>
      </c>
      <c r="AD215" s="4">
        <v>1050000</v>
      </c>
      <c r="AE215" s="4">
        <v>44836040.100000001</v>
      </c>
      <c r="AF215" s="4">
        <v>0</v>
      </c>
      <c r="AG215" s="4">
        <v>30637565.036477998</v>
      </c>
      <c r="AH215" s="4">
        <v>1417961.9169656471</v>
      </c>
    </row>
    <row r="216" spans="1:34" x14ac:dyDescent="0.3">
      <c r="A216" s="256">
        <v>37046</v>
      </c>
      <c r="B216" s="4">
        <v>1250000</v>
      </c>
      <c r="C216" s="4">
        <v>2083768.15</v>
      </c>
      <c r="D216" s="4">
        <v>770244.5</v>
      </c>
      <c r="E216" s="4"/>
      <c r="F216" s="4"/>
      <c r="G216" s="4"/>
      <c r="H216" s="4">
        <v>0</v>
      </c>
      <c r="I216" s="4">
        <v>0</v>
      </c>
      <c r="J216" s="4"/>
      <c r="K216" s="4">
        <v>2.8312206268310547E-7</v>
      </c>
      <c r="L216" s="4">
        <v>0</v>
      </c>
      <c r="M216" s="4">
        <v>137317.57</v>
      </c>
      <c r="N216" s="4">
        <v>0</v>
      </c>
      <c r="O216" s="4">
        <v>1000000</v>
      </c>
      <c r="P216" s="4">
        <v>0</v>
      </c>
      <c r="Q216" s="4">
        <v>23513434.5</v>
      </c>
      <c r="R216" s="4">
        <v>7121810</v>
      </c>
      <c r="S216" s="4">
        <v>5644007</v>
      </c>
      <c r="T216" s="4">
        <v>20887594.859999999</v>
      </c>
      <c r="U216" s="4">
        <v>2560525</v>
      </c>
      <c r="V216" s="4"/>
      <c r="W216" s="284">
        <v>0</v>
      </c>
      <c r="X216" s="284">
        <v>0</v>
      </c>
      <c r="Y216" s="4">
        <v>1803840</v>
      </c>
      <c r="Z216" s="4">
        <v>2300803</v>
      </c>
      <c r="AA216" s="4">
        <v>8821363.3399999999</v>
      </c>
      <c r="AB216" s="4">
        <v>2343750</v>
      </c>
      <c r="AC216" s="4">
        <v>16316247</v>
      </c>
      <c r="AD216" s="4">
        <v>1050000</v>
      </c>
      <c r="AE216" s="4">
        <v>44836040.100000001</v>
      </c>
      <c r="AF216" s="4">
        <v>0</v>
      </c>
      <c r="AG216" s="4">
        <v>30637565.036477998</v>
      </c>
      <c r="AH216" s="4">
        <v>1423483.8624964911</v>
      </c>
    </row>
    <row r="217" spans="1:34" x14ac:dyDescent="0.3">
      <c r="A217" s="256">
        <v>37047</v>
      </c>
      <c r="B217" s="4">
        <v>1250000</v>
      </c>
      <c r="C217" s="4">
        <v>2083768.15</v>
      </c>
      <c r="D217" s="4">
        <v>770244.5</v>
      </c>
      <c r="E217" s="4"/>
      <c r="F217" s="4"/>
      <c r="G217" s="4"/>
      <c r="H217" s="4">
        <v>0</v>
      </c>
      <c r="I217" s="4">
        <v>0</v>
      </c>
      <c r="J217" s="4"/>
      <c r="K217" s="4">
        <v>2.8312206268310547E-7</v>
      </c>
      <c r="L217" s="4">
        <v>0</v>
      </c>
      <c r="M217" s="4">
        <v>137317.57</v>
      </c>
      <c r="N217" s="4">
        <v>0</v>
      </c>
      <c r="O217" s="4">
        <v>1000000</v>
      </c>
      <c r="P217" s="4">
        <v>0</v>
      </c>
      <c r="Q217" s="4">
        <v>23513434.5</v>
      </c>
      <c r="R217" s="4">
        <v>7121810</v>
      </c>
      <c r="S217" s="4">
        <v>5644007</v>
      </c>
      <c r="T217" s="4">
        <v>20887594.859999999</v>
      </c>
      <c r="U217" s="4">
        <v>2560525</v>
      </c>
      <c r="V217" s="4"/>
      <c r="W217" s="284">
        <v>0</v>
      </c>
      <c r="X217" s="284">
        <v>0</v>
      </c>
      <c r="Y217" s="4">
        <v>1803840</v>
      </c>
      <c r="Z217" s="4">
        <v>2300803</v>
      </c>
      <c r="AA217" s="4">
        <v>8821363.3399999999</v>
      </c>
      <c r="AB217" s="4">
        <v>2343750</v>
      </c>
      <c r="AC217" s="4">
        <v>16316247</v>
      </c>
      <c r="AD217" s="4">
        <v>1050000</v>
      </c>
      <c r="AE217" s="4">
        <v>44836040.100000001</v>
      </c>
      <c r="AF217" s="4">
        <v>0</v>
      </c>
      <c r="AG217" s="4">
        <v>30637565.036477998</v>
      </c>
      <c r="AH217" s="4">
        <v>1427116.794959065</v>
      </c>
    </row>
    <row r="218" spans="1:34" x14ac:dyDescent="0.3">
      <c r="A218" s="256">
        <v>37048</v>
      </c>
      <c r="B218" s="4">
        <v>1250000</v>
      </c>
      <c r="C218" s="4">
        <v>2083768.15</v>
      </c>
      <c r="D218" s="4">
        <v>770244.5</v>
      </c>
      <c r="E218" s="4"/>
      <c r="F218" s="4"/>
      <c r="G218" s="4"/>
      <c r="H218" s="4">
        <v>0</v>
      </c>
      <c r="I218" s="4">
        <v>0</v>
      </c>
      <c r="J218" s="4"/>
      <c r="K218" s="4">
        <v>2.8312206268310547E-7</v>
      </c>
      <c r="L218" s="4">
        <v>0</v>
      </c>
      <c r="M218" s="4">
        <v>137317.57</v>
      </c>
      <c r="N218" s="4">
        <v>0</v>
      </c>
      <c r="O218" s="4">
        <v>1000000</v>
      </c>
      <c r="P218" s="4">
        <v>0</v>
      </c>
      <c r="Q218" s="4">
        <v>23513434.5</v>
      </c>
      <c r="R218" s="4">
        <v>7121810</v>
      </c>
      <c r="S218" s="4">
        <v>5644007</v>
      </c>
      <c r="T218" s="4">
        <v>20887594.859999999</v>
      </c>
      <c r="U218" s="4">
        <v>2560525</v>
      </c>
      <c r="V218" s="4"/>
      <c r="W218" s="284">
        <v>0</v>
      </c>
      <c r="X218" s="284">
        <v>0</v>
      </c>
      <c r="Y218" s="4">
        <v>1803840</v>
      </c>
      <c r="Z218" s="4">
        <v>2300803</v>
      </c>
      <c r="AA218" s="4">
        <v>8821363.3399999999</v>
      </c>
      <c r="AB218" s="4">
        <v>2343750</v>
      </c>
      <c r="AC218" s="4">
        <v>16316247</v>
      </c>
      <c r="AD218" s="4">
        <v>1050000</v>
      </c>
      <c r="AE218" s="4">
        <v>44836040.100000001</v>
      </c>
      <c r="AF218" s="4">
        <v>0</v>
      </c>
      <c r="AG218" s="4">
        <v>30637565.036477998</v>
      </c>
      <c r="AH218" s="4">
        <v>1442315.7268071047</v>
      </c>
    </row>
    <row r="219" spans="1:34" x14ac:dyDescent="0.3">
      <c r="A219" s="256">
        <v>37049</v>
      </c>
      <c r="B219" s="4">
        <v>1250000</v>
      </c>
      <c r="C219" s="4">
        <v>2083768.15</v>
      </c>
      <c r="D219" s="4">
        <v>770244.5</v>
      </c>
      <c r="E219" s="4"/>
      <c r="F219" s="4"/>
      <c r="G219" s="4"/>
      <c r="H219" s="4">
        <v>0</v>
      </c>
      <c r="I219" s="4">
        <v>0</v>
      </c>
      <c r="J219" s="4"/>
      <c r="K219" s="4">
        <v>2.8312206268310547E-7</v>
      </c>
      <c r="L219" s="4">
        <v>0</v>
      </c>
      <c r="M219" s="4">
        <v>137317.57</v>
      </c>
      <c r="N219" s="4">
        <v>0</v>
      </c>
      <c r="O219" s="4">
        <v>1000000</v>
      </c>
      <c r="P219" s="4">
        <v>0</v>
      </c>
      <c r="Q219" s="4">
        <v>23513434.5</v>
      </c>
      <c r="R219" s="4">
        <v>7121810</v>
      </c>
      <c r="S219" s="4">
        <v>5644007</v>
      </c>
      <c r="T219" s="4">
        <v>20887594.859999999</v>
      </c>
      <c r="U219" s="4">
        <v>2560525</v>
      </c>
      <c r="V219" s="4"/>
      <c r="W219" s="284">
        <v>0</v>
      </c>
      <c r="X219" s="284">
        <v>0</v>
      </c>
      <c r="Y219" s="4">
        <v>1803840</v>
      </c>
      <c r="Z219" s="4">
        <v>2300803</v>
      </c>
      <c r="AA219" s="4">
        <v>8821363.3399999999</v>
      </c>
      <c r="AB219" s="4">
        <v>2343750</v>
      </c>
      <c r="AC219" s="4">
        <v>16316247</v>
      </c>
      <c r="AD219" s="4">
        <v>1050000</v>
      </c>
      <c r="AE219" s="4">
        <v>44836040.100000001</v>
      </c>
      <c r="AF219" s="4">
        <v>0</v>
      </c>
      <c r="AG219" s="4">
        <v>30637565.036477998</v>
      </c>
      <c r="AH219" s="4">
        <v>1453999.8039873857</v>
      </c>
    </row>
    <row r="220" spans="1:34" x14ac:dyDescent="0.3">
      <c r="A220" s="256">
        <v>37050</v>
      </c>
      <c r="B220" s="4">
        <v>1250000</v>
      </c>
      <c r="C220" s="4">
        <v>2083768.15</v>
      </c>
      <c r="D220" s="4">
        <v>770244.5</v>
      </c>
      <c r="E220" s="4"/>
      <c r="F220" s="4"/>
      <c r="G220" s="4"/>
      <c r="H220" s="4">
        <v>0</v>
      </c>
      <c r="I220" s="4">
        <v>0</v>
      </c>
      <c r="J220" s="4"/>
      <c r="K220" s="4">
        <v>2.8312206268310547E-7</v>
      </c>
      <c r="L220" s="4">
        <v>0</v>
      </c>
      <c r="M220" s="4">
        <v>137317.57</v>
      </c>
      <c r="N220" s="4">
        <v>0</v>
      </c>
      <c r="O220" s="4">
        <v>1000000</v>
      </c>
      <c r="P220" s="4">
        <v>0</v>
      </c>
      <c r="Q220" s="4">
        <v>23513434.5</v>
      </c>
      <c r="R220" s="4">
        <v>7121810</v>
      </c>
      <c r="S220" s="4">
        <v>5644007</v>
      </c>
      <c r="T220" s="4">
        <v>20887594.859999999</v>
      </c>
      <c r="U220" s="4">
        <v>2560525</v>
      </c>
      <c r="V220" s="4"/>
      <c r="W220" s="284">
        <v>0</v>
      </c>
      <c r="X220" s="284">
        <v>0</v>
      </c>
      <c r="Y220" s="4">
        <v>1803840</v>
      </c>
      <c r="Z220" s="4">
        <v>2300803</v>
      </c>
      <c r="AA220" s="4">
        <v>8821363.3399999999</v>
      </c>
      <c r="AB220" s="4">
        <v>2343750</v>
      </c>
      <c r="AC220" s="4">
        <v>16316247</v>
      </c>
      <c r="AD220" s="4">
        <v>1050000</v>
      </c>
      <c r="AE220" s="4">
        <v>44836040.100000001</v>
      </c>
      <c r="AF220" s="4">
        <v>0</v>
      </c>
      <c r="AG220" s="4">
        <v>30637565.036477998</v>
      </c>
      <c r="AH220" s="4">
        <v>1448632.7037186036</v>
      </c>
    </row>
    <row r="221" spans="1:34" x14ac:dyDescent="0.3">
      <c r="A221" s="256">
        <v>37053</v>
      </c>
      <c r="B221" s="4">
        <v>1250000</v>
      </c>
      <c r="C221" s="4">
        <v>2083768.15</v>
      </c>
      <c r="D221" s="4">
        <v>770244.5</v>
      </c>
      <c r="E221" s="4"/>
      <c r="F221" s="4"/>
      <c r="G221" s="4"/>
      <c r="H221" s="4">
        <v>0</v>
      </c>
      <c r="I221" s="4">
        <v>0</v>
      </c>
      <c r="J221" s="4"/>
      <c r="K221" s="4">
        <v>2.8312206268310547E-7</v>
      </c>
      <c r="L221" s="4">
        <v>0</v>
      </c>
      <c r="M221" s="4">
        <v>137317.57</v>
      </c>
      <c r="N221" s="4">
        <v>0</v>
      </c>
      <c r="O221" s="4">
        <v>1000000</v>
      </c>
      <c r="P221" s="4">
        <v>0</v>
      </c>
      <c r="Q221" s="4">
        <v>23513434.5</v>
      </c>
      <c r="R221" s="4">
        <v>7121810</v>
      </c>
      <c r="S221" s="4">
        <v>5644007</v>
      </c>
      <c r="T221" s="4">
        <v>20887594.859999999</v>
      </c>
      <c r="U221" s="4">
        <v>2560525</v>
      </c>
      <c r="V221" s="4"/>
      <c r="W221" s="284">
        <v>0</v>
      </c>
      <c r="X221" s="284">
        <v>0</v>
      </c>
      <c r="Y221" s="4">
        <v>1803840</v>
      </c>
      <c r="Z221" s="4">
        <v>2300803</v>
      </c>
      <c r="AA221" s="4">
        <v>8821363.3399999999</v>
      </c>
      <c r="AB221" s="4">
        <v>2343750</v>
      </c>
      <c r="AC221" s="4">
        <v>16316247</v>
      </c>
      <c r="AD221" s="4">
        <v>1050000</v>
      </c>
      <c r="AE221" s="4">
        <v>44836040.100000001</v>
      </c>
      <c r="AF221" s="4">
        <v>0</v>
      </c>
      <c r="AG221" s="4">
        <v>30637565.036477998</v>
      </c>
      <c r="AH221" s="4">
        <v>1449392.6855500184</v>
      </c>
    </row>
    <row r="222" spans="1:34" x14ac:dyDescent="0.3">
      <c r="A222" s="256">
        <v>37054</v>
      </c>
      <c r="B222" s="4">
        <v>1250000</v>
      </c>
      <c r="C222" s="4">
        <v>2083768.15</v>
      </c>
      <c r="D222" s="4">
        <v>770244.5</v>
      </c>
      <c r="E222" s="4"/>
      <c r="F222" s="4"/>
      <c r="G222" s="4"/>
      <c r="H222" s="4">
        <v>0</v>
      </c>
      <c r="I222" s="4">
        <v>0</v>
      </c>
      <c r="J222" s="4"/>
      <c r="K222" s="4">
        <v>2.8312206268310547E-7</v>
      </c>
      <c r="L222" s="4">
        <v>0</v>
      </c>
      <c r="M222" s="4">
        <v>137317.57</v>
      </c>
      <c r="N222" s="4">
        <v>0</v>
      </c>
      <c r="O222" s="4">
        <v>1000000</v>
      </c>
      <c r="P222" s="4">
        <v>0</v>
      </c>
      <c r="Q222" s="4">
        <v>23513434.5</v>
      </c>
      <c r="R222" s="4">
        <v>7121810</v>
      </c>
      <c r="S222" s="4">
        <v>5644007</v>
      </c>
      <c r="T222" s="4">
        <v>20887594.859999999</v>
      </c>
      <c r="U222" s="4">
        <v>2560525</v>
      </c>
      <c r="V222" s="4"/>
      <c r="W222" s="284">
        <v>0</v>
      </c>
      <c r="X222" s="284">
        <v>0</v>
      </c>
      <c r="Y222" s="4">
        <v>1803840</v>
      </c>
      <c r="Z222" s="4">
        <v>2300803</v>
      </c>
      <c r="AA222" s="4">
        <v>8821363.3399999999</v>
      </c>
      <c r="AB222" s="4">
        <v>2343750</v>
      </c>
      <c r="AC222" s="4">
        <v>16316247</v>
      </c>
      <c r="AD222" s="4">
        <v>1050000</v>
      </c>
      <c r="AE222" s="4">
        <v>44836040.100000001</v>
      </c>
      <c r="AF222" s="4">
        <v>0</v>
      </c>
      <c r="AG222" s="4">
        <v>30637565.036477998</v>
      </c>
      <c r="AH222" s="4">
        <v>1453695.6829869195</v>
      </c>
    </row>
    <row r="223" spans="1:34" x14ac:dyDescent="0.3">
      <c r="A223" s="256">
        <v>37055</v>
      </c>
      <c r="B223" s="4">
        <v>1250000</v>
      </c>
      <c r="C223" s="4">
        <v>2083768.15</v>
      </c>
      <c r="D223" s="4">
        <v>770244.5</v>
      </c>
      <c r="E223" s="4"/>
      <c r="F223" s="4"/>
      <c r="G223" s="4"/>
      <c r="H223" s="4">
        <v>0</v>
      </c>
      <c r="I223" s="4">
        <v>0</v>
      </c>
      <c r="J223" s="4"/>
      <c r="K223" s="4">
        <v>2.8312206268310547E-7</v>
      </c>
      <c r="L223" s="4">
        <v>0</v>
      </c>
      <c r="M223" s="4">
        <v>137317.57</v>
      </c>
      <c r="N223" s="4">
        <v>0</v>
      </c>
      <c r="O223" s="4">
        <v>1060000</v>
      </c>
      <c r="P223" s="4">
        <v>0</v>
      </c>
      <c r="Q223" s="4">
        <v>23513434.5</v>
      </c>
      <c r="R223" s="4">
        <v>7121810</v>
      </c>
      <c r="S223" s="4">
        <v>5644007</v>
      </c>
      <c r="T223" s="4">
        <v>20887594.859999999</v>
      </c>
      <c r="U223" s="4">
        <v>2560525</v>
      </c>
      <c r="V223" s="4"/>
      <c r="W223" s="284">
        <v>0</v>
      </c>
      <c r="X223" s="284">
        <v>0</v>
      </c>
      <c r="Y223" s="4">
        <v>1803840</v>
      </c>
      <c r="Z223" s="4">
        <v>2300803</v>
      </c>
      <c r="AA223" s="4">
        <v>8821363.3399999999</v>
      </c>
      <c r="AB223" s="4">
        <v>2343750</v>
      </c>
      <c r="AC223" s="4">
        <v>16316247</v>
      </c>
      <c r="AD223" s="4">
        <v>1050000</v>
      </c>
      <c r="AE223" s="4">
        <v>44836040.100000001</v>
      </c>
      <c r="AF223" s="4">
        <v>0</v>
      </c>
      <c r="AG223" s="4">
        <v>30637565.036477998</v>
      </c>
      <c r="AH223" s="4">
        <v>1438841.0222999789</v>
      </c>
    </row>
    <row r="224" spans="1:34" x14ac:dyDescent="0.3">
      <c r="A224" s="256">
        <v>37056</v>
      </c>
      <c r="B224" s="4">
        <v>1250000</v>
      </c>
      <c r="C224" s="4">
        <v>2083768.15</v>
      </c>
      <c r="D224" s="4">
        <v>770244.5</v>
      </c>
      <c r="E224" s="4"/>
      <c r="F224" s="4"/>
      <c r="G224" s="4"/>
      <c r="H224" s="4">
        <v>0</v>
      </c>
      <c r="I224" s="4">
        <v>0</v>
      </c>
      <c r="J224" s="4"/>
      <c r="K224" s="4">
        <v>2.8312206268310547E-7</v>
      </c>
      <c r="L224" s="4">
        <v>0</v>
      </c>
      <c r="M224" s="4">
        <v>137317.57</v>
      </c>
      <c r="N224" s="4">
        <v>0</v>
      </c>
      <c r="O224" s="4">
        <v>1060000</v>
      </c>
      <c r="P224" s="4">
        <v>0</v>
      </c>
      <c r="Q224" s="4">
        <v>23513434.5</v>
      </c>
      <c r="R224" s="4">
        <v>7121810</v>
      </c>
      <c r="S224" s="4">
        <v>5644007</v>
      </c>
      <c r="T224" s="4">
        <v>20887594.859999999</v>
      </c>
      <c r="U224" s="4">
        <v>2560525</v>
      </c>
      <c r="V224" s="4"/>
      <c r="W224" s="284">
        <v>0</v>
      </c>
      <c r="X224" s="284">
        <v>0</v>
      </c>
      <c r="Y224" s="4">
        <v>1803840</v>
      </c>
      <c r="Z224" s="4">
        <v>2300803</v>
      </c>
      <c r="AA224" s="4">
        <v>8821363.3399999999</v>
      </c>
      <c r="AB224" s="4">
        <v>2343750</v>
      </c>
      <c r="AC224" s="4">
        <v>16316247</v>
      </c>
      <c r="AD224" s="4">
        <v>1050000</v>
      </c>
      <c r="AE224" s="4">
        <v>44836040.100000001</v>
      </c>
      <c r="AF224" s="4">
        <v>0</v>
      </c>
      <c r="AG224" s="4">
        <v>30637565.036477998</v>
      </c>
      <c r="AH224" s="4">
        <v>1424186.0799470183</v>
      </c>
    </row>
    <row r="225" spans="1:34" x14ac:dyDescent="0.3">
      <c r="A225" s="256">
        <v>37057</v>
      </c>
      <c r="B225" s="4">
        <v>1250000</v>
      </c>
      <c r="C225" s="4">
        <v>2083768.15</v>
      </c>
      <c r="D225" s="4">
        <v>770244.5</v>
      </c>
      <c r="E225" s="4"/>
      <c r="F225" s="4"/>
      <c r="G225" s="4"/>
      <c r="H225" s="4">
        <v>0</v>
      </c>
      <c r="I225" s="4">
        <v>0</v>
      </c>
      <c r="J225" s="4"/>
      <c r="K225" s="4">
        <v>2.8312206268310547E-7</v>
      </c>
      <c r="L225" s="4">
        <v>0</v>
      </c>
      <c r="M225" s="4">
        <v>137317.57</v>
      </c>
      <c r="N225" s="4">
        <v>0</v>
      </c>
      <c r="O225" s="4">
        <v>1060000</v>
      </c>
      <c r="P225" s="4">
        <v>0</v>
      </c>
      <c r="Q225" s="4">
        <v>23513434.5</v>
      </c>
      <c r="R225" s="4">
        <v>7121810</v>
      </c>
      <c r="S225" s="4">
        <v>5644007</v>
      </c>
      <c r="T225" s="4">
        <v>20887594.859999999</v>
      </c>
      <c r="U225" s="4">
        <v>2560525</v>
      </c>
      <c r="V225" s="4"/>
      <c r="W225" s="284">
        <v>0</v>
      </c>
      <c r="X225" s="284">
        <v>0</v>
      </c>
      <c r="Y225" s="4">
        <v>1803840</v>
      </c>
      <c r="Z225" s="4">
        <v>2300803</v>
      </c>
      <c r="AA225" s="4">
        <v>8821363.3399999999</v>
      </c>
      <c r="AB225" s="4">
        <v>2343750</v>
      </c>
      <c r="AC225" s="4">
        <v>16316247</v>
      </c>
      <c r="AD225" s="4">
        <v>1050000</v>
      </c>
      <c r="AE225" s="4">
        <v>44836040.100000001</v>
      </c>
      <c r="AF225" s="4">
        <v>0</v>
      </c>
      <c r="AG225" s="4">
        <v>30637565.036477998</v>
      </c>
      <c r="AH225" s="4">
        <v>1422913.4868745841</v>
      </c>
    </row>
    <row r="226" spans="1:34" x14ac:dyDescent="0.3">
      <c r="A226" s="256">
        <v>37060</v>
      </c>
      <c r="B226" s="4">
        <v>1250000</v>
      </c>
      <c r="C226" s="4">
        <v>2083768.15</v>
      </c>
      <c r="D226" s="4">
        <v>770244.5</v>
      </c>
      <c r="E226" s="4"/>
      <c r="F226" s="4"/>
      <c r="G226" s="4"/>
      <c r="H226" s="4">
        <v>0</v>
      </c>
      <c r="I226" s="4">
        <v>0</v>
      </c>
      <c r="J226" s="4"/>
      <c r="K226" s="4">
        <v>2.8312206268310547E-7</v>
      </c>
      <c r="L226" s="4">
        <v>0</v>
      </c>
      <c r="M226" s="4">
        <v>137317.57</v>
      </c>
      <c r="N226" s="4">
        <v>0</v>
      </c>
      <c r="O226" s="4">
        <v>1060000</v>
      </c>
      <c r="P226" s="4">
        <v>0</v>
      </c>
      <c r="Q226" s="4">
        <v>23513434.5</v>
      </c>
      <c r="R226" s="4">
        <v>7121810</v>
      </c>
      <c r="S226" s="4">
        <v>5644007</v>
      </c>
      <c r="T226" s="4">
        <v>20887594.859999999</v>
      </c>
      <c r="U226" s="4">
        <v>2560525</v>
      </c>
      <c r="V226" s="4"/>
      <c r="W226" s="284">
        <v>0</v>
      </c>
      <c r="X226" s="284">
        <v>0</v>
      </c>
      <c r="Y226" s="4">
        <v>1803840</v>
      </c>
      <c r="Z226" s="4">
        <v>2300803</v>
      </c>
      <c r="AA226" s="4">
        <v>8821363.3399999999</v>
      </c>
      <c r="AB226" s="4">
        <v>2343750</v>
      </c>
      <c r="AC226" s="4">
        <v>16316247</v>
      </c>
      <c r="AD226" s="4">
        <v>1050000</v>
      </c>
      <c r="AE226" s="4">
        <v>44836040.100000001</v>
      </c>
      <c r="AF226" s="4">
        <v>0</v>
      </c>
      <c r="AG226" s="4">
        <v>30637565.036477998</v>
      </c>
      <c r="AH226" s="4">
        <v>1429061.692152885</v>
      </c>
    </row>
    <row r="227" spans="1:34" x14ac:dyDescent="0.3">
      <c r="A227" s="256">
        <v>37061</v>
      </c>
      <c r="B227" s="4">
        <v>1250000</v>
      </c>
      <c r="C227" s="4">
        <v>2083768.15</v>
      </c>
      <c r="D227" s="4">
        <v>770244.5</v>
      </c>
      <c r="E227" s="4"/>
      <c r="F227" s="4"/>
      <c r="G227" s="4"/>
      <c r="H227" s="4">
        <v>0</v>
      </c>
      <c r="I227" s="4">
        <v>0</v>
      </c>
      <c r="J227" s="4"/>
      <c r="K227" s="4">
        <v>2.8312206268310547E-7</v>
      </c>
      <c r="L227" s="4">
        <v>0</v>
      </c>
      <c r="M227" s="4">
        <v>137317.57</v>
      </c>
      <c r="N227" s="4">
        <v>0</v>
      </c>
      <c r="O227" s="4">
        <v>1060000</v>
      </c>
      <c r="P227" s="4">
        <v>0</v>
      </c>
      <c r="Q227" s="4">
        <v>23513434.5</v>
      </c>
      <c r="R227" s="4">
        <v>7121810</v>
      </c>
      <c r="S227" s="4">
        <v>5644007</v>
      </c>
      <c r="T227" s="4">
        <v>20887594.859999999</v>
      </c>
      <c r="U227" s="4">
        <v>2560525</v>
      </c>
      <c r="V227" s="4"/>
      <c r="W227" s="284">
        <v>0</v>
      </c>
      <c r="X227" s="284">
        <v>0</v>
      </c>
      <c r="Y227" s="4">
        <v>1803840</v>
      </c>
      <c r="Z227" s="4">
        <v>2300803</v>
      </c>
      <c r="AA227" s="4">
        <v>8821363.3399999999</v>
      </c>
      <c r="AB227" s="4">
        <v>2343750</v>
      </c>
      <c r="AC227" s="4">
        <v>16316247</v>
      </c>
      <c r="AD227" s="4">
        <v>1050000</v>
      </c>
      <c r="AE227" s="4">
        <v>44836040.100000001</v>
      </c>
      <c r="AF227" s="4">
        <v>0</v>
      </c>
      <c r="AG227" s="4">
        <v>30637565.036477998</v>
      </c>
      <c r="AH227" s="4">
        <v>1408731.4570091285</v>
      </c>
    </row>
    <row r="228" spans="1:34" x14ac:dyDescent="0.3">
      <c r="A228" s="256">
        <v>37062</v>
      </c>
      <c r="B228" s="4">
        <v>1250000</v>
      </c>
      <c r="C228" s="4">
        <v>2083768.15</v>
      </c>
      <c r="D228" s="4">
        <v>770244.5</v>
      </c>
      <c r="E228" s="4"/>
      <c r="F228" s="4"/>
      <c r="G228" s="4"/>
      <c r="H228" s="4">
        <v>0</v>
      </c>
      <c r="I228" s="4">
        <v>0</v>
      </c>
      <c r="J228" s="4"/>
      <c r="K228" s="4">
        <v>2.8312206268310547E-7</v>
      </c>
      <c r="L228" s="4">
        <v>0</v>
      </c>
      <c r="M228" s="4">
        <v>137317.57</v>
      </c>
      <c r="N228" s="4">
        <v>0</v>
      </c>
      <c r="O228" s="4">
        <v>1060000</v>
      </c>
      <c r="P228" s="4">
        <v>0</v>
      </c>
      <c r="Q228" s="4">
        <v>23513434.5</v>
      </c>
      <c r="R228" s="4">
        <v>7121810</v>
      </c>
      <c r="S228" s="4">
        <v>5644007</v>
      </c>
      <c r="T228" s="4">
        <v>20887594.859999999</v>
      </c>
      <c r="U228" s="4">
        <v>2560525</v>
      </c>
      <c r="V228" s="4"/>
      <c r="W228" s="284">
        <v>0</v>
      </c>
      <c r="X228" s="284">
        <v>0</v>
      </c>
      <c r="Y228" s="4">
        <v>1803840</v>
      </c>
      <c r="Z228" s="4">
        <v>2300803</v>
      </c>
      <c r="AA228" s="4">
        <v>8821363.3399999999</v>
      </c>
      <c r="AB228" s="4">
        <v>2343750</v>
      </c>
      <c r="AC228" s="4">
        <v>16316247</v>
      </c>
      <c r="AD228" s="4">
        <v>1050000</v>
      </c>
      <c r="AE228" s="4">
        <v>44836040.100000001</v>
      </c>
      <c r="AF228" s="4">
        <v>0</v>
      </c>
      <c r="AG228" s="4">
        <v>30637565.036477998</v>
      </c>
      <c r="AH228" s="4">
        <v>1396976.0302107015</v>
      </c>
    </row>
    <row r="229" spans="1:34" x14ac:dyDescent="0.3">
      <c r="A229" s="256">
        <v>37063</v>
      </c>
      <c r="B229" s="4">
        <v>1250000</v>
      </c>
      <c r="C229" s="4">
        <v>2083768.15</v>
      </c>
      <c r="D229" s="4">
        <v>770244.5</v>
      </c>
      <c r="E229" s="4"/>
      <c r="F229" s="4"/>
      <c r="G229" s="4"/>
      <c r="H229" s="4">
        <v>0</v>
      </c>
      <c r="I229" s="4">
        <v>0</v>
      </c>
      <c r="J229" s="4"/>
      <c r="K229" s="4">
        <v>2.8312206268310547E-7</v>
      </c>
      <c r="L229" s="4">
        <v>0</v>
      </c>
      <c r="M229" s="4">
        <v>137317.57</v>
      </c>
      <c r="N229" s="4">
        <v>0</v>
      </c>
      <c r="O229" s="4">
        <v>1060000</v>
      </c>
      <c r="P229" s="4">
        <v>0</v>
      </c>
      <c r="Q229" s="4">
        <v>23513434.5</v>
      </c>
      <c r="R229" s="4">
        <v>7121810</v>
      </c>
      <c r="S229" s="4">
        <v>5644007</v>
      </c>
      <c r="T229" s="4">
        <v>20887594.859999999</v>
      </c>
      <c r="U229" s="4">
        <v>2560525</v>
      </c>
      <c r="V229" s="4"/>
      <c r="W229" s="284">
        <v>0</v>
      </c>
      <c r="X229" s="284">
        <v>0</v>
      </c>
      <c r="Y229" s="4">
        <v>1803840</v>
      </c>
      <c r="Z229" s="4">
        <v>2300803</v>
      </c>
      <c r="AA229" s="4">
        <v>8821363.3399999999</v>
      </c>
      <c r="AB229" s="4">
        <v>2343750</v>
      </c>
      <c r="AC229" s="4">
        <v>16316247</v>
      </c>
      <c r="AD229" s="4">
        <v>1050000</v>
      </c>
      <c r="AE229" s="4">
        <v>44836040.100000001</v>
      </c>
      <c r="AF229" s="4">
        <v>0</v>
      </c>
      <c r="AG229" s="4">
        <v>30637565.036477998</v>
      </c>
      <c r="AH229" s="4">
        <v>1390199.4839826117</v>
      </c>
    </row>
    <row r="230" spans="1:34" x14ac:dyDescent="0.3">
      <c r="A230" s="256">
        <v>37064</v>
      </c>
      <c r="B230" s="4">
        <v>1250000</v>
      </c>
      <c r="C230" s="4">
        <v>2083768.15</v>
      </c>
      <c r="D230" s="4">
        <v>770244.5</v>
      </c>
      <c r="E230" s="4"/>
      <c r="F230" s="4"/>
      <c r="G230" s="4"/>
      <c r="H230" s="4">
        <v>0</v>
      </c>
      <c r="I230" s="4">
        <v>0</v>
      </c>
      <c r="J230" s="4"/>
      <c r="K230" s="4">
        <v>2.8312206268310547E-7</v>
      </c>
      <c r="L230" s="4">
        <v>0</v>
      </c>
      <c r="M230" s="4">
        <v>137317.57</v>
      </c>
      <c r="N230" s="4">
        <v>0</v>
      </c>
      <c r="O230" s="4">
        <v>1060000</v>
      </c>
      <c r="P230" s="4">
        <v>0</v>
      </c>
      <c r="Q230" s="4">
        <v>23513434.5</v>
      </c>
      <c r="R230" s="4">
        <v>7121810</v>
      </c>
      <c r="S230" s="4">
        <v>5644007</v>
      </c>
      <c r="T230" s="4">
        <v>20887594.859999999</v>
      </c>
      <c r="U230" s="4">
        <v>2560525</v>
      </c>
      <c r="V230" s="4"/>
      <c r="W230" s="284">
        <v>0</v>
      </c>
      <c r="X230" s="284">
        <v>0</v>
      </c>
      <c r="Y230" s="4">
        <v>1803840</v>
      </c>
      <c r="Z230" s="4">
        <v>2300803</v>
      </c>
      <c r="AA230" s="4">
        <v>8821363.3399999999</v>
      </c>
      <c r="AB230" s="4">
        <v>2343750</v>
      </c>
      <c r="AC230" s="4">
        <v>16316247</v>
      </c>
      <c r="AD230" s="4">
        <v>1050000</v>
      </c>
      <c r="AE230" s="4">
        <v>44836040.100000001</v>
      </c>
      <c r="AF230" s="4">
        <v>0</v>
      </c>
      <c r="AG230" s="4">
        <v>30637565.036477998</v>
      </c>
      <c r="AH230" s="4">
        <v>1379259.4571533659</v>
      </c>
    </row>
    <row r="231" spans="1:34" x14ac:dyDescent="0.3">
      <c r="A231" s="256">
        <v>37067</v>
      </c>
      <c r="B231" s="4">
        <v>1250000</v>
      </c>
      <c r="C231" s="4">
        <v>2083768.15</v>
      </c>
      <c r="D231" s="4">
        <v>770244.5</v>
      </c>
      <c r="E231" s="4"/>
      <c r="F231" s="4"/>
      <c r="G231" s="4"/>
      <c r="H231" s="4">
        <v>0</v>
      </c>
      <c r="I231" s="4">
        <v>0</v>
      </c>
      <c r="J231" s="4"/>
      <c r="K231" s="4">
        <v>2.8312206268310547E-7</v>
      </c>
      <c r="L231" s="4">
        <v>0</v>
      </c>
      <c r="M231" s="4">
        <v>137317.57</v>
      </c>
      <c r="N231" s="4">
        <v>0</v>
      </c>
      <c r="O231" s="4">
        <v>1060000</v>
      </c>
      <c r="P231" s="4">
        <v>0</v>
      </c>
      <c r="Q231" s="4">
        <v>23513434.5</v>
      </c>
      <c r="R231" s="4">
        <v>7121810</v>
      </c>
      <c r="S231" s="4">
        <v>5644007</v>
      </c>
      <c r="T231" s="4">
        <v>20887594.859999999</v>
      </c>
      <c r="U231" s="4">
        <v>2560525</v>
      </c>
      <c r="V231" s="4"/>
      <c r="W231" s="284">
        <v>0</v>
      </c>
      <c r="X231" s="284">
        <v>0</v>
      </c>
      <c r="Y231" s="4">
        <v>1803840</v>
      </c>
      <c r="Z231" s="4">
        <v>2300803</v>
      </c>
      <c r="AA231" s="4">
        <v>8821363.3399999999</v>
      </c>
      <c r="AB231" s="4">
        <v>2343750</v>
      </c>
      <c r="AC231" s="4">
        <v>16316247</v>
      </c>
      <c r="AD231" s="4">
        <v>1050000</v>
      </c>
      <c r="AE231" s="4">
        <v>44836040.100000001</v>
      </c>
      <c r="AF231" s="4">
        <v>0</v>
      </c>
      <c r="AG231" s="4">
        <v>30637565.036477998</v>
      </c>
      <c r="AH231" s="4">
        <v>1376913.958579988</v>
      </c>
    </row>
    <row r="232" spans="1:34" x14ac:dyDescent="0.3">
      <c r="A232" s="256">
        <v>37068</v>
      </c>
      <c r="B232" s="4">
        <v>1250000</v>
      </c>
      <c r="C232" s="4">
        <v>2083768.15</v>
      </c>
      <c r="D232" s="4">
        <v>770244.5</v>
      </c>
      <c r="E232" s="4"/>
      <c r="F232" s="4"/>
      <c r="G232" s="4"/>
      <c r="H232" s="4">
        <v>0</v>
      </c>
      <c r="I232" s="4">
        <v>0</v>
      </c>
      <c r="J232" s="4"/>
      <c r="K232" s="4">
        <v>2.8312206268310547E-7</v>
      </c>
      <c r="L232" s="4">
        <v>0</v>
      </c>
      <c r="M232" s="4">
        <v>137317.57</v>
      </c>
      <c r="N232" s="4">
        <v>0</v>
      </c>
      <c r="O232" s="4">
        <v>1060000</v>
      </c>
      <c r="P232" s="4">
        <v>0</v>
      </c>
      <c r="Q232" s="4">
        <v>23513434.5</v>
      </c>
      <c r="R232" s="4">
        <v>7121810</v>
      </c>
      <c r="S232" s="4">
        <v>5644007</v>
      </c>
      <c r="T232" s="4">
        <v>20887594.859999999</v>
      </c>
      <c r="U232" s="4">
        <v>2560525</v>
      </c>
      <c r="V232" s="4"/>
      <c r="W232" s="284">
        <v>0</v>
      </c>
      <c r="X232" s="284">
        <v>0</v>
      </c>
      <c r="Y232" s="4">
        <v>1803840</v>
      </c>
      <c r="Z232" s="4">
        <v>2300803</v>
      </c>
      <c r="AA232" s="4">
        <v>8821363.3399999999</v>
      </c>
      <c r="AB232" s="4">
        <v>2343750</v>
      </c>
      <c r="AC232" s="4">
        <v>16316247</v>
      </c>
      <c r="AD232" s="4">
        <v>1050000</v>
      </c>
      <c r="AE232" s="4">
        <v>44836040.100000001</v>
      </c>
      <c r="AF232" s="4">
        <v>0</v>
      </c>
      <c r="AG232" s="4">
        <v>30637565.036477998</v>
      </c>
      <c r="AH232" s="4">
        <v>1391580.1466080057</v>
      </c>
    </row>
    <row r="233" spans="1:34" x14ac:dyDescent="0.3">
      <c r="A233" s="256">
        <v>37069</v>
      </c>
      <c r="B233" s="4">
        <v>1250000</v>
      </c>
      <c r="C233" s="4">
        <v>2083768.15</v>
      </c>
      <c r="D233" s="4">
        <v>770244.5</v>
      </c>
      <c r="E233" s="4"/>
      <c r="F233" s="4"/>
      <c r="G233" s="4"/>
      <c r="H233" s="4">
        <v>0</v>
      </c>
      <c r="I233" s="4">
        <v>0</v>
      </c>
      <c r="J233" s="4"/>
      <c r="K233" s="4">
        <v>2.8312206268310547E-7</v>
      </c>
      <c r="L233" s="4">
        <v>0</v>
      </c>
      <c r="M233" s="4">
        <v>137317.57</v>
      </c>
      <c r="N233" s="4">
        <v>0</v>
      </c>
      <c r="O233" s="4">
        <v>1060000</v>
      </c>
      <c r="P233" s="4">
        <v>0</v>
      </c>
      <c r="Q233" s="4">
        <v>23513434.5</v>
      </c>
      <c r="R233" s="4">
        <v>7121810</v>
      </c>
      <c r="S233" s="4">
        <v>5644007</v>
      </c>
      <c r="T233" s="4">
        <v>20887594.859999999</v>
      </c>
      <c r="U233" s="4">
        <v>2560525</v>
      </c>
      <c r="V233" s="4"/>
      <c r="W233" s="284">
        <v>0</v>
      </c>
      <c r="X233" s="284">
        <v>0</v>
      </c>
      <c r="Y233" s="4">
        <v>1803840</v>
      </c>
      <c r="Z233" s="4">
        <v>2300803</v>
      </c>
      <c r="AA233" s="4">
        <v>8821363.3399999999</v>
      </c>
      <c r="AB233" s="4">
        <v>2343750</v>
      </c>
      <c r="AC233" s="4">
        <v>16316247</v>
      </c>
      <c r="AD233" s="4">
        <v>1050000</v>
      </c>
      <c r="AE233" s="4">
        <v>44836040.100000001</v>
      </c>
      <c r="AF233" s="4">
        <v>0</v>
      </c>
      <c r="AG233" s="4">
        <v>30637565.036477998</v>
      </c>
      <c r="AH233" s="4">
        <v>1380525.4920768992</v>
      </c>
    </row>
    <row r="234" spans="1:34" x14ac:dyDescent="0.3">
      <c r="A234" s="256">
        <v>37070</v>
      </c>
      <c r="B234" s="4">
        <v>1250000</v>
      </c>
      <c r="C234" s="4">
        <v>2083768.15</v>
      </c>
      <c r="D234" s="4">
        <v>770244.5</v>
      </c>
      <c r="E234" s="4"/>
      <c r="F234" s="4"/>
      <c r="G234" s="4"/>
      <c r="H234" s="4">
        <v>0</v>
      </c>
      <c r="I234" s="4">
        <v>0</v>
      </c>
      <c r="J234" s="4"/>
      <c r="K234" s="4">
        <v>2.8312206268310547E-7</v>
      </c>
      <c r="L234" s="4">
        <v>0</v>
      </c>
      <c r="M234" s="4">
        <v>137317.57</v>
      </c>
      <c r="N234" s="4">
        <v>0</v>
      </c>
      <c r="O234" s="4">
        <v>1060000</v>
      </c>
      <c r="P234" s="4">
        <v>0</v>
      </c>
      <c r="Q234" s="4">
        <v>10125000</v>
      </c>
      <c r="R234" s="4">
        <v>7121810</v>
      </c>
      <c r="S234" s="4">
        <v>5644007</v>
      </c>
      <c r="T234" s="4">
        <v>20887594.860000003</v>
      </c>
      <c r="U234" s="4">
        <v>2560525</v>
      </c>
      <c r="V234" s="4"/>
      <c r="W234" s="284">
        <v>0</v>
      </c>
      <c r="X234" s="284">
        <v>0</v>
      </c>
      <c r="Y234" s="4">
        <v>1803840</v>
      </c>
      <c r="Z234" s="4">
        <v>2300803</v>
      </c>
      <c r="AA234" s="4">
        <v>8821363.3399999999</v>
      </c>
      <c r="AB234" s="4">
        <v>2343750</v>
      </c>
      <c r="AC234" s="4">
        <v>16316247</v>
      </c>
      <c r="AD234" s="4">
        <v>1050000</v>
      </c>
      <c r="AE234" s="4">
        <v>44836040.100000001</v>
      </c>
      <c r="AF234" s="4">
        <v>0</v>
      </c>
      <c r="AG234" s="4">
        <v>30637565.036477998</v>
      </c>
      <c r="AH234" s="4">
        <v>1372196.9540298355</v>
      </c>
    </row>
    <row r="235" spans="1:34" x14ac:dyDescent="0.3">
      <c r="A235" s="256">
        <v>37071</v>
      </c>
      <c r="B235" s="4">
        <v>1250000</v>
      </c>
      <c r="C235" s="4">
        <v>1209030.26</v>
      </c>
      <c r="D235" s="4">
        <v>770244.5</v>
      </c>
      <c r="E235" s="4"/>
      <c r="F235" s="4"/>
      <c r="G235" s="4"/>
      <c r="H235" s="4">
        <v>0</v>
      </c>
      <c r="I235" s="4">
        <v>0</v>
      </c>
      <c r="J235" s="4"/>
      <c r="K235" s="4">
        <v>2.8312206268310547E-7</v>
      </c>
      <c r="L235" s="4">
        <v>0</v>
      </c>
      <c r="M235" s="4">
        <v>137317.57</v>
      </c>
      <c r="N235" s="4">
        <v>0</v>
      </c>
      <c r="O235" s="4">
        <v>1100000</v>
      </c>
      <c r="P235" s="4">
        <v>0</v>
      </c>
      <c r="Q235" s="4">
        <v>10125000</v>
      </c>
      <c r="R235" s="4">
        <v>7121810</v>
      </c>
      <c r="S235" s="4">
        <v>5644007</v>
      </c>
      <c r="T235" s="4">
        <v>20887594.860000003</v>
      </c>
      <c r="U235" s="4">
        <v>2560525</v>
      </c>
      <c r="V235" s="4"/>
      <c r="W235" s="284">
        <v>0</v>
      </c>
      <c r="X235" s="284">
        <v>0</v>
      </c>
      <c r="Y235" s="4">
        <v>1803840</v>
      </c>
      <c r="Z235" s="4">
        <v>2300803</v>
      </c>
      <c r="AA235" s="4">
        <v>8971988.3399999999</v>
      </c>
      <c r="AB235" s="4">
        <v>2343750</v>
      </c>
      <c r="AC235" s="4">
        <v>16316247</v>
      </c>
      <c r="AD235" s="4">
        <v>1050000</v>
      </c>
      <c r="AE235" s="4">
        <v>44836040.100000001</v>
      </c>
      <c r="AF235" s="4">
        <v>0</v>
      </c>
      <c r="AG235" s="4">
        <v>0</v>
      </c>
      <c r="AH235" s="4">
        <v>844972.27602732729</v>
      </c>
    </row>
    <row r="236" spans="1:34" x14ac:dyDescent="0.3">
      <c r="A236" s="256">
        <v>37083</v>
      </c>
      <c r="B236" s="4">
        <v>1250000</v>
      </c>
      <c r="C236" s="4">
        <v>1209030.26</v>
      </c>
      <c r="D236" s="4">
        <v>770244.5</v>
      </c>
      <c r="E236" s="4"/>
      <c r="F236" s="4"/>
      <c r="G236" s="4"/>
      <c r="H236" s="4">
        <v>0</v>
      </c>
      <c r="I236" s="4">
        <v>0</v>
      </c>
      <c r="J236" s="4"/>
      <c r="K236" s="4">
        <v>2.8312206268310547E-7</v>
      </c>
      <c r="L236" s="4">
        <v>0</v>
      </c>
      <c r="M236" s="4">
        <v>137317.57</v>
      </c>
      <c r="N236" s="4">
        <v>0</v>
      </c>
      <c r="O236" s="4">
        <v>1100000</v>
      </c>
      <c r="P236" s="4">
        <v>0</v>
      </c>
      <c r="Q236" s="4">
        <v>10125000</v>
      </c>
      <c r="R236" s="4">
        <v>7121810</v>
      </c>
      <c r="S236" s="4">
        <v>5644007</v>
      </c>
      <c r="T236" s="4">
        <v>20887594.860000003</v>
      </c>
      <c r="U236" s="4">
        <v>2560525</v>
      </c>
      <c r="V236" s="4"/>
      <c r="W236" s="284">
        <v>0</v>
      </c>
      <c r="X236" s="284">
        <v>0</v>
      </c>
      <c r="Y236" s="4">
        <v>1803840</v>
      </c>
      <c r="Z236" s="4">
        <v>2300803</v>
      </c>
      <c r="AA236" s="4">
        <v>8971988.3399999999</v>
      </c>
      <c r="AB236" s="4">
        <v>2343750</v>
      </c>
      <c r="AC236" s="4">
        <v>16316247</v>
      </c>
      <c r="AD236" s="4">
        <v>1050000</v>
      </c>
      <c r="AE236" s="4">
        <v>44836040.100000001</v>
      </c>
      <c r="AF236" s="4">
        <v>0</v>
      </c>
      <c r="AG236" s="4">
        <v>0</v>
      </c>
      <c r="AH236" s="4">
        <v>844972.27602732729</v>
      </c>
    </row>
    <row r="237" spans="1:34" x14ac:dyDescent="0.3">
      <c r="A237" s="256">
        <v>37084</v>
      </c>
      <c r="B237" s="4">
        <v>1250000</v>
      </c>
      <c r="C237" s="4">
        <v>1209030.26</v>
      </c>
      <c r="D237" s="4">
        <v>770244.5</v>
      </c>
      <c r="E237" s="4"/>
      <c r="F237" s="4"/>
      <c r="G237" s="4"/>
      <c r="H237" s="4">
        <v>0</v>
      </c>
      <c r="I237" s="4">
        <v>0</v>
      </c>
      <c r="J237" s="4"/>
      <c r="K237" s="4">
        <v>2.8312206268310547E-7</v>
      </c>
      <c r="L237" s="4">
        <v>0</v>
      </c>
      <c r="M237" s="4">
        <v>137317.57</v>
      </c>
      <c r="N237" s="4">
        <v>0</v>
      </c>
      <c r="O237" s="4">
        <v>1100000</v>
      </c>
      <c r="P237" s="4">
        <v>0</v>
      </c>
      <c r="Q237" s="4">
        <v>10125000</v>
      </c>
      <c r="R237" s="4">
        <v>7121810</v>
      </c>
      <c r="S237" s="4">
        <v>5644007</v>
      </c>
      <c r="T237" s="4">
        <v>20887594.860000003</v>
      </c>
      <c r="U237" s="4">
        <v>2560525</v>
      </c>
      <c r="V237" s="4"/>
      <c r="W237" s="284">
        <v>0</v>
      </c>
      <c r="X237" s="284">
        <v>0</v>
      </c>
      <c r="Y237" s="4">
        <v>1803840</v>
      </c>
      <c r="Z237" s="4">
        <v>2300803</v>
      </c>
      <c r="AA237" s="4">
        <v>8971988.3399999999</v>
      </c>
      <c r="AB237" s="4">
        <v>2343750</v>
      </c>
      <c r="AC237" s="4">
        <v>16316247</v>
      </c>
      <c r="AD237" s="4">
        <v>1050000</v>
      </c>
      <c r="AE237" s="4">
        <v>44836040.100000001</v>
      </c>
      <c r="AF237" s="4">
        <v>0</v>
      </c>
      <c r="AG237" s="4">
        <v>0</v>
      </c>
      <c r="AH237" s="4">
        <v>843845.65754573036</v>
      </c>
    </row>
    <row r="238" spans="1:34" x14ac:dyDescent="0.3">
      <c r="A238" s="256">
        <v>37085</v>
      </c>
      <c r="B238" s="4">
        <v>1250000</v>
      </c>
      <c r="C238" s="4">
        <v>1209030.26</v>
      </c>
      <c r="D238" s="4">
        <v>770244.5</v>
      </c>
      <c r="E238" s="4"/>
      <c r="F238" s="4"/>
      <c r="G238" s="4"/>
      <c r="H238" s="4">
        <v>0</v>
      </c>
      <c r="I238" s="4">
        <v>0</v>
      </c>
      <c r="J238" s="4"/>
      <c r="K238" s="4">
        <v>2.8312206268310547E-7</v>
      </c>
      <c r="L238" s="4">
        <v>0</v>
      </c>
      <c r="M238" s="4">
        <v>137317.57</v>
      </c>
      <c r="N238" s="4">
        <v>0</v>
      </c>
      <c r="O238" s="4">
        <v>1100000</v>
      </c>
      <c r="P238" s="4">
        <v>0</v>
      </c>
      <c r="Q238" s="4">
        <v>10125000</v>
      </c>
      <c r="R238" s="4">
        <v>7121810</v>
      </c>
      <c r="S238" s="4">
        <v>5644007</v>
      </c>
      <c r="T238" s="4">
        <v>20887594.860000003</v>
      </c>
      <c r="U238" s="4">
        <v>2560525</v>
      </c>
      <c r="V238" s="4"/>
      <c r="W238" s="284">
        <v>0</v>
      </c>
      <c r="X238" s="284">
        <v>0</v>
      </c>
      <c r="Y238" s="4">
        <v>1803840</v>
      </c>
      <c r="Z238" s="4">
        <v>2300803</v>
      </c>
      <c r="AA238" s="4">
        <v>8971988.3399999999</v>
      </c>
      <c r="AB238" s="4">
        <v>2343750</v>
      </c>
      <c r="AC238" s="4">
        <v>16316247</v>
      </c>
      <c r="AD238" s="4">
        <v>1050000</v>
      </c>
      <c r="AE238" s="4">
        <v>44836040.100000001</v>
      </c>
      <c r="AF238" s="4">
        <v>0</v>
      </c>
      <c r="AG238" s="4">
        <v>0</v>
      </c>
      <c r="AH238" s="4">
        <v>844848.49896884663</v>
      </c>
    </row>
    <row r="239" spans="1:34" x14ac:dyDescent="0.3">
      <c r="A239" s="256">
        <v>37088</v>
      </c>
      <c r="B239" s="4">
        <v>1250000</v>
      </c>
      <c r="C239" s="4">
        <v>1209030.26</v>
      </c>
      <c r="D239" s="4">
        <v>770244.5</v>
      </c>
      <c r="E239" s="4"/>
      <c r="F239" s="4"/>
      <c r="G239" s="4"/>
      <c r="H239" s="4">
        <v>0</v>
      </c>
      <c r="I239" s="4">
        <v>0</v>
      </c>
      <c r="J239" s="4"/>
      <c r="K239" s="4">
        <v>2.8312206268310547E-7</v>
      </c>
      <c r="L239" s="4">
        <v>0</v>
      </c>
      <c r="M239" s="4">
        <v>137317.57</v>
      </c>
      <c r="N239" s="4">
        <v>0</v>
      </c>
      <c r="O239" s="4">
        <v>1100000</v>
      </c>
      <c r="P239" s="4">
        <v>0</v>
      </c>
      <c r="Q239" s="4">
        <v>10125000</v>
      </c>
      <c r="R239" s="4">
        <v>7121810</v>
      </c>
      <c r="S239" s="4">
        <v>5644007</v>
      </c>
      <c r="T239" s="4">
        <v>20887594.860000003</v>
      </c>
      <c r="U239" s="4">
        <v>2560525</v>
      </c>
      <c r="V239" s="4"/>
      <c r="W239" s="284">
        <v>0</v>
      </c>
      <c r="X239" s="284">
        <v>0</v>
      </c>
      <c r="Y239" s="4">
        <v>1803840</v>
      </c>
      <c r="Z239" s="4">
        <v>2300803</v>
      </c>
      <c r="AA239" s="4">
        <v>8971988.3399999999</v>
      </c>
      <c r="AB239" s="4">
        <v>2343750</v>
      </c>
      <c r="AC239" s="4">
        <v>16316247</v>
      </c>
      <c r="AD239" s="4">
        <v>1050000</v>
      </c>
      <c r="AE239" s="4">
        <v>44836040.100000001</v>
      </c>
      <c r="AF239" s="4">
        <v>0</v>
      </c>
      <c r="AG239" s="4">
        <v>0</v>
      </c>
      <c r="AH239" s="4">
        <v>844926.57350651431</v>
      </c>
    </row>
    <row r="240" spans="1:34" x14ac:dyDescent="0.3">
      <c r="A240" s="256">
        <v>37089</v>
      </c>
      <c r="B240" s="4">
        <v>1250000</v>
      </c>
      <c r="C240" s="4">
        <v>1209030.26</v>
      </c>
      <c r="D240" s="4">
        <v>770244.5</v>
      </c>
      <c r="E240" s="4"/>
      <c r="F240" s="4"/>
      <c r="G240" s="4"/>
      <c r="H240" s="4">
        <v>0</v>
      </c>
      <c r="I240" s="4">
        <v>0</v>
      </c>
      <c r="J240" s="4"/>
      <c r="K240" s="4">
        <v>2.8312206268310547E-7</v>
      </c>
      <c r="L240" s="4">
        <v>0</v>
      </c>
      <c r="M240" s="4">
        <v>137317.57</v>
      </c>
      <c r="N240" s="4">
        <v>0</v>
      </c>
      <c r="O240" s="4">
        <v>1100000</v>
      </c>
      <c r="P240" s="4">
        <v>0</v>
      </c>
      <c r="Q240" s="4">
        <v>10125000</v>
      </c>
      <c r="R240" s="4">
        <v>7121810</v>
      </c>
      <c r="S240" s="4">
        <v>5644007</v>
      </c>
      <c r="T240" s="4">
        <v>20887594.860000003</v>
      </c>
      <c r="U240" s="4">
        <v>2560525</v>
      </c>
      <c r="V240" s="4"/>
      <c r="W240" s="284">
        <v>0</v>
      </c>
      <c r="X240" s="284">
        <v>0</v>
      </c>
      <c r="Y240" s="4">
        <v>1803840</v>
      </c>
      <c r="Z240" s="4">
        <v>2300803</v>
      </c>
      <c r="AA240" s="4">
        <v>8971988.3399999999</v>
      </c>
      <c r="AB240" s="4">
        <v>2343750</v>
      </c>
      <c r="AC240" s="4">
        <v>16316247</v>
      </c>
      <c r="AD240" s="4">
        <v>1050000</v>
      </c>
      <c r="AE240" s="4">
        <v>44836040.100000001</v>
      </c>
      <c r="AF240" s="4">
        <v>0</v>
      </c>
      <c r="AG240" s="4">
        <v>0</v>
      </c>
      <c r="AH240" s="4">
        <v>844138.11970289063</v>
      </c>
    </row>
    <row r="241" spans="1:34" x14ac:dyDescent="0.3">
      <c r="A241" s="256">
        <v>37090</v>
      </c>
      <c r="B241" s="4">
        <v>1250000</v>
      </c>
      <c r="C241" s="4">
        <v>1209030.26</v>
      </c>
      <c r="D241" s="4">
        <v>770244.5</v>
      </c>
      <c r="E241" s="4"/>
      <c r="F241" s="4"/>
      <c r="G241" s="4"/>
      <c r="H241" s="4">
        <v>0</v>
      </c>
      <c r="I241" s="4">
        <v>0</v>
      </c>
      <c r="J241" s="4"/>
      <c r="K241" s="4">
        <v>2.8312206268310547E-7</v>
      </c>
      <c r="L241" s="4">
        <v>0</v>
      </c>
      <c r="M241" s="4">
        <v>137317.57</v>
      </c>
      <c r="N241" s="4">
        <v>0</v>
      </c>
      <c r="O241" s="4">
        <v>1100000</v>
      </c>
      <c r="P241" s="4">
        <v>0</v>
      </c>
      <c r="Q241" s="4">
        <v>10125000</v>
      </c>
      <c r="R241" s="4">
        <v>7121810</v>
      </c>
      <c r="S241" s="4">
        <v>5644007</v>
      </c>
      <c r="T241" s="4">
        <v>20887594.860000003</v>
      </c>
      <c r="U241" s="4">
        <v>2560525</v>
      </c>
      <c r="V241" s="4"/>
      <c r="W241" s="284">
        <v>0</v>
      </c>
      <c r="X241" s="284">
        <v>0</v>
      </c>
      <c r="Y241" s="4">
        <v>1803840</v>
      </c>
      <c r="Z241" s="4">
        <v>2300803</v>
      </c>
      <c r="AA241" s="4">
        <v>8971988.3399999999</v>
      </c>
      <c r="AB241" s="4">
        <v>2343750</v>
      </c>
      <c r="AC241" s="4">
        <v>16316247</v>
      </c>
      <c r="AD241" s="4">
        <v>1050000</v>
      </c>
      <c r="AE241" s="4">
        <v>44836040.100000001</v>
      </c>
      <c r="AF241" s="4">
        <v>0</v>
      </c>
      <c r="AG241" s="4">
        <v>0</v>
      </c>
      <c r="AH241" s="4">
        <v>843724.95400053891</v>
      </c>
    </row>
    <row r="242" spans="1:34" x14ac:dyDescent="0.3">
      <c r="A242" s="256">
        <v>37091</v>
      </c>
      <c r="B242" s="4">
        <v>1250000</v>
      </c>
      <c r="C242" s="4">
        <v>1209030.26</v>
      </c>
      <c r="D242" s="4">
        <v>770244.5</v>
      </c>
      <c r="E242" s="4"/>
      <c r="F242" s="4"/>
      <c r="G242" s="4"/>
      <c r="H242" s="4">
        <v>0</v>
      </c>
      <c r="I242" s="4">
        <v>0</v>
      </c>
      <c r="J242" s="4"/>
      <c r="K242" s="4">
        <v>2.8312206268310547E-7</v>
      </c>
      <c r="L242" s="4">
        <v>0</v>
      </c>
      <c r="M242" s="4">
        <v>137317.57</v>
      </c>
      <c r="N242" s="4">
        <v>0</v>
      </c>
      <c r="O242" s="4">
        <v>1100000</v>
      </c>
      <c r="P242" s="4">
        <v>0</v>
      </c>
      <c r="Q242" s="4">
        <v>10125000</v>
      </c>
      <c r="R242" s="4">
        <v>7121810</v>
      </c>
      <c r="S242" s="4">
        <v>5644007</v>
      </c>
      <c r="T242" s="4">
        <v>20887594.860000003</v>
      </c>
      <c r="U242" s="4">
        <v>2560525</v>
      </c>
      <c r="V242" s="4"/>
      <c r="W242" s="284">
        <v>0</v>
      </c>
      <c r="X242" s="284">
        <v>0</v>
      </c>
      <c r="Y242" s="4">
        <v>1803840</v>
      </c>
      <c r="Z242" s="4">
        <v>2300803</v>
      </c>
      <c r="AA242" s="4">
        <v>8971988.3399999999</v>
      </c>
      <c r="AB242" s="4">
        <v>2343750</v>
      </c>
      <c r="AC242" s="4">
        <v>16316247</v>
      </c>
      <c r="AD242" s="4">
        <v>1050000</v>
      </c>
      <c r="AE242" s="4">
        <v>44836040.100000001</v>
      </c>
      <c r="AF242" s="4">
        <v>0</v>
      </c>
      <c r="AG242" s="4">
        <v>0</v>
      </c>
      <c r="AH242" s="4">
        <v>843099.9935595378</v>
      </c>
    </row>
    <row r="243" spans="1:34" x14ac:dyDescent="0.3">
      <c r="A243" s="256">
        <v>37092</v>
      </c>
      <c r="B243" s="4">
        <v>1250000</v>
      </c>
      <c r="C243" s="4">
        <v>1209030.26</v>
      </c>
      <c r="D243" s="4">
        <v>770244.5</v>
      </c>
      <c r="E243" s="4"/>
      <c r="F243" s="4"/>
      <c r="G243" s="4"/>
      <c r="H243" s="4">
        <v>0</v>
      </c>
      <c r="I243" s="4">
        <v>0</v>
      </c>
      <c r="J243" s="4"/>
      <c r="K243" s="4">
        <v>2.8312206268310547E-7</v>
      </c>
      <c r="L243" s="4">
        <v>0</v>
      </c>
      <c r="M243" s="4">
        <v>137317.57</v>
      </c>
      <c r="N243" s="4">
        <v>0</v>
      </c>
      <c r="O243" s="4">
        <v>1100000</v>
      </c>
      <c r="P243" s="4">
        <v>0</v>
      </c>
      <c r="Q243" s="4">
        <v>10125000</v>
      </c>
      <c r="R243" s="4">
        <v>7121810</v>
      </c>
      <c r="S243" s="4">
        <v>5644007</v>
      </c>
      <c r="T243" s="4">
        <v>20887594.860000003</v>
      </c>
      <c r="U243" s="4">
        <v>2560525</v>
      </c>
      <c r="V243" s="4"/>
      <c r="W243" s="284">
        <v>0</v>
      </c>
      <c r="X243" s="284">
        <v>0</v>
      </c>
      <c r="Y243" s="4">
        <v>1803840</v>
      </c>
      <c r="Z243" s="4">
        <v>2300803</v>
      </c>
      <c r="AA243" s="4">
        <v>8971988.3399999999</v>
      </c>
      <c r="AB243" s="4">
        <v>2343750</v>
      </c>
      <c r="AC243" s="4">
        <v>16316247</v>
      </c>
      <c r="AD243" s="4">
        <v>1050000</v>
      </c>
      <c r="AE243" s="4">
        <v>44836040.100000001</v>
      </c>
      <c r="AF243" s="4">
        <v>0</v>
      </c>
      <c r="AG243" s="4">
        <v>0</v>
      </c>
      <c r="AH243" s="4">
        <v>843099.9935595378</v>
      </c>
    </row>
    <row r="244" spans="1:34" x14ac:dyDescent="0.3">
      <c r="A244" s="256">
        <v>37095</v>
      </c>
      <c r="B244" s="4">
        <v>1250000</v>
      </c>
      <c r="C244" s="4">
        <v>1209030.26</v>
      </c>
      <c r="D244" s="4">
        <v>770244.5</v>
      </c>
      <c r="E244" s="4"/>
      <c r="F244" s="4"/>
      <c r="G244" s="4"/>
      <c r="H244" s="4">
        <v>0</v>
      </c>
      <c r="I244" s="4">
        <v>0</v>
      </c>
      <c r="J244" s="4"/>
      <c r="K244" s="4">
        <v>2.8312206268310547E-7</v>
      </c>
      <c r="L244" s="4">
        <v>0</v>
      </c>
      <c r="M244" s="4">
        <v>137317.57</v>
      </c>
      <c r="N244" s="4">
        <v>0</v>
      </c>
      <c r="O244" s="4">
        <v>1100000</v>
      </c>
      <c r="P244" s="4">
        <v>0</v>
      </c>
      <c r="Q244" s="4">
        <v>10125000</v>
      </c>
      <c r="R244" s="4">
        <v>7121810</v>
      </c>
      <c r="S244" s="4">
        <v>5644007</v>
      </c>
      <c r="T244" s="4">
        <v>20887594.860000003</v>
      </c>
      <c r="U244" s="4">
        <v>2560525</v>
      </c>
      <c r="V244" s="4"/>
      <c r="W244" s="284">
        <v>0</v>
      </c>
      <c r="X244" s="284">
        <v>0</v>
      </c>
      <c r="Y244" s="4">
        <v>1803840</v>
      </c>
      <c r="Z244" s="4">
        <v>2300803</v>
      </c>
      <c r="AA244" s="4">
        <v>8971988.3399999999</v>
      </c>
      <c r="AB244" s="4">
        <v>2343750</v>
      </c>
      <c r="AC244" s="4">
        <v>16316247</v>
      </c>
      <c r="AD244" s="4">
        <v>1050000</v>
      </c>
      <c r="AE244" s="4">
        <v>44836040.100000001</v>
      </c>
      <c r="AF244" s="4">
        <v>0</v>
      </c>
      <c r="AG244" s="4">
        <v>0</v>
      </c>
      <c r="AH244" s="4">
        <v>842210.61924622254</v>
      </c>
    </row>
    <row r="245" spans="1:34" x14ac:dyDescent="0.3">
      <c r="A245" s="256">
        <v>37096</v>
      </c>
      <c r="B245" s="4">
        <v>1250000</v>
      </c>
      <c r="C245" s="4">
        <v>1209030.26</v>
      </c>
      <c r="D245" s="4">
        <v>770244.5</v>
      </c>
      <c r="E245" s="4"/>
      <c r="F245" s="4"/>
      <c r="G245" s="4"/>
      <c r="H245" s="4">
        <v>0</v>
      </c>
      <c r="I245" s="4">
        <v>0</v>
      </c>
      <c r="J245" s="4"/>
      <c r="K245" s="4">
        <v>2.8312206268310547E-7</v>
      </c>
      <c r="L245" s="4">
        <v>0</v>
      </c>
      <c r="M245" s="4">
        <v>137317.57</v>
      </c>
      <c r="N245" s="4">
        <v>0</v>
      </c>
      <c r="O245" s="4">
        <v>1100000</v>
      </c>
      <c r="P245" s="4">
        <v>0</v>
      </c>
      <c r="Q245" s="4">
        <v>10125000</v>
      </c>
      <c r="R245" s="4">
        <v>7121810</v>
      </c>
      <c r="S245" s="4">
        <v>5644007</v>
      </c>
      <c r="T245" s="4">
        <v>20887594.859999999</v>
      </c>
      <c r="U245" s="4">
        <v>2560525</v>
      </c>
      <c r="V245" s="4"/>
      <c r="W245" s="284">
        <v>0</v>
      </c>
      <c r="X245" s="284">
        <v>0</v>
      </c>
      <c r="Y245" s="4">
        <v>1803840</v>
      </c>
      <c r="Z245" s="4">
        <v>2300803</v>
      </c>
      <c r="AA245" s="4">
        <v>8971988.3399999999</v>
      </c>
      <c r="AB245" s="4">
        <v>2343750</v>
      </c>
      <c r="AC245" s="4">
        <v>16316247</v>
      </c>
      <c r="AD245" s="4">
        <v>1050000</v>
      </c>
      <c r="AE245" s="4">
        <v>44836040.100000001</v>
      </c>
      <c r="AF245" s="4">
        <v>0</v>
      </c>
      <c r="AG245" s="4">
        <v>0</v>
      </c>
      <c r="AH245" s="4">
        <v>841500.57039813115</v>
      </c>
    </row>
    <row r="246" spans="1:34" x14ac:dyDescent="0.3">
      <c r="A246" s="256">
        <v>37097</v>
      </c>
      <c r="B246" s="4">
        <v>1250000</v>
      </c>
      <c r="C246" s="4">
        <v>1209030.26</v>
      </c>
      <c r="D246" s="4">
        <v>770244.5</v>
      </c>
      <c r="E246" s="4"/>
      <c r="F246" s="4"/>
      <c r="G246" s="4"/>
      <c r="H246" s="4">
        <v>0</v>
      </c>
      <c r="I246" s="4">
        <v>0</v>
      </c>
      <c r="J246" s="4"/>
      <c r="K246" s="4">
        <v>2.8312206268310547E-7</v>
      </c>
      <c r="L246" s="4">
        <v>0</v>
      </c>
      <c r="M246" s="4">
        <v>137317.57</v>
      </c>
      <c r="N246" s="4">
        <v>0</v>
      </c>
      <c r="O246" s="4">
        <v>1100000</v>
      </c>
      <c r="P246" s="4">
        <v>0</v>
      </c>
      <c r="Q246" s="4">
        <v>10125000</v>
      </c>
      <c r="R246" s="4">
        <v>7121810</v>
      </c>
      <c r="S246" s="4">
        <v>5644007</v>
      </c>
      <c r="T246" s="4">
        <v>20887594.859999999</v>
      </c>
      <c r="U246" s="4">
        <v>2560525</v>
      </c>
      <c r="V246" s="4"/>
      <c r="W246" s="284">
        <v>0</v>
      </c>
      <c r="X246" s="284">
        <v>0</v>
      </c>
      <c r="Y246" s="4">
        <v>1803840</v>
      </c>
      <c r="Z246" s="4">
        <v>2300803</v>
      </c>
      <c r="AA246" s="4">
        <v>8971988.3399999999</v>
      </c>
      <c r="AB246" s="4">
        <v>2343750</v>
      </c>
      <c r="AC246" s="4">
        <v>16316247</v>
      </c>
      <c r="AD246" s="4">
        <v>1050000</v>
      </c>
      <c r="AE246" s="4">
        <v>44836040.100000001</v>
      </c>
      <c r="AF246" s="4">
        <v>0</v>
      </c>
      <c r="AG246" s="4">
        <v>0</v>
      </c>
      <c r="AH246" s="4">
        <v>840508.40161700267</v>
      </c>
    </row>
    <row r="247" spans="1:34" x14ac:dyDescent="0.3">
      <c r="A247" s="256">
        <v>37098</v>
      </c>
      <c r="B247" s="4">
        <v>1250000</v>
      </c>
      <c r="C247" s="4">
        <v>1209030.26</v>
      </c>
      <c r="D247" s="4">
        <v>770244.5</v>
      </c>
      <c r="E247" s="4"/>
      <c r="F247" s="4"/>
      <c r="G247" s="4"/>
      <c r="H247" s="4">
        <v>0</v>
      </c>
      <c r="I247" s="4">
        <v>0</v>
      </c>
      <c r="J247" s="4"/>
      <c r="K247" s="4">
        <v>2.8312206268310547E-7</v>
      </c>
      <c r="L247" s="4">
        <v>0</v>
      </c>
      <c r="M247" s="4">
        <v>137317.57</v>
      </c>
      <c r="N247" s="4">
        <v>0</v>
      </c>
      <c r="O247" s="4">
        <v>1100000</v>
      </c>
      <c r="P247" s="4">
        <v>0</v>
      </c>
      <c r="Q247" s="4">
        <v>10125000</v>
      </c>
      <c r="R247" s="4">
        <v>7121810</v>
      </c>
      <c r="S247" s="4">
        <v>5644007</v>
      </c>
      <c r="T247" s="4">
        <v>20887594.859999999</v>
      </c>
      <c r="U247" s="4">
        <v>2560525</v>
      </c>
      <c r="V247" s="4"/>
      <c r="W247" s="284">
        <v>0</v>
      </c>
      <c r="X247" s="284">
        <v>0</v>
      </c>
      <c r="Y247" s="4">
        <v>1803840</v>
      </c>
      <c r="Z247" s="4">
        <v>2300803</v>
      </c>
      <c r="AA247" s="4">
        <v>8971988.3399999999</v>
      </c>
      <c r="AB247" s="4">
        <v>2343750</v>
      </c>
      <c r="AC247" s="4">
        <v>16316247</v>
      </c>
      <c r="AD247" s="4">
        <v>1050000</v>
      </c>
      <c r="AE247" s="4">
        <v>44836040.100000001</v>
      </c>
      <c r="AF247" s="4">
        <v>0</v>
      </c>
      <c r="AG247" s="4">
        <v>0</v>
      </c>
      <c r="AH247" s="4">
        <v>840881.20882369741</v>
      </c>
    </row>
    <row r="248" spans="1:34" x14ac:dyDescent="0.3">
      <c r="A248" s="256">
        <v>37099</v>
      </c>
      <c r="B248" s="4">
        <v>1250000</v>
      </c>
      <c r="C248" s="4">
        <v>1209030.26</v>
      </c>
      <c r="D248" s="4">
        <v>770244.5</v>
      </c>
      <c r="E248" s="4"/>
      <c r="F248" s="4"/>
      <c r="G248" s="4"/>
      <c r="H248" s="4">
        <v>0</v>
      </c>
      <c r="I248" s="4">
        <v>0</v>
      </c>
      <c r="J248" s="4"/>
      <c r="K248" s="4">
        <v>2.8312206268310547E-7</v>
      </c>
      <c r="L248" s="4">
        <v>0</v>
      </c>
      <c r="M248" s="4">
        <v>137317.57</v>
      </c>
      <c r="N248" s="4">
        <v>0</v>
      </c>
      <c r="O248" s="4">
        <v>1100000</v>
      </c>
      <c r="P248" s="4">
        <v>0</v>
      </c>
      <c r="Q248" s="4">
        <v>10125000</v>
      </c>
      <c r="R248" s="4">
        <v>7121810</v>
      </c>
      <c r="S248" s="4">
        <v>5644007</v>
      </c>
      <c r="T248" s="4">
        <v>20887594.859999999</v>
      </c>
      <c r="U248" s="4">
        <v>2560525</v>
      </c>
      <c r="V248" s="4"/>
      <c r="W248" s="284">
        <v>0</v>
      </c>
      <c r="X248" s="284">
        <v>0</v>
      </c>
      <c r="Y248" s="4">
        <v>1803840</v>
      </c>
      <c r="Z248" s="4">
        <v>2300803</v>
      </c>
      <c r="AA248" s="4">
        <v>8971988.3399999999</v>
      </c>
      <c r="AB248" s="4">
        <v>2343750</v>
      </c>
      <c r="AC248" s="4">
        <v>16316247</v>
      </c>
      <c r="AD248" s="4">
        <v>1050000</v>
      </c>
      <c r="AE248" s="4">
        <v>44836040.100000001</v>
      </c>
      <c r="AF248" s="4">
        <v>0</v>
      </c>
      <c r="AG248" s="4">
        <v>0</v>
      </c>
      <c r="AH248" s="4">
        <v>840236.11571870046</v>
      </c>
    </row>
    <row r="249" spans="1:34" x14ac:dyDescent="0.3">
      <c r="A249" s="256">
        <v>37102</v>
      </c>
      <c r="B249" s="4">
        <v>1250000</v>
      </c>
      <c r="C249" s="4">
        <v>1209030.26</v>
      </c>
      <c r="D249" s="4">
        <v>770244.5</v>
      </c>
      <c r="E249" s="4"/>
      <c r="F249" s="4"/>
      <c r="G249" s="4"/>
      <c r="H249" s="4">
        <v>0</v>
      </c>
      <c r="I249" s="4">
        <v>0</v>
      </c>
      <c r="J249" s="4"/>
      <c r="K249" s="4">
        <v>2.8312206268310547E-7</v>
      </c>
      <c r="L249" s="4">
        <v>0</v>
      </c>
      <c r="M249" s="4">
        <v>137317.57</v>
      </c>
      <c r="N249" s="4">
        <v>0</v>
      </c>
      <c r="O249" s="4">
        <v>1100000</v>
      </c>
      <c r="P249" s="4">
        <v>0</v>
      </c>
      <c r="Q249" s="4">
        <v>10125000</v>
      </c>
      <c r="R249" s="4">
        <v>7121810</v>
      </c>
      <c r="S249" s="4">
        <v>5644007</v>
      </c>
      <c r="T249" s="4">
        <v>20887594.859999999</v>
      </c>
      <c r="U249" s="4">
        <v>2560525</v>
      </c>
      <c r="V249" s="4"/>
      <c r="W249" s="284">
        <v>0</v>
      </c>
      <c r="X249" s="284">
        <v>0</v>
      </c>
      <c r="Y249" s="4">
        <v>1803840</v>
      </c>
      <c r="Z249" s="4">
        <v>2300803</v>
      </c>
      <c r="AA249" s="4">
        <v>8971988.3399999999</v>
      </c>
      <c r="AB249" s="4">
        <v>2343750</v>
      </c>
      <c r="AC249" s="4">
        <v>16316247</v>
      </c>
      <c r="AD249" s="4">
        <v>1050000</v>
      </c>
      <c r="AE249" s="4">
        <v>44836040.100000001</v>
      </c>
      <c r="AF249" s="4">
        <v>0</v>
      </c>
      <c r="AG249" s="4">
        <v>0</v>
      </c>
      <c r="AH249" s="4">
        <v>842608.85012804868</v>
      </c>
    </row>
    <row r="250" spans="1:34" x14ac:dyDescent="0.3">
      <c r="A250" s="256">
        <v>37103</v>
      </c>
      <c r="B250" s="4">
        <v>1250000</v>
      </c>
      <c r="C250" s="4">
        <v>1209030.26</v>
      </c>
      <c r="D250" s="4">
        <v>770244.5</v>
      </c>
      <c r="E250" s="4"/>
      <c r="F250" s="4"/>
      <c r="G250" s="4"/>
      <c r="H250" s="4">
        <v>0</v>
      </c>
      <c r="I250" s="4">
        <v>0</v>
      </c>
      <c r="J250" s="4"/>
      <c r="K250" s="4">
        <v>2.8312206268310547E-7</v>
      </c>
      <c r="L250" s="4">
        <v>0</v>
      </c>
      <c r="M250" s="4">
        <v>137317.57</v>
      </c>
      <c r="N250" s="4">
        <v>0</v>
      </c>
      <c r="O250" s="4">
        <v>1100000</v>
      </c>
      <c r="P250" s="4">
        <v>0</v>
      </c>
      <c r="Q250" s="4">
        <v>10125000</v>
      </c>
      <c r="R250" s="4">
        <v>7121810</v>
      </c>
      <c r="S250" s="4">
        <v>5644007</v>
      </c>
      <c r="T250" s="4">
        <v>20887594.859999999</v>
      </c>
      <c r="U250" s="4">
        <v>2560525</v>
      </c>
      <c r="V250" s="4"/>
      <c r="W250" s="284">
        <v>0</v>
      </c>
      <c r="X250" s="284">
        <v>0</v>
      </c>
      <c r="Y250" s="4">
        <v>1803840</v>
      </c>
      <c r="Z250" s="4">
        <v>2300803</v>
      </c>
      <c r="AA250" s="4">
        <v>8971988.3399999999</v>
      </c>
      <c r="AB250" s="4">
        <v>2343750</v>
      </c>
      <c r="AC250" s="4">
        <v>16316247</v>
      </c>
      <c r="AD250" s="4">
        <v>1050000</v>
      </c>
      <c r="AE250" s="4">
        <v>44836040.100000001</v>
      </c>
      <c r="AF250" s="4">
        <v>0</v>
      </c>
      <c r="AG250" s="4">
        <v>0</v>
      </c>
      <c r="AH250" s="4">
        <v>841829.97624003014</v>
      </c>
    </row>
    <row r="251" spans="1:34" x14ac:dyDescent="0.3">
      <c r="A251" s="256">
        <v>37104</v>
      </c>
      <c r="B251" s="4">
        <v>1250000</v>
      </c>
      <c r="C251" s="4">
        <v>1209030.26</v>
      </c>
      <c r="D251" s="4">
        <v>770244.5</v>
      </c>
      <c r="E251" s="4"/>
      <c r="F251" s="4"/>
      <c r="G251" s="4"/>
      <c r="H251" s="4">
        <v>0</v>
      </c>
      <c r="I251" s="4">
        <v>0</v>
      </c>
      <c r="J251" s="4"/>
      <c r="K251" s="4">
        <v>2.8312206268310547E-7</v>
      </c>
      <c r="L251" s="4">
        <v>0</v>
      </c>
      <c r="M251" s="4">
        <v>137317.57</v>
      </c>
      <c r="N251" s="4">
        <v>0</v>
      </c>
      <c r="O251" s="4">
        <v>1100000</v>
      </c>
      <c r="P251" s="4">
        <v>0</v>
      </c>
      <c r="Q251" s="4">
        <v>10125000</v>
      </c>
      <c r="R251" s="4">
        <v>7121810</v>
      </c>
      <c r="S251" s="4">
        <v>5644007</v>
      </c>
      <c r="T251" s="4">
        <v>20887594.859999999</v>
      </c>
      <c r="U251" s="4">
        <v>2560525</v>
      </c>
      <c r="V251" s="4"/>
      <c r="W251" s="284">
        <v>0</v>
      </c>
      <c r="X251" s="284">
        <v>0</v>
      </c>
      <c r="Y251" s="4">
        <v>1803840</v>
      </c>
      <c r="Z251" s="4">
        <v>2300803</v>
      </c>
      <c r="AA251" s="4">
        <v>8971988.3399999999</v>
      </c>
      <c r="AB251" s="4">
        <v>2343750</v>
      </c>
      <c r="AC251" s="4">
        <v>16316247</v>
      </c>
      <c r="AD251" s="4">
        <v>1050000</v>
      </c>
      <c r="AE251" s="4">
        <v>44836040.100000001</v>
      </c>
      <c r="AF251" s="4">
        <v>0</v>
      </c>
      <c r="AG251" s="4">
        <v>0</v>
      </c>
      <c r="AH251" s="4">
        <v>841740.60499733628</v>
      </c>
    </row>
    <row r="252" spans="1:34" x14ac:dyDescent="0.3">
      <c r="A252" s="256">
        <v>37105</v>
      </c>
      <c r="B252" s="4">
        <v>1250000</v>
      </c>
      <c r="C252" s="4">
        <v>1209030.26</v>
      </c>
      <c r="D252" s="4">
        <v>770244.5</v>
      </c>
      <c r="E252" s="4"/>
      <c r="F252" s="4"/>
      <c r="G252" s="4"/>
      <c r="H252" s="4">
        <v>0</v>
      </c>
      <c r="I252" s="4">
        <v>0</v>
      </c>
      <c r="J252" s="4"/>
      <c r="K252" s="4">
        <v>2.8312206268310547E-7</v>
      </c>
      <c r="L252" s="4">
        <v>0</v>
      </c>
      <c r="M252" s="4">
        <v>137317.57</v>
      </c>
      <c r="N252" s="4">
        <v>0</v>
      </c>
      <c r="O252" s="4">
        <v>1100000</v>
      </c>
      <c r="P252" s="4">
        <v>0</v>
      </c>
      <c r="Q252" s="4">
        <v>10125000</v>
      </c>
      <c r="R252" s="4">
        <v>7121810</v>
      </c>
      <c r="S252" s="4">
        <v>5644007</v>
      </c>
      <c r="T252" s="4">
        <v>20887594.859999999</v>
      </c>
      <c r="U252" s="4">
        <v>2560525</v>
      </c>
      <c r="V252" s="4"/>
      <c r="W252" s="284">
        <v>0</v>
      </c>
      <c r="X252" s="284">
        <v>0</v>
      </c>
      <c r="Y252" s="4">
        <v>1803840</v>
      </c>
      <c r="Z252" s="4">
        <v>2300803</v>
      </c>
      <c r="AA252" s="4">
        <v>8971988.3399999999</v>
      </c>
      <c r="AB252" s="4">
        <v>2343750</v>
      </c>
      <c r="AC252" s="4">
        <v>16316247</v>
      </c>
      <c r="AD252" s="4">
        <v>1050000</v>
      </c>
      <c r="AE252" s="4">
        <v>44836040.100000001</v>
      </c>
      <c r="AF252" s="4">
        <v>0</v>
      </c>
      <c r="AG252" s="4">
        <v>0</v>
      </c>
      <c r="AH252" s="4">
        <v>840709.69732888823</v>
      </c>
    </row>
    <row r="253" spans="1:34" x14ac:dyDescent="0.3">
      <c r="A253" s="256">
        <v>37106</v>
      </c>
      <c r="B253" s="4">
        <v>1250000</v>
      </c>
      <c r="C253" s="4">
        <v>1209030.26</v>
      </c>
      <c r="D253" s="4">
        <v>770244.5</v>
      </c>
      <c r="E253" s="4"/>
      <c r="F253" s="4"/>
      <c r="G253" s="4"/>
      <c r="H253" s="4">
        <v>0</v>
      </c>
      <c r="I253" s="4">
        <v>0</v>
      </c>
      <c r="J253" s="4"/>
      <c r="K253" s="4">
        <v>2.8312206268310547E-7</v>
      </c>
      <c r="L253" s="4">
        <v>0</v>
      </c>
      <c r="M253" s="4">
        <v>137317.57</v>
      </c>
      <c r="N253" s="4">
        <v>0</v>
      </c>
      <c r="O253" s="4">
        <v>1100000</v>
      </c>
      <c r="P253" s="4">
        <v>0</v>
      </c>
      <c r="Q253" s="4">
        <v>10125000</v>
      </c>
      <c r="R253" s="4">
        <v>7121810</v>
      </c>
      <c r="S253" s="4">
        <v>5644007</v>
      </c>
      <c r="T253" s="4">
        <v>20887594.859999999</v>
      </c>
      <c r="U253" s="4">
        <v>2560525</v>
      </c>
      <c r="V253" s="4"/>
      <c r="W253" s="284">
        <v>0</v>
      </c>
      <c r="X253" s="284">
        <v>0</v>
      </c>
      <c r="Y253" s="4">
        <v>1803840</v>
      </c>
      <c r="Z253" s="4">
        <v>2300803</v>
      </c>
      <c r="AA253" s="4">
        <v>8971988.3399999999</v>
      </c>
      <c r="AB253" s="4">
        <v>2343750</v>
      </c>
      <c r="AC253" s="4">
        <v>16316247</v>
      </c>
      <c r="AD253" s="4">
        <v>1050000</v>
      </c>
      <c r="AE253" s="4">
        <v>44836040.100000001</v>
      </c>
      <c r="AF253" s="4">
        <v>0</v>
      </c>
      <c r="AG253" s="4">
        <v>0</v>
      </c>
      <c r="AH253" s="4">
        <v>841717.8201212883</v>
      </c>
    </row>
    <row r="254" spans="1:34" x14ac:dyDescent="0.3">
      <c r="A254" s="256">
        <v>37109</v>
      </c>
      <c r="B254" s="4">
        <v>1250000</v>
      </c>
      <c r="C254" s="4">
        <v>1209030.26</v>
      </c>
      <c r="D254" s="4">
        <v>770244.5</v>
      </c>
      <c r="E254" s="4"/>
      <c r="F254" s="4"/>
      <c r="G254" s="4"/>
      <c r="H254" s="4">
        <v>0</v>
      </c>
      <c r="I254" s="4">
        <v>0</v>
      </c>
      <c r="J254" s="4"/>
      <c r="K254" s="4">
        <v>2.8312206268310547E-7</v>
      </c>
      <c r="L254" s="4">
        <v>0</v>
      </c>
      <c r="M254" s="4">
        <v>137317.57</v>
      </c>
      <c r="N254" s="4">
        <v>0</v>
      </c>
      <c r="O254" s="4">
        <v>1100000</v>
      </c>
      <c r="P254" s="4">
        <v>0</v>
      </c>
      <c r="Q254" s="4">
        <v>10125000</v>
      </c>
      <c r="R254" s="4">
        <v>7121810</v>
      </c>
      <c r="S254" s="4">
        <v>5644007</v>
      </c>
      <c r="T254" s="4">
        <v>20887594.859999999</v>
      </c>
      <c r="U254" s="4">
        <v>2560525</v>
      </c>
      <c r="V254" s="4"/>
      <c r="W254" s="284">
        <v>0</v>
      </c>
      <c r="X254" s="284">
        <v>0</v>
      </c>
      <c r="Y254" s="4">
        <v>1803840</v>
      </c>
      <c r="Z254" s="4">
        <v>2300803</v>
      </c>
      <c r="AA254" s="4">
        <v>8971988.3399999999</v>
      </c>
      <c r="AB254" s="4">
        <v>2343750</v>
      </c>
      <c r="AC254" s="4">
        <v>16316247</v>
      </c>
      <c r="AD254" s="4">
        <v>1050000</v>
      </c>
      <c r="AE254" s="4">
        <v>44836040.100000001</v>
      </c>
      <c r="AF254" s="4">
        <v>0</v>
      </c>
      <c r="AG254" s="4">
        <v>0</v>
      </c>
      <c r="AH254" s="4">
        <v>841961.86128928838</v>
      </c>
    </row>
    <row r="255" spans="1:34" x14ac:dyDescent="0.3">
      <c r="A255" s="256">
        <v>37110</v>
      </c>
      <c r="B255" s="4">
        <v>1250000</v>
      </c>
      <c r="C255" s="4">
        <v>1209030.26</v>
      </c>
      <c r="D255" s="4">
        <v>770244.5</v>
      </c>
      <c r="E255" s="4"/>
      <c r="F255" s="4"/>
      <c r="G255" s="4"/>
      <c r="H255" s="4">
        <v>0</v>
      </c>
      <c r="I255" s="4">
        <v>0</v>
      </c>
      <c r="J255" s="4"/>
      <c r="K255" s="4">
        <v>2.8312206268310547E-7</v>
      </c>
      <c r="L255" s="4">
        <v>0</v>
      </c>
      <c r="M255" s="4">
        <v>137317.57</v>
      </c>
      <c r="N255" s="4">
        <v>0</v>
      </c>
      <c r="O255" s="4">
        <v>1100000</v>
      </c>
      <c r="P255" s="4">
        <v>0</v>
      </c>
      <c r="Q255" s="4">
        <v>10125000</v>
      </c>
      <c r="R255" s="4">
        <v>7121810</v>
      </c>
      <c r="S255" s="4">
        <v>5644007</v>
      </c>
      <c r="T255" s="4">
        <v>20887594.859999999</v>
      </c>
      <c r="U255" s="4">
        <v>2560525</v>
      </c>
      <c r="V255" s="4"/>
      <c r="W255" s="284">
        <v>0</v>
      </c>
      <c r="X255" s="284">
        <v>0</v>
      </c>
      <c r="Y255" s="4">
        <v>1803840</v>
      </c>
      <c r="Z255" s="4">
        <v>2300803</v>
      </c>
      <c r="AA255" s="4">
        <v>8971988.3399999999</v>
      </c>
      <c r="AB255" s="4">
        <v>2343750</v>
      </c>
      <c r="AC255" s="4">
        <v>16316247</v>
      </c>
      <c r="AD255" s="4">
        <v>1050000</v>
      </c>
      <c r="AE255" s="4">
        <v>44836040.100000001</v>
      </c>
      <c r="AF255" s="4">
        <v>0</v>
      </c>
      <c r="AG255" s="4">
        <v>0</v>
      </c>
      <c r="AH255" s="4">
        <v>840017.87810226239</v>
      </c>
    </row>
    <row r="256" spans="1:34" x14ac:dyDescent="0.3">
      <c r="A256" s="256">
        <v>37111</v>
      </c>
      <c r="B256" s="4">
        <v>1250000</v>
      </c>
      <c r="C256" s="4">
        <v>1209030.26</v>
      </c>
      <c r="D256" s="4">
        <v>770244.5</v>
      </c>
      <c r="E256" s="4"/>
      <c r="F256" s="4"/>
      <c r="G256" s="4"/>
      <c r="H256" s="4">
        <v>0</v>
      </c>
      <c r="I256" s="4">
        <v>0</v>
      </c>
      <c r="J256" s="4"/>
      <c r="K256" s="4">
        <v>2.8312206268310547E-7</v>
      </c>
      <c r="L256" s="4">
        <v>0</v>
      </c>
      <c r="M256" s="4">
        <v>137317.57</v>
      </c>
      <c r="N256" s="4">
        <v>0</v>
      </c>
      <c r="O256" s="4">
        <v>1100000</v>
      </c>
      <c r="P256" s="4">
        <v>0</v>
      </c>
      <c r="Q256" s="4">
        <v>10125000</v>
      </c>
      <c r="R256" s="4">
        <v>7121810</v>
      </c>
      <c r="S256" s="4">
        <v>5644007</v>
      </c>
      <c r="T256" s="4">
        <v>20887594.859999999</v>
      </c>
      <c r="U256" s="4">
        <v>2560525</v>
      </c>
      <c r="V256" s="4"/>
      <c r="W256" s="284">
        <v>0</v>
      </c>
      <c r="X256" s="284">
        <v>0</v>
      </c>
      <c r="Y256" s="4">
        <v>1803840</v>
      </c>
      <c r="Z256" s="4">
        <v>2300803</v>
      </c>
      <c r="AA256" s="4">
        <v>8971988.3399999999</v>
      </c>
      <c r="AB256" s="4">
        <v>2343750</v>
      </c>
      <c r="AC256" s="4">
        <v>16316247</v>
      </c>
      <c r="AD256" s="4">
        <v>1050000</v>
      </c>
      <c r="AE256" s="4">
        <v>44836040.100000001</v>
      </c>
      <c r="AF256" s="4">
        <v>0</v>
      </c>
      <c r="AG256" s="4">
        <v>0</v>
      </c>
      <c r="AH256" s="4">
        <v>839932.09991619876</v>
      </c>
    </row>
    <row r="257" spans="1:34" x14ac:dyDescent="0.3">
      <c r="A257" s="256">
        <v>37112</v>
      </c>
      <c r="B257" s="4">
        <v>1250000</v>
      </c>
      <c r="C257" s="4">
        <v>1209030.26</v>
      </c>
      <c r="D257" s="4">
        <v>770244.5</v>
      </c>
      <c r="E257" s="4"/>
      <c r="F257" s="4"/>
      <c r="G257" s="4"/>
      <c r="H257" s="4">
        <v>0</v>
      </c>
      <c r="I257" s="4">
        <v>0</v>
      </c>
      <c r="J257" s="4"/>
      <c r="K257" s="4">
        <v>2.8312206268310547E-7</v>
      </c>
      <c r="L257" s="4">
        <v>0</v>
      </c>
      <c r="M257" s="4">
        <v>137317.57</v>
      </c>
      <c r="N257" s="4">
        <v>0</v>
      </c>
      <c r="O257" s="4">
        <v>1100000</v>
      </c>
      <c r="P257" s="4">
        <v>0</v>
      </c>
      <c r="Q257" s="4">
        <v>10125000</v>
      </c>
      <c r="R257" s="4">
        <v>7121810</v>
      </c>
      <c r="S257" s="4">
        <v>5644007</v>
      </c>
      <c r="T257" s="4">
        <v>20887594.859999999</v>
      </c>
      <c r="U257" s="4">
        <v>2560525</v>
      </c>
      <c r="V257" s="4"/>
      <c r="W257" s="284">
        <v>0</v>
      </c>
      <c r="X257" s="284">
        <v>0</v>
      </c>
      <c r="Y257" s="4">
        <v>1803840</v>
      </c>
      <c r="Z257" s="4">
        <v>2300803</v>
      </c>
      <c r="AA257" s="4">
        <v>8971988.3399999999</v>
      </c>
      <c r="AB257" s="4">
        <v>2343750</v>
      </c>
      <c r="AC257" s="4">
        <v>16316247</v>
      </c>
      <c r="AD257" s="4">
        <v>1050000</v>
      </c>
      <c r="AE257" s="4">
        <v>44836040.100000001</v>
      </c>
      <c r="AF257" s="4">
        <v>0</v>
      </c>
      <c r="AG257" s="4">
        <v>0</v>
      </c>
      <c r="AH257" s="4">
        <v>838077.91826543049</v>
      </c>
    </row>
    <row r="258" spans="1:34" x14ac:dyDescent="0.3">
      <c r="A258" s="256">
        <v>37113</v>
      </c>
      <c r="B258" s="4">
        <v>1250000</v>
      </c>
      <c r="C258" s="4">
        <v>1209030.26</v>
      </c>
      <c r="D258" s="4">
        <v>770244.5</v>
      </c>
      <c r="E258" s="4"/>
      <c r="F258" s="4"/>
      <c r="G258" s="4"/>
      <c r="H258" s="4">
        <v>0</v>
      </c>
      <c r="I258" s="4">
        <v>0</v>
      </c>
      <c r="J258" s="4"/>
      <c r="K258" s="4">
        <v>2.8312206268310547E-7</v>
      </c>
      <c r="L258" s="4">
        <v>0</v>
      </c>
      <c r="M258" s="4">
        <v>137317.57</v>
      </c>
      <c r="N258" s="4">
        <v>0</v>
      </c>
      <c r="O258" s="4">
        <v>1100000</v>
      </c>
      <c r="P258" s="4">
        <v>0</v>
      </c>
      <c r="Q258" s="4">
        <v>10125000</v>
      </c>
      <c r="R258" s="4">
        <v>7121810</v>
      </c>
      <c r="S258" s="4">
        <v>5644007</v>
      </c>
      <c r="T258" s="4">
        <v>20887594.859999999</v>
      </c>
      <c r="U258" s="4">
        <v>2560525</v>
      </c>
      <c r="V258" s="4"/>
      <c r="W258" s="284">
        <v>0</v>
      </c>
      <c r="X258" s="284">
        <v>0</v>
      </c>
      <c r="Y258" s="4">
        <v>1803840</v>
      </c>
      <c r="Z258" s="4">
        <v>2300803</v>
      </c>
      <c r="AA258" s="4">
        <v>8971988.3399999999</v>
      </c>
      <c r="AB258" s="4">
        <v>2343750</v>
      </c>
      <c r="AC258" s="4">
        <v>16316247</v>
      </c>
      <c r="AD258" s="4">
        <v>1050000</v>
      </c>
      <c r="AE258" s="4">
        <v>44836040.100000001</v>
      </c>
      <c r="AF258" s="4">
        <v>0</v>
      </c>
      <c r="AG258" s="4">
        <v>0</v>
      </c>
      <c r="AH258" s="4">
        <v>838558.1560581919</v>
      </c>
    </row>
    <row r="259" spans="1:34" x14ac:dyDescent="0.3">
      <c r="A259" s="256">
        <v>37116</v>
      </c>
      <c r="B259" s="4">
        <v>1250000</v>
      </c>
      <c r="C259" s="4">
        <v>1209030.26</v>
      </c>
      <c r="D259" s="4">
        <v>770244.5</v>
      </c>
      <c r="E259" s="4"/>
      <c r="F259" s="4"/>
      <c r="G259" s="4"/>
      <c r="H259" s="4">
        <v>0</v>
      </c>
      <c r="I259" s="4">
        <v>0</v>
      </c>
      <c r="J259" s="4"/>
      <c r="K259" s="4">
        <v>2.8312206268310547E-7</v>
      </c>
      <c r="L259" s="4">
        <v>0</v>
      </c>
      <c r="M259" s="4">
        <v>137317.57</v>
      </c>
      <c r="N259" s="4">
        <v>0</v>
      </c>
      <c r="O259" s="4">
        <v>1100000</v>
      </c>
      <c r="P259" s="4">
        <v>0</v>
      </c>
      <c r="Q259" s="4">
        <v>10125000</v>
      </c>
      <c r="R259" s="4">
        <v>7121810</v>
      </c>
      <c r="S259" s="4">
        <v>5644007</v>
      </c>
      <c r="T259" s="4">
        <v>20887594.859999999</v>
      </c>
      <c r="U259" s="4">
        <v>2560525</v>
      </c>
      <c r="V259" s="4"/>
      <c r="W259" s="284">
        <v>0</v>
      </c>
      <c r="X259" s="284">
        <v>0</v>
      </c>
      <c r="Y259" s="4">
        <v>1803840</v>
      </c>
      <c r="Z259" s="4">
        <v>2300803</v>
      </c>
      <c r="AA259" s="4">
        <v>8971988.3399999999</v>
      </c>
      <c r="AB259" s="4">
        <v>2343750</v>
      </c>
      <c r="AC259" s="4">
        <v>16316247</v>
      </c>
      <c r="AD259" s="4">
        <v>1050000</v>
      </c>
      <c r="AE259" s="4">
        <v>44836040.100000001</v>
      </c>
      <c r="AF259" s="4">
        <v>0</v>
      </c>
      <c r="AG259" s="4">
        <v>0</v>
      </c>
      <c r="AH259" s="4">
        <v>838534.14731638087</v>
      </c>
    </row>
    <row r="260" spans="1:34" x14ac:dyDescent="0.3">
      <c r="A260" s="256">
        <v>37117</v>
      </c>
      <c r="B260" s="4">
        <v>1250000</v>
      </c>
      <c r="C260" s="4">
        <v>1209030.26</v>
      </c>
      <c r="D260" s="4">
        <v>770244.5</v>
      </c>
      <c r="E260" s="4"/>
      <c r="F260" s="4"/>
      <c r="G260" s="4"/>
      <c r="H260" s="4">
        <v>0</v>
      </c>
      <c r="I260" s="4">
        <v>0</v>
      </c>
      <c r="J260" s="4"/>
      <c r="K260" s="4">
        <v>2.8312206268310547E-7</v>
      </c>
      <c r="L260" s="4">
        <v>0</v>
      </c>
      <c r="M260" s="4">
        <v>137317.57</v>
      </c>
      <c r="N260" s="4">
        <v>0</v>
      </c>
      <c r="O260" s="4">
        <v>1100000</v>
      </c>
      <c r="P260" s="4">
        <v>0</v>
      </c>
      <c r="Q260" s="4">
        <v>10125000</v>
      </c>
      <c r="R260" s="4">
        <v>7121810</v>
      </c>
      <c r="S260" s="4">
        <v>5644007</v>
      </c>
      <c r="T260" s="4">
        <v>20887594.859999999</v>
      </c>
      <c r="U260" s="4">
        <v>2560525</v>
      </c>
      <c r="V260" s="4"/>
      <c r="W260" s="284">
        <v>0</v>
      </c>
      <c r="X260" s="284">
        <v>0</v>
      </c>
      <c r="Y260" s="4">
        <v>1803840</v>
      </c>
      <c r="Z260" s="4">
        <v>2300803</v>
      </c>
      <c r="AA260" s="4">
        <v>8971988.3399999999</v>
      </c>
      <c r="AB260" s="4">
        <v>2343750</v>
      </c>
      <c r="AC260" s="4">
        <v>16316247</v>
      </c>
      <c r="AD260" s="4">
        <v>1050000</v>
      </c>
      <c r="AE260" s="4">
        <v>44836040.100000001</v>
      </c>
      <c r="AF260" s="4">
        <v>0</v>
      </c>
      <c r="AG260" s="4">
        <v>0</v>
      </c>
      <c r="AH260" s="4">
        <v>834476.21477749664</v>
      </c>
    </row>
    <row r="261" spans="1:34" x14ac:dyDescent="0.3">
      <c r="A261" s="256">
        <v>37118</v>
      </c>
      <c r="B261" s="4">
        <v>1250000</v>
      </c>
      <c r="C261" s="4">
        <v>1209030.26</v>
      </c>
      <c r="D261" s="4">
        <v>770244.5</v>
      </c>
      <c r="E261" s="4"/>
      <c r="F261" s="4"/>
      <c r="G261" s="4"/>
      <c r="H261" s="4">
        <v>0</v>
      </c>
      <c r="I261" s="4">
        <v>0</v>
      </c>
      <c r="J261" s="4"/>
      <c r="K261" s="4">
        <v>2.8312206268310547E-7</v>
      </c>
      <c r="L261" s="4">
        <v>0</v>
      </c>
      <c r="M261" s="4">
        <v>137317.57</v>
      </c>
      <c r="N261" s="4">
        <v>0</v>
      </c>
      <c r="O261" s="4">
        <v>1100000</v>
      </c>
      <c r="P261" s="4">
        <v>0</v>
      </c>
      <c r="Q261" s="4">
        <v>10125000</v>
      </c>
      <c r="R261" s="4">
        <v>7121810</v>
      </c>
      <c r="S261" s="4">
        <v>5644007</v>
      </c>
      <c r="T261" s="4">
        <v>20887594.859999999</v>
      </c>
      <c r="U261" s="4">
        <v>2560525</v>
      </c>
      <c r="V261" s="4"/>
      <c r="W261" s="284">
        <v>0</v>
      </c>
      <c r="X261" s="284">
        <v>0</v>
      </c>
      <c r="Y261" s="4">
        <v>1803840</v>
      </c>
      <c r="Z261" s="4">
        <v>2300803</v>
      </c>
      <c r="AA261" s="4">
        <v>8971988.3399999999</v>
      </c>
      <c r="AB261" s="4">
        <v>2343750</v>
      </c>
      <c r="AC261" s="4">
        <v>16316247</v>
      </c>
      <c r="AD261" s="4">
        <v>1050000</v>
      </c>
      <c r="AE261" s="4">
        <v>44836040.100000001</v>
      </c>
      <c r="AF261" s="4">
        <v>0</v>
      </c>
      <c r="AG261" s="4">
        <v>0</v>
      </c>
      <c r="AH261" s="4">
        <v>833989.17985168099</v>
      </c>
    </row>
    <row r="262" spans="1:34" x14ac:dyDescent="0.3">
      <c r="A262" s="256">
        <v>37119</v>
      </c>
      <c r="B262" s="4">
        <v>1250000</v>
      </c>
      <c r="C262" s="4">
        <v>1209030.26</v>
      </c>
      <c r="D262" s="4">
        <v>770244.5</v>
      </c>
      <c r="E262" s="4"/>
      <c r="F262" s="4"/>
      <c r="G262" s="4"/>
      <c r="H262" s="4">
        <v>0</v>
      </c>
      <c r="I262" s="4">
        <v>0</v>
      </c>
      <c r="J262" s="4"/>
      <c r="K262" s="4">
        <v>2.8312206268310547E-7</v>
      </c>
      <c r="L262" s="4">
        <v>0</v>
      </c>
      <c r="M262" s="4">
        <v>137317.57</v>
      </c>
      <c r="N262" s="4">
        <v>0</v>
      </c>
      <c r="O262" s="4">
        <v>1100000</v>
      </c>
      <c r="P262" s="4">
        <v>0</v>
      </c>
      <c r="Q262" s="4">
        <v>10125000</v>
      </c>
      <c r="R262" s="4">
        <v>7121810</v>
      </c>
      <c r="S262" s="4">
        <v>5644007</v>
      </c>
      <c r="T262" s="4">
        <v>20887594.859999999</v>
      </c>
      <c r="U262" s="4">
        <v>2560525</v>
      </c>
      <c r="V262" s="4"/>
      <c r="W262" s="284">
        <v>0</v>
      </c>
      <c r="X262" s="284">
        <v>0</v>
      </c>
      <c r="Y262" s="4">
        <v>1803840</v>
      </c>
      <c r="Z262" s="4">
        <v>2300803</v>
      </c>
      <c r="AA262" s="4">
        <v>8971988.3399999999</v>
      </c>
      <c r="AB262" s="4">
        <v>2343750</v>
      </c>
      <c r="AC262" s="4">
        <v>16316247</v>
      </c>
      <c r="AD262" s="4">
        <v>1050000</v>
      </c>
      <c r="AE262" s="4">
        <v>44836040.100000001</v>
      </c>
      <c r="AF262" s="4">
        <v>0</v>
      </c>
      <c r="AG262" s="4">
        <v>0</v>
      </c>
      <c r="AH262" s="4">
        <v>833807.03702742606</v>
      </c>
    </row>
    <row r="263" spans="1:34" x14ac:dyDescent="0.3">
      <c r="A263" s="256">
        <v>37120</v>
      </c>
      <c r="B263" s="4">
        <v>1250000</v>
      </c>
      <c r="C263" s="4">
        <v>1209030.26</v>
      </c>
      <c r="D263" s="4">
        <v>770244.5</v>
      </c>
      <c r="E263" s="4"/>
      <c r="F263" s="4"/>
      <c r="G263" s="4"/>
      <c r="H263" s="4">
        <v>0</v>
      </c>
      <c r="I263" s="4">
        <v>0</v>
      </c>
      <c r="J263" s="4"/>
      <c r="K263" s="4">
        <v>2.8312206268310547E-7</v>
      </c>
      <c r="L263" s="4">
        <v>0</v>
      </c>
      <c r="M263" s="4">
        <v>137317.57</v>
      </c>
      <c r="N263" s="4">
        <v>0</v>
      </c>
      <c r="O263" s="4">
        <v>1100000</v>
      </c>
      <c r="P263" s="4">
        <v>0</v>
      </c>
      <c r="Q263" s="4">
        <v>10125000</v>
      </c>
      <c r="R263" s="4">
        <v>7121810</v>
      </c>
      <c r="S263" s="4">
        <v>5644007</v>
      </c>
      <c r="T263" s="4">
        <v>20887594.859999999</v>
      </c>
      <c r="U263" s="4">
        <v>2560525</v>
      </c>
      <c r="V263" s="4"/>
      <c r="W263" s="284">
        <v>0</v>
      </c>
      <c r="X263" s="284">
        <v>0</v>
      </c>
      <c r="Y263" s="4">
        <v>1803840</v>
      </c>
      <c r="Z263" s="4">
        <v>2300803</v>
      </c>
      <c r="AA263" s="4">
        <v>8971988.3399999999</v>
      </c>
      <c r="AB263" s="4">
        <v>2343750</v>
      </c>
      <c r="AC263" s="4">
        <v>16316247</v>
      </c>
      <c r="AD263" s="4">
        <v>1050000</v>
      </c>
      <c r="AE263" s="4">
        <v>44836040.100000001</v>
      </c>
      <c r="AF263" s="4">
        <v>0</v>
      </c>
      <c r="AG263" s="4">
        <v>0</v>
      </c>
      <c r="AH263" s="4">
        <v>833457.50112024066</v>
      </c>
    </row>
    <row r="264" spans="1:34" x14ac:dyDescent="0.3">
      <c r="A264" s="256">
        <v>37123</v>
      </c>
      <c r="B264" s="4">
        <v>1250000</v>
      </c>
      <c r="C264" s="4">
        <v>1209030.26</v>
      </c>
      <c r="D264" s="4">
        <v>770244.5</v>
      </c>
      <c r="E264" s="4"/>
      <c r="F264" s="4"/>
      <c r="G264" s="4"/>
      <c r="H264" s="4">
        <v>0</v>
      </c>
      <c r="I264" s="4">
        <v>0</v>
      </c>
      <c r="J264" s="4"/>
      <c r="K264" s="4">
        <v>2.8312206268310547E-7</v>
      </c>
      <c r="L264" s="4">
        <v>0</v>
      </c>
      <c r="M264" s="4">
        <v>137317.57</v>
      </c>
      <c r="N264" s="4">
        <v>0</v>
      </c>
      <c r="O264" s="4">
        <v>1100000</v>
      </c>
      <c r="P264" s="4">
        <v>0</v>
      </c>
      <c r="Q264" s="4">
        <v>10125000</v>
      </c>
      <c r="R264" s="4">
        <v>7121810</v>
      </c>
      <c r="S264" s="4">
        <v>5644007</v>
      </c>
      <c r="T264" s="4">
        <v>20887594.859999999</v>
      </c>
      <c r="U264" s="4">
        <v>2560525</v>
      </c>
      <c r="V264" s="4"/>
      <c r="W264" s="284">
        <v>0</v>
      </c>
      <c r="X264" s="284">
        <v>0</v>
      </c>
      <c r="Y264" s="4">
        <v>1803840</v>
      </c>
      <c r="Z264" s="4">
        <v>2300803</v>
      </c>
      <c r="AA264" s="4">
        <v>8971988.3399999999</v>
      </c>
      <c r="AB264" s="4">
        <v>2343750</v>
      </c>
      <c r="AC264" s="4">
        <v>16316247</v>
      </c>
      <c r="AD264" s="4">
        <v>1050000</v>
      </c>
      <c r="AE264" s="4">
        <v>44836040.100000001</v>
      </c>
      <c r="AF264" s="4">
        <v>0</v>
      </c>
      <c r="AG264" s="4">
        <v>0</v>
      </c>
      <c r="AH264" s="4">
        <v>830972.06590389856</v>
      </c>
    </row>
    <row r="265" spans="1:34" x14ac:dyDescent="0.3">
      <c r="A265" s="256">
        <v>37124</v>
      </c>
      <c r="B265" s="4">
        <v>1250000</v>
      </c>
      <c r="C265" s="4">
        <v>1209030.26</v>
      </c>
      <c r="D265" s="4">
        <v>770244.5</v>
      </c>
      <c r="E265" s="4"/>
      <c r="F265" s="4"/>
      <c r="G265" s="4"/>
      <c r="H265" s="4">
        <v>0</v>
      </c>
      <c r="I265" s="4">
        <v>0</v>
      </c>
      <c r="J265" s="4"/>
      <c r="K265" s="4">
        <v>2.8312206268310547E-7</v>
      </c>
      <c r="L265" s="4">
        <v>0</v>
      </c>
      <c r="M265" s="4">
        <v>137317.57</v>
      </c>
      <c r="N265" s="4">
        <v>0</v>
      </c>
      <c r="O265" s="4">
        <v>1100000</v>
      </c>
      <c r="P265" s="4">
        <v>0</v>
      </c>
      <c r="Q265" s="4">
        <v>10125000</v>
      </c>
      <c r="R265" s="4">
        <v>7121810</v>
      </c>
      <c r="S265" s="4">
        <v>5644007</v>
      </c>
      <c r="T265" s="4">
        <v>20887594.859999999</v>
      </c>
      <c r="U265" s="4">
        <v>2560525</v>
      </c>
      <c r="V265" s="4"/>
      <c r="W265" s="284">
        <v>0</v>
      </c>
      <c r="X265" s="284">
        <v>0</v>
      </c>
      <c r="Y265" s="4">
        <v>1803840</v>
      </c>
      <c r="Z265" s="4">
        <v>2300803</v>
      </c>
      <c r="AA265" s="4">
        <v>8971988.3399999999</v>
      </c>
      <c r="AB265" s="4">
        <v>2343750</v>
      </c>
      <c r="AC265" s="4">
        <v>16316247</v>
      </c>
      <c r="AD265" s="4">
        <v>1050000</v>
      </c>
      <c r="AE265" s="4">
        <v>44836040.100000001</v>
      </c>
      <c r="AF265" s="4">
        <v>0</v>
      </c>
      <c r="AG265" s="4">
        <v>0</v>
      </c>
      <c r="AH265" s="4">
        <v>832072.44995240762</v>
      </c>
    </row>
    <row r="266" spans="1:34" x14ac:dyDescent="0.3">
      <c r="A266" s="256">
        <v>37125</v>
      </c>
      <c r="B266" s="4">
        <v>1250000</v>
      </c>
      <c r="C266" s="4">
        <v>1209030.26</v>
      </c>
      <c r="D266" s="4">
        <v>770244.5</v>
      </c>
      <c r="E266" s="4"/>
      <c r="F266" s="4"/>
      <c r="G266" s="4"/>
      <c r="H266" s="4">
        <v>0</v>
      </c>
      <c r="I266" s="4">
        <v>0</v>
      </c>
      <c r="J266" s="4"/>
      <c r="K266" s="4">
        <v>2.8312206268310547E-7</v>
      </c>
      <c r="L266" s="4">
        <v>0</v>
      </c>
      <c r="M266" s="4">
        <v>137317.57</v>
      </c>
      <c r="N266" s="4">
        <v>0</v>
      </c>
      <c r="O266" s="4">
        <v>1100000</v>
      </c>
      <c r="P266" s="4">
        <v>0</v>
      </c>
      <c r="Q266" s="4">
        <v>10125000</v>
      </c>
      <c r="R266" s="4">
        <v>7121810</v>
      </c>
      <c r="S266" s="4">
        <v>5644007</v>
      </c>
      <c r="T266" s="4">
        <v>20887594.859999999</v>
      </c>
      <c r="U266" s="4">
        <v>2560525</v>
      </c>
      <c r="V266" s="4"/>
      <c r="W266" s="284">
        <v>0</v>
      </c>
      <c r="X266" s="284">
        <v>0</v>
      </c>
      <c r="Y266" s="4">
        <v>1803840</v>
      </c>
      <c r="Z266" s="4">
        <v>2300803</v>
      </c>
      <c r="AA266" s="4">
        <v>8971988.3399999999</v>
      </c>
      <c r="AB266" s="4">
        <v>2343750</v>
      </c>
      <c r="AC266" s="4">
        <v>16316247</v>
      </c>
      <c r="AD266" s="4">
        <v>1050000</v>
      </c>
      <c r="AE266" s="4">
        <v>44836040.100000001</v>
      </c>
      <c r="AF266" s="4">
        <v>0</v>
      </c>
      <c r="AG266" s="4">
        <v>0</v>
      </c>
      <c r="AH266" s="4">
        <v>832800.31542710064</v>
      </c>
    </row>
    <row r="267" spans="1:34" x14ac:dyDescent="0.3">
      <c r="A267" s="256">
        <v>37126</v>
      </c>
      <c r="B267" s="4">
        <v>1250000</v>
      </c>
      <c r="C267" s="4">
        <v>1209030.26</v>
      </c>
      <c r="D267" s="4">
        <v>770244.5</v>
      </c>
      <c r="E267" s="4"/>
      <c r="F267" s="4"/>
      <c r="G267" s="4"/>
      <c r="H267" s="4">
        <v>0</v>
      </c>
      <c r="I267" s="4">
        <v>0</v>
      </c>
      <c r="J267" s="4"/>
      <c r="K267" s="4">
        <v>2.8312206268310547E-7</v>
      </c>
      <c r="L267" s="4">
        <v>0</v>
      </c>
      <c r="M267" s="4">
        <v>137317.57</v>
      </c>
      <c r="N267" s="4">
        <v>0</v>
      </c>
      <c r="O267" s="4">
        <v>1100000</v>
      </c>
      <c r="P267" s="4">
        <v>0</v>
      </c>
      <c r="Q267" s="4">
        <v>10125000</v>
      </c>
      <c r="R267" s="4">
        <v>7121810</v>
      </c>
      <c r="S267" s="4">
        <v>5644007</v>
      </c>
      <c r="T267" s="4">
        <v>20887594.859999999</v>
      </c>
      <c r="U267" s="4">
        <v>2560525</v>
      </c>
      <c r="V267" s="4"/>
      <c r="W267" s="284">
        <v>0</v>
      </c>
      <c r="X267" s="284">
        <v>0</v>
      </c>
      <c r="Y267" s="4">
        <v>1803840</v>
      </c>
      <c r="Z267" s="4">
        <v>2300803</v>
      </c>
      <c r="AA267" s="4">
        <v>8971988.3399999999</v>
      </c>
      <c r="AB267" s="4">
        <v>2343750</v>
      </c>
      <c r="AC267" s="4">
        <v>16316247</v>
      </c>
      <c r="AD267" s="4">
        <v>1050000</v>
      </c>
      <c r="AE267" s="4">
        <v>44836040.100000001</v>
      </c>
      <c r="AF267" s="4">
        <v>0</v>
      </c>
      <c r="AG267" s="4">
        <v>0</v>
      </c>
      <c r="AH267" s="4">
        <v>833148.19041604176</v>
      </c>
    </row>
    <row r="268" spans="1:34" x14ac:dyDescent="0.3">
      <c r="A268" s="256">
        <v>37127</v>
      </c>
      <c r="B268" s="4">
        <v>1250000</v>
      </c>
      <c r="C268" s="4">
        <v>1209030.26</v>
      </c>
      <c r="D268" s="4">
        <v>770244.5</v>
      </c>
      <c r="E268" s="4"/>
      <c r="F268" s="4"/>
      <c r="G268" s="4"/>
      <c r="H268" s="4">
        <v>0</v>
      </c>
      <c r="I268" s="4">
        <v>0</v>
      </c>
      <c r="J268" s="4"/>
      <c r="K268" s="4">
        <v>2.8312206268310547E-7</v>
      </c>
      <c r="L268" s="4">
        <v>0</v>
      </c>
      <c r="M268" s="4">
        <v>137317.57</v>
      </c>
      <c r="N268" s="4">
        <v>0</v>
      </c>
      <c r="O268" s="4">
        <v>1100000</v>
      </c>
      <c r="P268" s="4">
        <v>0</v>
      </c>
      <c r="Q268" s="4">
        <v>10125000</v>
      </c>
      <c r="R268" s="4">
        <v>7121810</v>
      </c>
      <c r="S268" s="4">
        <v>5644007</v>
      </c>
      <c r="T268" s="4">
        <v>20887594.859999999</v>
      </c>
      <c r="U268" s="4">
        <v>2560525</v>
      </c>
      <c r="V268" s="4"/>
      <c r="W268" s="284">
        <v>0</v>
      </c>
      <c r="X268" s="284">
        <v>0</v>
      </c>
      <c r="Y268" s="4">
        <v>1803840</v>
      </c>
      <c r="Z268" s="4">
        <v>2300803</v>
      </c>
      <c r="AA268" s="4">
        <v>8971988.3399999999</v>
      </c>
      <c r="AB268" s="4">
        <v>2343750</v>
      </c>
      <c r="AC268" s="4">
        <v>16316247</v>
      </c>
      <c r="AD268" s="4">
        <v>1050000</v>
      </c>
      <c r="AE268" s="4">
        <v>44836040.100000001</v>
      </c>
      <c r="AF268" s="4">
        <v>0</v>
      </c>
      <c r="AG268" s="4">
        <v>0</v>
      </c>
      <c r="AH268" s="4">
        <v>834379.92607550812</v>
      </c>
    </row>
    <row r="269" spans="1:34" x14ac:dyDescent="0.3">
      <c r="A269" s="256">
        <v>37130</v>
      </c>
      <c r="B269" s="4">
        <v>1250000</v>
      </c>
      <c r="C269" s="4">
        <v>1209030.26</v>
      </c>
      <c r="D269" s="4">
        <v>770244.5</v>
      </c>
      <c r="E269" s="4"/>
      <c r="F269" s="4"/>
      <c r="G269" s="4"/>
      <c r="H269" s="4">
        <v>0</v>
      </c>
      <c r="I269" s="4">
        <v>0</v>
      </c>
      <c r="J269" s="4"/>
      <c r="K269" s="4">
        <v>2.8312206268310547E-7</v>
      </c>
      <c r="L269" s="4">
        <v>0</v>
      </c>
      <c r="M269" s="4">
        <v>137317.57</v>
      </c>
      <c r="N269" s="4">
        <v>0</v>
      </c>
      <c r="O269" s="4">
        <v>1100000</v>
      </c>
      <c r="P269" s="4">
        <v>0</v>
      </c>
      <c r="Q269" s="4">
        <v>10125000</v>
      </c>
      <c r="R269" s="4">
        <v>7121810</v>
      </c>
      <c r="S269" s="4">
        <v>5644007</v>
      </c>
      <c r="T269" s="4">
        <v>20887594.859999999</v>
      </c>
      <c r="U269" s="4">
        <v>2560525</v>
      </c>
      <c r="V269" s="4"/>
      <c r="W269" s="284">
        <v>0</v>
      </c>
      <c r="X269" s="284">
        <v>0</v>
      </c>
      <c r="Y269" s="4">
        <v>1803840</v>
      </c>
      <c r="Z269" s="4">
        <v>2300803</v>
      </c>
      <c r="AA269" s="4">
        <v>8971988.3399999999</v>
      </c>
      <c r="AB269" s="4">
        <v>2343750</v>
      </c>
      <c r="AC269" s="4">
        <v>16316247</v>
      </c>
      <c r="AD269" s="4">
        <v>1050000</v>
      </c>
      <c r="AE269" s="4">
        <v>44836040.100000001</v>
      </c>
      <c r="AF269" s="4">
        <v>0</v>
      </c>
      <c r="AG269" s="4">
        <v>0</v>
      </c>
      <c r="AH269" s="4">
        <v>835083.754320818</v>
      </c>
    </row>
    <row r="270" spans="1:34" x14ac:dyDescent="0.3">
      <c r="A270" s="256">
        <v>37131</v>
      </c>
      <c r="B270" s="4">
        <v>1250000</v>
      </c>
      <c r="C270" s="4">
        <v>1209030.26</v>
      </c>
      <c r="D270" s="4">
        <v>770244.5</v>
      </c>
      <c r="E270" s="4"/>
      <c r="F270" s="4"/>
      <c r="G270" s="4"/>
      <c r="H270" s="4">
        <v>0</v>
      </c>
      <c r="I270" s="4">
        <v>0</v>
      </c>
      <c r="J270" s="4"/>
      <c r="K270" s="4">
        <v>2.8312206268310547E-7</v>
      </c>
      <c r="L270" s="4">
        <v>0</v>
      </c>
      <c r="M270" s="4">
        <v>137317.57</v>
      </c>
      <c r="N270" s="4">
        <v>0</v>
      </c>
      <c r="O270" s="4">
        <v>1100000</v>
      </c>
      <c r="P270" s="4">
        <v>0</v>
      </c>
      <c r="Q270" s="4">
        <v>10125000</v>
      </c>
      <c r="R270" s="4">
        <v>7121810</v>
      </c>
      <c r="S270" s="4">
        <v>5644007</v>
      </c>
      <c r="T270" s="4">
        <v>20887594.859999999</v>
      </c>
      <c r="U270" s="4">
        <v>2560525</v>
      </c>
      <c r="V270" s="4"/>
      <c r="W270" s="284">
        <v>0</v>
      </c>
      <c r="X270" s="284">
        <v>0</v>
      </c>
      <c r="Y270" s="4">
        <v>1803840</v>
      </c>
      <c r="Z270" s="4">
        <v>2300803</v>
      </c>
      <c r="AA270" s="4">
        <v>8971988.3399999999</v>
      </c>
      <c r="AB270" s="4">
        <v>2343750</v>
      </c>
      <c r="AC270" s="4">
        <v>16316247</v>
      </c>
      <c r="AD270" s="4">
        <v>1050000</v>
      </c>
      <c r="AE270" s="4">
        <v>44836040.100000001</v>
      </c>
      <c r="AF270" s="4">
        <v>0</v>
      </c>
      <c r="AG270" s="4">
        <v>0</v>
      </c>
      <c r="AH270" s="4">
        <v>834213.00166793901</v>
      </c>
    </row>
    <row r="271" spans="1:34" x14ac:dyDescent="0.3">
      <c r="A271" s="256">
        <v>37132</v>
      </c>
      <c r="B271" s="4">
        <v>1250000</v>
      </c>
      <c r="C271" s="4">
        <v>1209030.26</v>
      </c>
      <c r="D271" s="4">
        <v>770244.5</v>
      </c>
      <c r="E271" s="4"/>
      <c r="F271" s="4"/>
      <c r="G271" s="4"/>
      <c r="H271" s="4">
        <v>0</v>
      </c>
      <c r="I271" s="4">
        <v>0</v>
      </c>
      <c r="J271" s="4"/>
      <c r="K271" s="4">
        <v>2.8312206268310547E-7</v>
      </c>
      <c r="L271" s="4">
        <v>0</v>
      </c>
      <c r="M271" s="4">
        <v>137317.57</v>
      </c>
      <c r="N271" s="4">
        <v>0</v>
      </c>
      <c r="O271" s="4">
        <v>1100000</v>
      </c>
      <c r="P271" s="4">
        <v>0</v>
      </c>
      <c r="Q271" s="4">
        <v>10125000</v>
      </c>
      <c r="R271" s="4">
        <v>7121810</v>
      </c>
      <c r="S271" s="4">
        <v>5644007</v>
      </c>
      <c r="T271" s="4">
        <v>20887594.859999999</v>
      </c>
      <c r="U271" s="4">
        <v>2560525</v>
      </c>
      <c r="V271" s="4"/>
      <c r="W271" s="284">
        <v>0</v>
      </c>
      <c r="X271" s="284">
        <v>0</v>
      </c>
      <c r="Y271" s="4">
        <v>1803840</v>
      </c>
      <c r="Z271" s="4">
        <v>2300803</v>
      </c>
      <c r="AA271" s="4">
        <v>8971988.3399999999</v>
      </c>
      <c r="AB271" s="4">
        <v>2343750</v>
      </c>
      <c r="AC271" s="4">
        <v>16316247</v>
      </c>
      <c r="AD271" s="4">
        <v>1050000</v>
      </c>
      <c r="AE271" s="4">
        <v>44836040.100000001</v>
      </c>
      <c r="AF271" s="4">
        <v>0</v>
      </c>
      <c r="AG271" s="4">
        <v>0</v>
      </c>
      <c r="AH271" s="4">
        <v>832869.52450034022</v>
      </c>
    </row>
    <row r="272" spans="1:34" x14ac:dyDescent="0.3">
      <c r="A272" s="256">
        <v>37133</v>
      </c>
      <c r="B272" s="4">
        <v>1250000</v>
      </c>
      <c r="C272" s="4">
        <v>1209030.26</v>
      </c>
      <c r="D272" s="4">
        <v>770244.5</v>
      </c>
      <c r="E272" s="4"/>
      <c r="F272" s="4"/>
      <c r="G272" s="4"/>
      <c r="H272" s="4">
        <v>0</v>
      </c>
      <c r="I272" s="4">
        <v>0</v>
      </c>
      <c r="J272" s="4"/>
      <c r="K272" s="4">
        <v>2.8312206268310547E-7</v>
      </c>
      <c r="L272" s="4">
        <v>0</v>
      </c>
      <c r="M272" s="4">
        <v>137317.57</v>
      </c>
      <c r="N272" s="4">
        <v>0</v>
      </c>
      <c r="O272" s="4">
        <v>1100000</v>
      </c>
      <c r="P272" s="4">
        <v>0</v>
      </c>
      <c r="Q272" s="4">
        <v>10125000</v>
      </c>
      <c r="R272" s="4">
        <v>7121810</v>
      </c>
      <c r="S272" s="4">
        <v>5644007</v>
      </c>
      <c r="T272" s="4">
        <v>20887594.859999999</v>
      </c>
      <c r="U272" s="4">
        <v>2560525</v>
      </c>
      <c r="V272" s="4"/>
      <c r="W272" s="284">
        <v>0</v>
      </c>
      <c r="X272" s="284">
        <v>0</v>
      </c>
      <c r="Y272" s="4">
        <v>1803840</v>
      </c>
      <c r="Z272" s="4">
        <v>2300803</v>
      </c>
      <c r="AA272" s="4">
        <v>8971988.3399999999</v>
      </c>
      <c r="AB272" s="4">
        <v>2343750</v>
      </c>
      <c r="AC272" s="4">
        <v>16316247</v>
      </c>
      <c r="AD272" s="4">
        <v>1050000</v>
      </c>
      <c r="AE272" s="4">
        <v>44836040.100000001</v>
      </c>
      <c r="AF272" s="4">
        <v>0</v>
      </c>
      <c r="AG272" s="4">
        <v>0</v>
      </c>
      <c r="AH272" s="4">
        <v>831403.448998412</v>
      </c>
    </row>
    <row r="273" spans="1:34" x14ac:dyDescent="0.3">
      <c r="A273" s="256">
        <v>37134</v>
      </c>
      <c r="B273" s="4">
        <v>1250000</v>
      </c>
      <c r="C273" s="4">
        <v>1209030.26</v>
      </c>
      <c r="D273" s="4">
        <v>770244.5</v>
      </c>
      <c r="E273" s="4"/>
      <c r="F273" s="4"/>
      <c r="G273" s="4"/>
      <c r="H273" s="4">
        <v>0</v>
      </c>
      <c r="I273" s="4">
        <v>0</v>
      </c>
      <c r="J273" s="4"/>
      <c r="K273" s="4">
        <v>2.8312206268310547E-7</v>
      </c>
      <c r="L273" s="4">
        <v>0</v>
      </c>
      <c r="M273" s="4">
        <v>137317.57</v>
      </c>
      <c r="N273" s="4">
        <v>0</v>
      </c>
      <c r="O273" s="4">
        <v>1100000</v>
      </c>
      <c r="P273" s="4">
        <v>0</v>
      </c>
      <c r="Q273" s="4">
        <v>10125000</v>
      </c>
      <c r="R273" s="4">
        <v>7121810</v>
      </c>
      <c r="S273" s="4">
        <v>5644007</v>
      </c>
      <c r="T273" s="4">
        <v>20887594.859999999</v>
      </c>
      <c r="U273" s="4">
        <v>2560525</v>
      </c>
      <c r="V273" s="4"/>
      <c r="W273" s="284">
        <v>0</v>
      </c>
      <c r="X273" s="284">
        <v>0</v>
      </c>
      <c r="Y273" s="4">
        <v>1803840</v>
      </c>
      <c r="Z273" s="4">
        <v>2300803</v>
      </c>
      <c r="AA273" s="4">
        <v>8971988.3399999999</v>
      </c>
      <c r="AB273" s="4">
        <v>2343750</v>
      </c>
      <c r="AC273" s="4">
        <v>16316247</v>
      </c>
      <c r="AD273" s="4">
        <v>1050000</v>
      </c>
      <c r="AE273" s="4">
        <v>44836040.100000001</v>
      </c>
      <c r="AF273" s="4">
        <v>0</v>
      </c>
      <c r="AG273" s="4">
        <v>0</v>
      </c>
      <c r="AH273" s="4">
        <v>832163.42952547711</v>
      </c>
    </row>
    <row r="274" spans="1:34" x14ac:dyDescent="0.3">
      <c r="A274" s="256">
        <v>37138</v>
      </c>
      <c r="B274" s="4">
        <v>1250000</v>
      </c>
      <c r="C274" s="4">
        <v>1209030.26</v>
      </c>
      <c r="D274" s="4">
        <v>770244.5</v>
      </c>
      <c r="E274" s="4"/>
      <c r="F274" s="4"/>
      <c r="G274" s="4"/>
      <c r="H274" s="4">
        <v>0</v>
      </c>
      <c r="I274" s="4">
        <v>0</v>
      </c>
      <c r="J274" s="4"/>
      <c r="K274" s="4">
        <v>2.8312206268310547E-7</v>
      </c>
      <c r="L274" s="4">
        <v>0</v>
      </c>
      <c r="M274" s="4">
        <v>137317.57</v>
      </c>
      <c r="N274" s="4">
        <v>0</v>
      </c>
      <c r="O274" s="4">
        <v>1100000</v>
      </c>
      <c r="P274" s="4">
        <v>0</v>
      </c>
      <c r="Q274" s="4">
        <v>10125000</v>
      </c>
      <c r="R274" s="4">
        <v>7121810</v>
      </c>
      <c r="S274" s="4">
        <v>5644007</v>
      </c>
      <c r="T274" s="4">
        <v>20887594.859999999</v>
      </c>
      <c r="U274" s="4">
        <v>2560525</v>
      </c>
      <c r="V274" s="4"/>
      <c r="W274" s="284">
        <v>0</v>
      </c>
      <c r="X274" s="284">
        <v>0</v>
      </c>
      <c r="Y274" s="4">
        <v>1803840</v>
      </c>
      <c r="Z274" s="4">
        <v>2300803</v>
      </c>
      <c r="AA274" s="4">
        <v>8971988.3399999999</v>
      </c>
      <c r="AB274" s="4">
        <v>2343750</v>
      </c>
      <c r="AC274" s="4">
        <v>16316247</v>
      </c>
      <c r="AD274" s="4">
        <v>1050000</v>
      </c>
      <c r="AE274" s="4">
        <v>44836040.100000001</v>
      </c>
      <c r="AF274" s="4">
        <v>0</v>
      </c>
      <c r="AG274" s="4">
        <v>0</v>
      </c>
      <c r="AH274" s="4">
        <v>831699.86334273382</v>
      </c>
    </row>
    <row r="275" spans="1:34" x14ac:dyDescent="0.3">
      <c r="A275" s="256">
        <v>37139</v>
      </c>
      <c r="B275" s="4">
        <v>1250000</v>
      </c>
      <c r="C275" s="4">
        <v>1209030.26</v>
      </c>
      <c r="D275" s="4">
        <v>770244.5</v>
      </c>
      <c r="E275" s="4"/>
      <c r="F275" s="4"/>
      <c r="G275" s="4"/>
      <c r="H275" s="4">
        <v>0</v>
      </c>
      <c r="I275" s="4">
        <v>0</v>
      </c>
      <c r="J275" s="4"/>
      <c r="K275" s="4">
        <v>2.8312206268310547E-7</v>
      </c>
      <c r="L275" s="4">
        <v>0</v>
      </c>
      <c r="M275" s="4">
        <v>137317.57</v>
      </c>
      <c r="N275" s="4">
        <v>0</v>
      </c>
      <c r="O275" s="4">
        <v>1100000</v>
      </c>
      <c r="P275" s="4">
        <v>0</v>
      </c>
      <c r="Q275" s="4">
        <v>10125000</v>
      </c>
      <c r="R275" s="4">
        <v>7121810</v>
      </c>
      <c r="S275" s="4">
        <v>5644007</v>
      </c>
      <c r="T275" s="4">
        <v>20887594.859999999</v>
      </c>
      <c r="U275" s="4">
        <v>2560525</v>
      </c>
      <c r="V275" s="4"/>
      <c r="W275" s="284">
        <v>0</v>
      </c>
      <c r="X275" s="284">
        <v>0</v>
      </c>
      <c r="Y275" s="4">
        <v>1803840</v>
      </c>
      <c r="Z275" s="4">
        <v>2300803</v>
      </c>
      <c r="AA275" s="4">
        <v>8971988.3399999999</v>
      </c>
      <c r="AB275" s="4">
        <v>2343750</v>
      </c>
      <c r="AC275" s="4">
        <v>16316247</v>
      </c>
      <c r="AD275" s="4">
        <v>1050000</v>
      </c>
      <c r="AE275" s="4">
        <v>44836040.100000001</v>
      </c>
      <c r="AF275" s="4">
        <v>0</v>
      </c>
      <c r="AG275" s="4">
        <v>0</v>
      </c>
      <c r="AH275" s="4">
        <v>830017.89095691708</v>
      </c>
    </row>
    <row r="276" spans="1:34" x14ac:dyDescent="0.3">
      <c r="A276" s="256">
        <v>37140</v>
      </c>
      <c r="B276" s="4">
        <v>1250000</v>
      </c>
      <c r="C276" s="4">
        <v>1209030.26</v>
      </c>
      <c r="D276" s="4">
        <v>770244.5</v>
      </c>
      <c r="E276" s="4"/>
      <c r="F276" s="4"/>
      <c r="G276" s="4"/>
      <c r="H276" s="4">
        <v>0</v>
      </c>
      <c r="I276" s="4">
        <v>0</v>
      </c>
      <c r="J276" s="4"/>
      <c r="K276" s="4">
        <v>2.8312206268310547E-7</v>
      </c>
      <c r="L276" s="4">
        <v>0</v>
      </c>
      <c r="M276" s="4">
        <v>137317.57</v>
      </c>
      <c r="N276" s="4">
        <v>0</v>
      </c>
      <c r="O276" s="4">
        <v>1100000</v>
      </c>
      <c r="P276" s="4">
        <v>0</v>
      </c>
      <c r="Q276" s="4">
        <v>10125000</v>
      </c>
      <c r="R276" s="4">
        <v>7121810</v>
      </c>
      <c r="S276" s="4">
        <v>5644007</v>
      </c>
      <c r="T276" s="4">
        <v>20887594.859999999</v>
      </c>
      <c r="U276" s="4">
        <v>2560525</v>
      </c>
      <c r="V276" s="4"/>
      <c r="W276" s="284">
        <v>0</v>
      </c>
      <c r="X276" s="284">
        <v>0</v>
      </c>
      <c r="Y276" s="4">
        <v>1803840</v>
      </c>
      <c r="Z276" s="4">
        <v>2300803</v>
      </c>
      <c r="AA276" s="4">
        <v>8971988.3399999999</v>
      </c>
      <c r="AB276" s="4">
        <v>2343750</v>
      </c>
      <c r="AC276" s="4">
        <v>16316247</v>
      </c>
      <c r="AD276" s="4">
        <v>1050000</v>
      </c>
      <c r="AE276" s="4">
        <v>44836040.100000001</v>
      </c>
      <c r="AF276" s="4">
        <v>0</v>
      </c>
      <c r="AG276" s="4">
        <v>0</v>
      </c>
      <c r="AH276" s="4">
        <v>831724.39923998807</v>
      </c>
    </row>
    <row r="277" spans="1:34" x14ac:dyDescent="0.3">
      <c r="A277" s="256">
        <v>37141</v>
      </c>
      <c r="B277" s="4">
        <v>1250000</v>
      </c>
      <c r="C277" s="4">
        <v>1209030.26</v>
      </c>
      <c r="D277" s="4">
        <v>770244.5</v>
      </c>
      <c r="E277" s="4"/>
      <c r="F277" s="4"/>
      <c r="G277" s="4"/>
      <c r="H277" s="4">
        <v>0</v>
      </c>
      <c r="I277" s="4">
        <v>0</v>
      </c>
      <c r="J277" s="4"/>
      <c r="K277" s="4">
        <v>2.8312206268310547E-7</v>
      </c>
      <c r="L277" s="4">
        <v>0</v>
      </c>
      <c r="M277" s="4">
        <v>137317.57</v>
      </c>
      <c r="N277" s="4">
        <v>0</v>
      </c>
      <c r="O277" s="4">
        <v>1100000</v>
      </c>
      <c r="P277" s="4">
        <v>0</v>
      </c>
      <c r="Q277" s="4">
        <v>10125000</v>
      </c>
      <c r="R277" s="4">
        <v>7121810</v>
      </c>
      <c r="S277" s="4">
        <v>5644007</v>
      </c>
      <c r="T277" s="4">
        <v>20887594.859999999</v>
      </c>
      <c r="U277" s="4">
        <v>2560525</v>
      </c>
      <c r="V277" s="4"/>
      <c r="W277" s="284">
        <v>0</v>
      </c>
      <c r="X277" s="284">
        <v>0</v>
      </c>
      <c r="Y277" s="4">
        <v>1803840</v>
      </c>
      <c r="Z277" s="4">
        <v>2300803</v>
      </c>
      <c r="AA277" s="4">
        <v>8971988.3399999999</v>
      </c>
      <c r="AB277" s="4">
        <v>2343750</v>
      </c>
      <c r="AC277" s="4">
        <v>16316247</v>
      </c>
      <c r="AD277" s="4">
        <v>1050000</v>
      </c>
      <c r="AE277" s="4">
        <v>44836040.100000001</v>
      </c>
      <c r="AF277" s="4">
        <v>0</v>
      </c>
      <c r="AG277" s="4">
        <v>0</v>
      </c>
      <c r="AH277" s="4">
        <v>831321.13727584272</v>
      </c>
    </row>
    <row r="278" spans="1:34" x14ac:dyDescent="0.3">
      <c r="A278" s="256">
        <v>37144</v>
      </c>
      <c r="B278" s="4">
        <v>1250000</v>
      </c>
      <c r="C278" s="4">
        <v>1209030.26</v>
      </c>
      <c r="D278" s="4">
        <v>950000</v>
      </c>
      <c r="E278" s="4"/>
      <c r="F278" s="4"/>
      <c r="G278" s="4"/>
      <c r="H278" s="4">
        <v>0</v>
      </c>
      <c r="I278" s="4">
        <v>0</v>
      </c>
      <c r="J278" s="4"/>
      <c r="K278" s="4">
        <v>2.8312206268310547E-7</v>
      </c>
      <c r="L278" s="4">
        <v>0</v>
      </c>
      <c r="M278" s="4">
        <v>137317.57</v>
      </c>
      <c r="N278" s="4">
        <v>0</v>
      </c>
      <c r="O278" s="4">
        <v>1100000</v>
      </c>
      <c r="P278" s="4">
        <v>0</v>
      </c>
      <c r="Q278" s="4">
        <v>10125000</v>
      </c>
      <c r="R278" s="4">
        <v>7121810</v>
      </c>
      <c r="S278" s="4">
        <v>5644007</v>
      </c>
      <c r="T278" s="4">
        <v>20887594.859999999</v>
      </c>
      <c r="U278" s="4">
        <v>2560525</v>
      </c>
      <c r="V278" s="4"/>
      <c r="W278" s="284">
        <v>0</v>
      </c>
      <c r="X278" s="284">
        <v>0</v>
      </c>
      <c r="Y278" s="4">
        <v>1803840</v>
      </c>
      <c r="Z278" s="4">
        <v>2300803</v>
      </c>
      <c r="AA278" s="4">
        <v>8971988.3399999999</v>
      </c>
      <c r="AB278" s="4">
        <v>2343750</v>
      </c>
      <c r="AC278" s="4">
        <v>16316247</v>
      </c>
      <c r="AD278" s="4">
        <v>1050000</v>
      </c>
      <c r="AE278" s="4">
        <v>44836040.100000001</v>
      </c>
      <c r="AF278" s="4">
        <v>0</v>
      </c>
      <c r="AG278" s="4">
        <v>0</v>
      </c>
      <c r="AH278" s="4">
        <v>832373.45009502105</v>
      </c>
    </row>
    <row r="279" spans="1:34" x14ac:dyDescent="0.3">
      <c r="A279" s="256">
        <v>37148</v>
      </c>
      <c r="B279" s="4">
        <v>1250000</v>
      </c>
      <c r="C279" s="4">
        <v>1209030.26</v>
      </c>
      <c r="D279" s="4">
        <v>950000</v>
      </c>
      <c r="E279" s="4"/>
      <c r="F279" s="4"/>
      <c r="G279" s="4"/>
      <c r="H279" s="4">
        <v>0</v>
      </c>
      <c r="I279" s="4">
        <v>0</v>
      </c>
      <c r="J279" s="4"/>
      <c r="K279" s="4">
        <v>2.8312206268310547E-7</v>
      </c>
      <c r="L279" s="4">
        <v>0</v>
      </c>
      <c r="M279" s="4">
        <v>137317.57</v>
      </c>
      <c r="N279" s="4">
        <v>0</v>
      </c>
      <c r="O279" s="4">
        <v>1100000</v>
      </c>
      <c r="P279" s="4">
        <v>0</v>
      </c>
      <c r="Q279" s="4">
        <v>10125000</v>
      </c>
      <c r="R279" s="4">
        <v>7121810</v>
      </c>
      <c r="S279" s="4">
        <v>5644007</v>
      </c>
      <c r="T279" s="4">
        <v>20887594.859999999</v>
      </c>
      <c r="U279" s="4">
        <v>2560525</v>
      </c>
      <c r="V279" s="4"/>
      <c r="W279" s="284">
        <v>0</v>
      </c>
      <c r="X279" s="284">
        <v>0</v>
      </c>
      <c r="Y279" s="4">
        <v>1803840</v>
      </c>
      <c r="Z279" s="4">
        <v>2300803</v>
      </c>
      <c r="AA279" s="4">
        <v>8971988.3399999999</v>
      </c>
      <c r="AB279" s="4">
        <v>2343750</v>
      </c>
      <c r="AC279" s="4">
        <v>16316247</v>
      </c>
      <c r="AD279" s="4">
        <v>1050000</v>
      </c>
      <c r="AE279" s="4">
        <v>44836040.100000001</v>
      </c>
      <c r="AF279" s="4">
        <v>0</v>
      </c>
      <c r="AG279" s="4">
        <v>0</v>
      </c>
      <c r="AH279" s="4">
        <v>830522.18847018387</v>
      </c>
    </row>
    <row r="280" spans="1:34" x14ac:dyDescent="0.3">
      <c r="A280" s="256">
        <v>37151</v>
      </c>
      <c r="B280" s="4">
        <v>1250000</v>
      </c>
      <c r="C280" s="4">
        <v>1209030.26</v>
      </c>
      <c r="D280" s="4">
        <v>950000</v>
      </c>
      <c r="E280" s="4"/>
      <c r="F280" s="4"/>
      <c r="G280" s="4"/>
      <c r="H280" s="4">
        <v>0</v>
      </c>
      <c r="I280" s="4">
        <v>0</v>
      </c>
      <c r="J280" s="4"/>
      <c r="K280" s="4">
        <v>2.8312206268310547E-7</v>
      </c>
      <c r="L280" s="4">
        <v>0</v>
      </c>
      <c r="M280" s="4">
        <v>137317.57</v>
      </c>
      <c r="N280" s="4">
        <v>0</v>
      </c>
      <c r="O280" s="4">
        <v>1100000</v>
      </c>
      <c r="P280" s="4">
        <v>0</v>
      </c>
      <c r="Q280" s="4">
        <v>10125000</v>
      </c>
      <c r="R280" s="4">
        <v>7121810</v>
      </c>
      <c r="S280" s="4">
        <v>5644007</v>
      </c>
      <c r="T280" s="4">
        <v>21700094.859999999</v>
      </c>
      <c r="U280" s="4">
        <v>2560525</v>
      </c>
      <c r="V280" s="4"/>
      <c r="W280" s="284">
        <v>0</v>
      </c>
      <c r="X280" s="284">
        <v>0</v>
      </c>
      <c r="Y280" s="4">
        <v>1803840</v>
      </c>
      <c r="Z280" s="4">
        <v>2300803</v>
      </c>
      <c r="AA280" s="4">
        <v>8971988.3399999999</v>
      </c>
      <c r="AB280" s="4">
        <v>2343750</v>
      </c>
      <c r="AC280" s="4">
        <v>16316247</v>
      </c>
      <c r="AD280" s="4">
        <v>1050000</v>
      </c>
      <c r="AE280" s="4">
        <v>44836040.100000001</v>
      </c>
      <c r="AF280" s="4">
        <v>0</v>
      </c>
      <c r="AG280" s="4">
        <v>0</v>
      </c>
      <c r="AH280" s="4">
        <v>830522.18847018387</v>
      </c>
    </row>
    <row r="281" spans="1:34" x14ac:dyDescent="0.3">
      <c r="A281" s="256">
        <v>37152</v>
      </c>
      <c r="B281" s="4">
        <v>1250000</v>
      </c>
      <c r="C281" s="4">
        <v>1209030.26</v>
      </c>
      <c r="D281" s="4">
        <v>950000</v>
      </c>
      <c r="E281" s="4"/>
      <c r="F281" s="4"/>
      <c r="G281" s="4"/>
      <c r="H281" s="4">
        <v>0</v>
      </c>
      <c r="I281" s="4">
        <v>0</v>
      </c>
      <c r="J281" s="4"/>
      <c r="K281" s="4">
        <v>2.8312206268310547E-7</v>
      </c>
      <c r="L281" s="4">
        <v>0</v>
      </c>
      <c r="M281" s="4">
        <v>137317.57</v>
      </c>
      <c r="N281" s="4">
        <v>0</v>
      </c>
      <c r="O281" s="4">
        <v>1100000</v>
      </c>
      <c r="P281" s="4">
        <v>0</v>
      </c>
      <c r="Q281" s="4">
        <v>10125000</v>
      </c>
      <c r="R281" s="4">
        <v>7121810</v>
      </c>
      <c r="S281" s="4">
        <v>5644007</v>
      </c>
      <c r="T281" s="4">
        <v>21700094.859999999</v>
      </c>
      <c r="U281" s="4">
        <v>2560525</v>
      </c>
      <c r="V281" s="4"/>
      <c r="W281" s="284">
        <v>0</v>
      </c>
      <c r="X281" s="284">
        <v>0</v>
      </c>
      <c r="Y281" s="4">
        <v>1803840</v>
      </c>
      <c r="Z281" s="4">
        <v>2300803</v>
      </c>
      <c r="AA281" s="4">
        <v>8971988.3399999999</v>
      </c>
      <c r="AB281" s="4">
        <v>2343750</v>
      </c>
      <c r="AC281" s="4">
        <v>16316247</v>
      </c>
      <c r="AD281" s="4">
        <v>1050000</v>
      </c>
      <c r="AE281" s="4">
        <v>44836040.100000001</v>
      </c>
      <c r="AF281" s="4">
        <v>0</v>
      </c>
      <c r="AG281" s="4">
        <v>0</v>
      </c>
      <c r="AH281" s="4">
        <v>826724.54638832784</v>
      </c>
    </row>
    <row r="282" spans="1:34" x14ac:dyDescent="0.3">
      <c r="A282" s="256">
        <v>37153</v>
      </c>
      <c r="B282" s="4">
        <v>1250000</v>
      </c>
      <c r="C282" s="4">
        <v>1209030.26</v>
      </c>
      <c r="D282" s="4">
        <v>950000</v>
      </c>
      <c r="E282" s="4"/>
      <c r="F282" s="4"/>
      <c r="G282" s="4"/>
      <c r="H282" s="4">
        <v>0</v>
      </c>
      <c r="I282" s="4">
        <v>0</v>
      </c>
      <c r="J282" s="4"/>
      <c r="K282" s="4">
        <v>2.8312206268310547E-7</v>
      </c>
      <c r="L282" s="4">
        <v>0</v>
      </c>
      <c r="M282" s="4">
        <v>137317.57</v>
      </c>
      <c r="N282" s="4">
        <v>0</v>
      </c>
      <c r="O282" s="4">
        <v>1100000</v>
      </c>
      <c r="P282" s="4">
        <v>0</v>
      </c>
      <c r="Q282" s="4">
        <v>10125000</v>
      </c>
      <c r="R282" s="4">
        <v>7121810</v>
      </c>
      <c r="S282" s="4">
        <v>5644007</v>
      </c>
      <c r="T282" s="4">
        <v>20887594.859999999</v>
      </c>
      <c r="U282" s="4">
        <v>2560525</v>
      </c>
      <c r="V282" s="4"/>
      <c r="W282" s="284">
        <v>0</v>
      </c>
      <c r="X282" s="284">
        <v>0</v>
      </c>
      <c r="Y282" s="4">
        <v>1803840</v>
      </c>
      <c r="Z282" s="4">
        <v>2300803</v>
      </c>
      <c r="AA282" s="4">
        <v>8971988.3399999999</v>
      </c>
      <c r="AB282" s="4">
        <v>2343750</v>
      </c>
      <c r="AC282" s="4">
        <v>16316247</v>
      </c>
      <c r="AD282" s="4">
        <v>1050000</v>
      </c>
      <c r="AE282" s="4">
        <v>44836040.100000001</v>
      </c>
      <c r="AF282" s="4">
        <v>0</v>
      </c>
      <c r="AG282" s="4">
        <v>0</v>
      </c>
      <c r="AH282" s="4">
        <v>830367.18564566877</v>
      </c>
    </row>
    <row r="283" spans="1:34" x14ac:dyDescent="0.3">
      <c r="A283" s="256">
        <v>37154</v>
      </c>
      <c r="B283" s="4">
        <v>1250000</v>
      </c>
      <c r="C283" s="4">
        <v>1209030.26</v>
      </c>
      <c r="D283" s="4">
        <v>950000</v>
      </c>
      <c r="E283" s="4"/>
      <c r="F283" s="4"/>
      <c r="G283" s="4"/>
      <c r="H283" s="4">
        <v>0</v>
      </c>
      <c r="I283" s="4">
        <v>0</v>
      </c>
      <c r="J283" s="4"/>
      <c r="K283" s="4">
        <v>2.8312206268310547E-7</v>
      </c>
      <c r="L283" s="4">
        <v>0</v>
      </c>
      <c r="M283" s="4">
        <v>137317.57</v>
      </c>
      <c r="N283" s="4">
        <v>0</v>
      </c>
      <c r="O283" s="4">
        <v>1100000</v>
      </c>
      <c r="P283" s="4">
        <v>0</v>
      </c>
      <c r="Q283" s="4">
        <v>10125000</v>
      </c>
      <c r="R283" s="4">
        <v>7121810</v>
      </c>
      <c r="S283" s="4">
        <v>5644007</v>
      </c>
      <c r="T283" s="4">
        <v>20887594.859999999</v>
      </c>
      <c r="U283" s="4">
        <v>2560525</v>
      </c>
      <c r="V283" s="4"/>
      <c r="W283" s="284">
        <v>0</v>
      </c>
      <c r="X283" s="284">
        <v>0</v>
      </c>
      <c r="Y283" s="4">
        <v>1803840</v>
      </c>
      <c r="Z283" s="4">
        <v>2300803</v>
      </c>
      <c r="AA283" s="4">
        <v>8971988.3399999999</v>
      </c>
      <c r="AB283" s="4">
        <v>2343750</v>
      </c>
      <c r="AC283" s="4">
        <v>16316247</v>
      </c>
      <c r="AD283" s="4">
        <v>1050000</v>
      </c>
      <c r="AE283" s="4">
        <v>44836040.100000001</v>
      </c>
      <c r="AF283" s="4">
        <v>0</v>
      </c>
      <c r="AG283" s="4">
        <v>0</v>
      </c>
      <c r="AH283" s="4">
        <v>826411.17210011883</v>
      </c>
    </row>
    <row r="284" spans="1:34" x14ac:dyDescent="0.3">
      <c r="A284" s="256">
        <v>37155</v>
      </c>
      <c r="B284" s="4">
        <v>1250000</v>
      </c>
      <c r="C284" s="4">
        <v>1209030.26</v>
      </c>
      <c r="D284" s="4">
        <v>950000</v>
      </c>
      <c r="E284" s="4"/>
      <c r="F284" s="4"/>
      <c r="G284" s="4"/>
      <c r="H284" s="4">
        <v>0</v>
      </c>
      <c r="I284" s="4">
        <v>0</v>
      </c>
      <c r="J284" s="4"/>
      <c r="K284" s="4">
        <v>2.8312206268310547E-7</v>
      </c>
      <c r="L284" s="4">
        <v>0</v>
      </c>
      <c r="M284" s="4">
        <v>137317.57</v>
      </c>
      <c r="N284" s="4">
        <v>0</v>
      </c>
      <c r="O284" s="4">
        <v>1100000</v>
      </c>
      <c r="P284" s="4">
        <v>0</v>
      </c>
      <c r="Q284" s="4">
        <v>10125000</v>
      </c>
      <c r="R284" s="4">
        <v>7121810</v>
      </c>
      <c r="S284" s="4">
        <v>5644007</v>
      </c>
      <c r="T284" s="4">
        <v>20887594.859999999</v>
      </c>
      <c r="U284" s="4">
        <v>2560525</v>
      </c>
      <c r="V284" s="4"/>
      <c r="W284" s="284">
        <v>0</v>
      </c>
      <c r="X284" s="284">
        <v>0</v>
      </c>
      <c r="Y284" s="4">
        <v>1803840</v>
      </c>
      <c r="Z284" s="4">
        <v>2300803</v>
      </c>
      <c r="AA284" s="4">
        <v>8971988.3399999999</v>
      </c>
      <c r="AB284" s="4">
        <v>2343750</v>
      </c>
      <c r="AC284" s="4">
        <v>16316247</v>
      </c>
      <c r="AD284" s="4">
        <v>1050000</v>
      </c>
      <c r="AE284" s="4">
        <v>44836040.100000001</v>
      </c>
      <c r="AF284" s="4">
        <v>0</v>
      </c>
      <c r="AG284" s="4">
        <v>0</v>
      </c>
      <c r="AH284" s="4">
        <v>824894.9990008974</v>
      </c>
    </row>
    <row r="285" spans="1:34" x14ac:dyDescent="0.3">
      <c r="A285" s="256">
        <v>37158</v>
      </c>
      <c r="B285" s="4">
        <v>1250000</v>
      </c>
      <c r="C285" s="4">
        <v>1209030.26</v>
      </c>
      <c r="D285" s="4">
        <v>950000</v>
      </c>
      <c r="E285" s="4"/>
      <c r="F285" s="4"/>
      <c r="G285" s="4"/>
      <c r="H285" s="4">
        <v>0</v>
      </c>
      <c r="I285" s="4">
        <v>0</v>
      </c>
      <c r="J285" s="4"/>
      <c r="K285" s="4">
        <v>2.8312206268310547E-7</v>
      </c>
      <c r="L285" s="4">
        <v>0</v>
      </c>
      <c r="M285" s="4">
        <v>137317.57</v>
      </c>
      <c r="N285" s="4">
        <v>0</v>
      </c>
      <c r="O285" s="4">
        <v>1100000</v>
      </c>
      <c r="P285" s="4">
        <v>0</v>
      </c>
      <c r="Q285" s="4">
        <v>10125000</v>
      </c>
      <c r="R285" s="4">
        <v>7121810</v>
      </c>
      <c r="S285" s="4">
        <v>5644007</v>
      </c>
      <c r="T285" s="4">
        <v>20887594.859999999</v>
      </c>
      <c r="U285" s="4">
        <v>2560525</v>
      </c>
      <c r="V285" s="4"/>
      <c r="W285" s="284">
        <v>0</v>
      </c>
      <c r="X285" s="284">
        <v>0</v>
      </c>
      <c r="Y285" s="4">
        <v>1803840</v>
      </c>
      <c r="Z285" s="4">
        <v>2300803</v>
      </c>
      <c r="AA285" s="4">
        <v>8971988.3399999999</v>
      </c>
      <c r="AB285" s="4">
        <v>2343750</v>
      </c>
      <c r="AC285" s="4">
        <v>16316247</v>
      </c>
      <c r="AD285" s="4">
        <v>1050000</v>
      </c>
      <c r="AE285" s="4">
        <v>44836040.100000001</v>
      </c>
      <c r="AF285" s="4">
        <v>0</v>
      </c>
      <c r="AG285" s="4">
        <v>0</v>
      </c>
      <c r="AH285" s="4">
        <v>824030.35800453403</v>
      </c>
    </row>
    <row r="286" spans="1:34" x14ac:dyDescent="0.3">
      <c r="A286" s="256">
        <v>37159</v>
      </c>
      <c r="B286" s="4">
        <v>1250000</v>
      </c>
      <c r="C286" s="4">
        <v>1209030.26</v>
      </c>
      <c r="D286" s="4">
        <v>950000</v>
      </c>
      <c r="E286" s="4"/>
      <c r="F286" s="4"/>
      <c r="G286" s="4"/>
      <c r="H286" s="4">
        <v>0</v>
      </c>
      <c r="I286" s="4">
        <v>0</v>
      </c>
      <c r="J286" s="4"/>
      <c r="K286" s="4">
        <v>2.8312206268310547E-7</v>
      </c>
      <c r="L286" s="4">
        <v>0</v>
      </c>
      <c r="M286" s="4">
        <v>137317.57</v>
      </c>
      <c r="N286" s="4">
        <v>0</v>
      </c>
      <c r="O286" s="4">
        <v>1100000</v>
      </c>
      <c r="P286" s="4">
        <v>0</v>
      </c>
      <c r="Q286" s="4">
        <v>10125000</v>
      </c>
      <c r="R286" s="4">
        <v>7121810</v>
      </c>
      <c r="S286" s="4">
        <v>5644007</v>
      </c>
      <c r="T286" s="4">
        <v>20887594.859999999</v>
      </c>
      <c r="U286" s="4">
        <v>2560525</v>
      </c>
      <c r="V286" s="4"/>
      <c r="W286" s="284">
        <v>0</v>
      </c>
      <c r="X286" s="284">
        <v>0</v>
      </c>
      <c r="Y286" s="4">
        <v>1803840</v>
      </c>
      <c r="Z286" s="4">
        <v>2300803</v>
      </c>
      <c r="AA286" s="4">
        <v>8971988.3399999999</v>
      </c>
      <c r="AB286" s="4">
        <v>2343750</v>
      </c>
      <c r="AC286" s="4">
        <v>16316247</v>
      </c>
      <c r="AD286" s="4">
        <v>1050000</v>
      </c>
      <c r="AE286" s="4">
        <v>44836040.100000001</v>
      </c>
      <c r="AF286" s="4">
        <v>0</v>
      </c>
      <c r="AG286" s="4">
        <v>0</v>
      </c>
      <c r="AH286" s="4">
        <v>825014.2439065621</v>
      </c>
    </row>
    <row r="287" spans="1:34" x14ac:dyDescent="0.3">
      <c r="A287" s="256">
        <v>37160</v>
      </c>
      <c r="B287" s="4">
        <v>1250000</v>
      </c>
      <c r="C287" s="4">
        <v>1209030.26</v>
      </c>
      <c r="D287" s="4">
        <v>950000</v>
      </c>
      <c r="E287" s="4"/>
      <c r="F287" s="4"/>
      <c r="G287" s="4"/>
      <c r="H287" s="4">
        <v>0</v>
      </c>
      <c r="I287" s="4">
        <v>0</v>
      </c>
      <c r="J287" s="4"/>
      <c r="K287" s="4">
        <v>2.8312206268310547E-7</v>
      </c>
      <c r="L287" s="4">
        <v>0</v>
      </c>
      <c r="M287" s="4">
        <v>137317.57</v>
      </c>
      <c r="N287" s="4">
        <v>0</v>
      </c>
      <c r="O287" s="4">
        <v>1100000</v>
      </c>
      <c r="P287" s="4">
        <v>0</v>
      </c>
      <c r="Q287" s="4">
        <v>10125000</v>
      </c>
      <c r="R287" s="4">
        <v>7121810</v>
      </c>
      <c r="S287" s="4">
        <v>5644007</v>
      </c>
      <c r="T287" s="4">
        <v>20887594.859999999</v>
      </c>
      <c r="U287" s="4">
        <v>2560525</v>
      </c>
      <c r="V287" s="4"/>
      <c r="W287" s="284">
        <v>0</v>
      </c>
      <c r="X287" s="284">
        <v>0</v>
      </c>
      <c r="Y287" s="4">
        <v>1803840</v>
      </c>
      <c r="Z287" s="4">
        <v>2300803</v>
      </c>
      <c r="AA287" s="4">
        <v>8971988.3399999999</v>
      </c>
      <c r="AB287" s="4">
        <v>2343750</v>
      </c>
      <c r="AC287" s="4">
        <v>16316247</v>
      </c>
      <c r="AD287" s="4">
        <v>1050000</v>
      </c>
      <c r="AE287" s="4">
        <v>44836040.100000001</v>
      </c>
      <c r="AF287" s="4">
        <v>0</v>
      </c>
      <c r="AG287" s="4">
        <v>0</v>
      </c>
      <c r="AH287" s="4">
        <v>823441.53754537355</v>
      </c>
    </row>
    <row r="288" spans="1:34" x14ac:dyDescent="0.3">
      <c r="A288" s="256">
        <v>37161</v>
      </c>
      <c r="B288" s="4">
        <v>1250000</v>
      </c>
      <c r="C288" s="4">
        <v>1209030.26</v>
      </c>
      <c r="D288" s="4">
        <v>950000</v>
      </c>
      <c r="E288" s="4"/>
      <c r="F288" s="4"/>
      <c r="G288" s="4"/>
      <c r="H288" s="4">
        <v>0</v>
      </c>
      <c r="I288" s="4">
        <v>0</v>
      </c>
      <c r="J288" s="4"/>
      <c r="K288" s="4">
        <v>2.8312206268310547E-7</v>
      </c>
      <c r="L288" s="4">
        <v>0</v>
      </c>
      <c r="M288" s="4">
        <v>137317.57</v>
      </c>
      <c r="N288" s="4">
        <v>0</v>
      </c>
      <c r="O288" s="4">
        <v>1100000</v>
      </c>
      <c r="P288" s="4">
        <v>0</v>
      </c>
      <c r="Q288" s="4">
        <v>10125000</v>
      </c>
      <c r="R288" s="4">
        <v>7121810</v>
      </c>
      <c r="S288" s="4">
        <v>5644007</v>
      </c>
      <c r="T288" s="4">
        <v>20887594.859999999</v>
      </c>
      <c r="U288" s="4">
        <v>2560525</v>
      </c>
      <c r="V288" s="4"/>
      <c r="W288" s="284">
        <v>0</v>
      </c>
      <c r="X288" s="284">
        <v>0</v>
      </c>
      <c r="Y288" s="4">
        <v>1803840</v>
      </c>
      <c r="Z288" s="4">
        <v>2300803</v>
      </c>
      <c r="AA288" s="4">
        <v>8971988.3399999999</v>
      </c>
      <c r="AB288" s="4">
        <v>2343750</v>
      </c>
      <c r="AC288" s="4">
        <v>16316247</v>
      </c>
      <c r="AD288" s="4">
        <v>1050000</v>
      </c>
      <c r="AE288" s="4">
        <v>44836040.100000001</v>
      </c>
      <c r="AF288" s="4">
        <v>0</v>
      </c>
      <c r="AG288" s="4">
        <v>0</v>
      </c>
      <c r="AH288" s="4">
        <v>821386.00435693387</v>
      </c>
    </row>
    <row r="289" spans="2:34" x14ac:dyDescent="0.3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284"/>
      <c r="X289" s="28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 spans="2:34" x14ac:dyDescent="0.3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284"/>
      <c r="X290" s="28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 spans="2:34" x14ac:dyDescent="0.3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284"/>
      <c r="X291" s="28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376" spans="1:34" x14ac:dyDescent="0.3">
      <c r="A376" s="256" t="s">
        <v>175</v>
      </c>
      <c r="B376" t="s">
        <v>175</v>
      </c>
      <c r="C376" t="s">
        <v>175</v>
      </c>
      <c r="D376" t="s">
        <v>175</v>
      </c>
      <c r="E376" t="s">
        <v>175</v>
      </c>
      <c r="F376" t="s">
        <v>175</v>
      </c>
      <c r="G376" t="s">
        <v>175</v>
      </c>
      <c r="H376" t="s">
        <v>175</v>
      </c>
      <c r="I376" t="s">
        <v>175</v>
      </c>
      <c r="J376" t="s">
        <v>175</v>
      </c>
      <c r="K376" t="s">
        <v>175</v>
      </c>
      <c r="L376" t="s">
        <v>175</v>
      </c>
      <c r="M376" t="s">
        <v>175</v>
      </c>
      <c r="N376" t="s">
        <v>175</v>
      </c>
      <c r="O376" t="s">
        <v>175</v>
      </c>
      <c r="P376" t="s">
        <v>175</v>
      </c>
      <c r="Q376" t="s">
        <v>175</v>
      </c>
      <c r="R376" t="s">
        <v>175</v>
      </c>
      <c r="S376" t="s">
        <v>175</v>
      </c>
      <c r="T376" t="s">
        <v>175</v>
      </c>
      <c r="U376" t="s">
        <v>175</v>
      </c>
      <c r="V376" t="s">
        <v>175</v>
      </c>
      <c r="W376" t="s">
        <v>175</v>
      </c>
      <c r="X376" t="s">
        <v>175</v>
      </c>
      <c r="Y376" t="s">
        <v>175</v>
      </c>
      <c r="Z376" t="s">
        <v>175</v>
      </c>
      <c r="AA376" t="s">
        <v>175</v>
      </c>
      <c r="AB376" t="s">
        <v>175</v>
      </c>
      <c r="AC376" t="s">
        <v>175</v>
      </c>
      <c r="AD376" t="s">
        <v>175</v>
      </c>
      <c r="AE376" t="s">
        <v>175</v>
      </c>
      <c r="AF376" t="s">
        <v>175</v>
      </c>
      <c r="AG376" t="s">
        <v>175</v>
      </c>
      <c r="AH376" t="s">
        <v>175</v>
      </c>
    </row>
    <row r="378" spans="1:34" x14ac:dyDescent="0.3">
      <c r="A378" s="256">
        <f>+'Stock Prices'!A379</f>
        <v>37161</v>
      </c>
      <c r="B378" s="4">
        <f>INDEX([0]!MPRR, MATCH("Amerada Hess Exposure Raptor I",'MPR Raptor'!$E$3:$E$140,), MATCH("Per Share",'MPR Raptor'!$E$3:$CM$3,))-'Private Cash'!B378</f>
        <v>1250000</v>
      </c>
      <c r="C378" s="4">
        <f>INDEX([0]!MPRR, MATCH("Ameritex Raptor I",'MPR Raptor'!$E$3:$E$140,), MATCH("Per Share",'MPR Raptor'!$E$3:$CM$3,))-'Private Cash'!C378</f>
        <v>1209030.2600000007</v>
      </c>
      <c r="D378" s="4">
        <f>INDEX([0]!MPRR, MATCH("Basic Energy CFPC Raptor I",'MPR Raptor'!$E$3:$E$140,), MATCH("Per Share",'MPR Raptor'!$E$3:$CM$3,))-'Private Cash'!D378</f>
        <v>950000</v>
      </c>
      <c r="E378" s="4"/>
      <c r="F378" s="4"/>
      <c r="G378" s="4"/>
      <c r="H378" s="4">
        <f>INDEX([0]!MPRR, MATCH("City Forest IPC Raptor I",'MPR Raptor'!$E$3:$E$140,), MATCH("Per Share",'MPR Raptor'!$E$3:$CM$3,))-'Private Cash'!H378</f>
        <v>0</v>
      </c>
      <c r="I378" s="4">
        <f>INDEX([0]!MPRR, MATCH("Ecogas Loan Raptor I",'MPR Raptor'!$E$3:$E$140,), MATCH("Per Share",'MPR Raptor'!$E$3:$CM$3,))-'Private Cash'!I378</f>
        <v>0</v>
      </c>
      <c r="J378" s="4"/>
      <c r="K378" s="4">
        <f>INDEX([0]!MPRR, MATCH("Heartland Steel Common Raptor I",'MPR Raptor'!$E$3:$E$140,), MATCH("Per Share",'MPR Raptor'!$E$3:$CM$3,))*'Daily Position'!$H$43-'Private Cash'!K378</f>
        <v>2.8312206268310547E-7</v>
      </c>
      <c r="L378" s="4">
        <f>INDEX([0]!MPRR, MATCH("Heartland Steel Common Condor Raptor I",'MPR Raptor'!$E$3:$E$140,), MATCH("Per Share",'MPR Raptor'!$E$3:$CM$3,))-'Private Cash'!L378</f>
        <v>0</v>
      </c>
      <c r="M378" s="4">
        <f>INDEX([0]!MPRR, MATCH("Heartland Contingent Construction Loan Raptor I",'MPR Raptor'!$E$3:$E$140,), MATCH("Per Share",'MPR Raptor'!$E$3:$CM$3,))-'Private Cash'!M378</f>
        <v>137317.57000000012</v>
      </c>
      <c r="N378" s="4">
        <f>INDEX([0]!MPRR, MATCH("Heartland Steel Warrants Raptor I",'MPR Raptor'!$E$3:$E$140,), MATCH("Per Share",'MPR Raptor'!$E$3:$CM$3,))-'Private Cash'!N378</f>
        <v>0</v>
      </c>
      <c r="O378" s="4">
        <f>INDEX([0]!MPRR, MATCH("Hughes Rawls Loan Raptor I",'MPR Raptor'!$E$3:$E$140,), MATCH("Per Share",'MPR Raptor'!$E$3:$CM$3,))-'Private Cash'!O378</f>
        <v>1100000</v>
      </c>
      <c r="P378" s="4">
        <f>INDEX([0]!MPRR, MATCH("Hughes Rawls Note Raptor I",'MPR Raptor'!$E$3:$E$140,), MATCH("Per Share",'MPR Raptor'!$E$3:$CM$3,))-'Private Cash'!P378</f>
        <v>0</v>
      </c>
      <c r="Q378" s="4">
        <f>INDEX([0]!MPRR, MATCH("Hornbeck-Leevac Warrants Raptor I",'MPR Raptor'!$E$3:$E$140,), MATCH("Per Share",'MPR Raptor'!$E$3:$CM$3,))*'Private Cash'!Q386-'Private Cash'!Q378</f>
        <v>10125000</v>
      </c>
      <c r="R378" s="4">
        <f>INDEX([0]!MPRR, MATCH("Industrial Holdings Raptor I",'MPR Raptor'!$E$3:$E$140,), MATCH("Per Share",'MPR Raptor'!$E$3:$CM$3,))-'Private Cash'!R378</f>
        <v>7121810</v>
      </c>
      <c r="S378" s="4">
        <f>INDEX([0]!MPRR, MATCH("Invasion Energy Raptor I",'MPR Raptor'!$E$3:$E$140,), MATCH("Per Share",'MPR Raptor'!$E$3:$CM$3,))-'Private Cash'!S378</f>
        <v>5644007</v>
      </c>
      <c r="T378" s="4">
        <f>INDEX([0]!MPRR, MATCH("Juniper Raptor I",'MPR Raptor'!$E$3:$E$140,), MATCH("Per Share",'MPR Raptor'!$E$3:$CM$3,))-'Private Cash'!T378</f>
        <v>20887594.859999999</v>
      </c>
      <c r="U378" s="4">
        <f>INDEX([0]!MPRR, MATCH("Juniper Exposure Raptor I",'MPR Raptor'!$E$3:$E$140,), MATCH("Per Share",'MPR Raptor'!$E$3:$CM$3,))-'Private Cash'!U378</f>
        <v>2560525</v>
      </c>
      <c r="V378" s="4"/>
      <c r="W378" s="284">
        <f>INDEX([0]!MPRR, MATCH("LSI Preferred (AIM) Raptor I",'MPR Raptor'!$E$3:$E$140,), MATCH("Per Share",'MPR Raptor'!$E$3:$CM$3,))-'Private Cash'!W378</f>
        <v>0</v>
      </c>
      <c r="X378" s="284">
        <f>INDEX([0]!MPRR, MATCH("LSI Warrants (AIM) Raptor I",'MPR Raptor'!$E$3:$E$140,), MATCH("Per Share",'MPR Raptor'!$E$3:$CM$3,))-'Private Cash'!X378</f>
        <v>0</v>
      </c>
      <c r="Y378" s="4">
        <f>INDEX([0]!MPRR, MATCH("Oconto Falls Common Raptor I",'MPR Raptor'!$E$3:$E$140,), MATCH("Per Share",'MPR Raptor'!$E$3:$CM$3,))-'Private Cash'!Y378</f>
        <v>1803840</v>
      </c>
      <c r="Z378" s="4">
        <f>INDEX([0]!MPRR, MATCH("Oconto Falls IPC Raptor I",'MPR Raptor'!$E$3:$E$140,), MATCH("Per Share",'MPR Raptor'!$E$3:$CM$3,))-'Private Cash'!Z378</f>
        <v>2300803</v>
      </c>
      <c r="AA378" s="4">
        <f>INDEX([0]!MPRR, MATCH("Texland Raptor I",'MPR Raptor'!$E$3:$E$140,), MATCH("Per Share",'MPR Raptor'!$E$3:$CM$3,))-'Private Cash'!AA378</f>
        <v>8971988.3399999999</v>
      </c>
      <c r="AB378" s="4">
        <f>INDEX([0]!MPRR, MATCH("Texland Exposure Raptor I",'MPR Raptor'!$E$3:$E$140,), MATCH("Per Share",'MPR Raptor'!$E$3:$CM$3,))-'Private Cash'!AB378</f>
        <v>2343750</v>
      </c>
      <c r="AC378" s="4">
        <f>INDEX([0]!MPRR, MATCH("Vastar Raptor I",'MPR Raptor'!$E$3:$E$140,), MATCH("Per Share",'MPR Raptor'!$E$3:$CM$3,))-'Private Cash'!AC378</f>
        <v>16316247</v>
      </c>
      <c r="AD378" s="4">
        <f>INDEX([0]!MPRR, MATCH("Vastar Exposure Raptor I",'MPR Raptor'!$E$3:$E$140,), MATCH("Per Share",'MPR Raptor'!$E$3:$CM$3,))-'Private Cash'!AD378</f>
        <v>1050000</v>
      </c>
      <c r="AE378" s="4">
        <f>INDEX([0]!MPRR, MATCH("Venoco Convertible Raptor I",'MPR Raptor'!$E$3:$E$140,), MATCH("Per Share",'MPR Raptor'!$E$3:$CM$3,))*'Private Cash'!AE386-'Private Cash'!AE378</f>
        <v>44836040.100000001</v>
      </c>
      <c r="AF378" s="4">
        <f>INDEX([0]!MPRR, MATCH("WB Oil &amp; Gas Raptor I",'MPR Raptor'!$E$3:$E$140,), MATCH("Per Share",'MPR Raptor'!$E$3:$CM$3,))*'Daily Position'!$H$64-'Private Cash'!AF378</f>
        <v>0</v>
      </c>
      <c r="AG378" s="4">
        <f>INDEX([0]!MPRR, MATCH("Merlin Credit Derivative Raptor I",'MPR Raptor'!$E$3:$E$140,), MATCH("Per Share",'MPR Raptor'!$E$3:$CM$3,))-'Private Cash'!AG378</f>
        <v>0</v>
      </c>
      <c r="AH378" s="4">
        <f>(+P378+C378+'Daily Position'!$N$4*'Daily Position'!$H$4+'Daily Position'!$N$28*'Daily Position'!$H$28+'Daily Position'!$N$29*'Daily Position'!$H$29+'Daily Position'!$N$31*'Daily Position'!$H$31)/0.6*0.3612</f>
        <v>821998.13949260605</v>
      </c>
    </row>
    <row r="379" spans="1:34" x14ac:dyDescent="0.3">
      <c r="B379"/>
      <c r="D379"/>
      <c r="F379"/>
      <c r="H379"/>
      <c r="J379"/>
      <c r="L379"/>
      <c r="N379"/>
      <c r="P379"/>
      <c r="Q379"/>
      <c r="R379"/>
      <c r="T379"/>
      <c r="V379"/>
      <c r="X379"/>
      <c r="Z379"/>
    </row>
    <row r="380" spans="1:34" x14ac:dyDescent="0.3">
      <c r="B380"/>
      <c r="D380"/>
      <c r="F380"/>
      <c r="H380"/>
      <c r="J380"/>
      <c r="L380"/>
      <c r="N380"/>
      <c r="P380"/>
      <c r="Q380"/>
      <c r="R380"/>
      <c r="T380"/>
      <c r="V380"/>
      <c r="X380"/>
      <c r="Z380"/>
    </row>
    <row r="381" spans="1:34" x14ac:dyDescent="0.3">
      <c r="B381"/>
      <c r="D381"/>
      <c r="F381"/>
      <c r="H381"/>
      <c r="J381"/>
      <c r="L381"/>
      <c r="N381"/>
      <c r="P381"/>
      <c r="Q381"/>
      <c r="R381"/>
      <c r="T381"/>
      <c r="V381"/>
      <c r="X381"/>
      <c r="Z381"/>
    </row>
    <row r="382" spans="1:34" x14ac:dyDescent="0.3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4" x14ac:dyDescent="0.3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4" x14ac:dyDescent="0.3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3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3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3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3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3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3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3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3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3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3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3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3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3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3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3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3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3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3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3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3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3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3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3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3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3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3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3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3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3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3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3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  <row r="416" spans="2:26" x14ac:dyDescent="0.3">
      <c r="B416"/>
      <c r="D416"/>
      <c r="F416"/>
      <c r="H416"/>
      <c r="J416"/>
      <c r="L416"/>
      <c r="N416"/>
      <c r="P416"/>
      <c r="Q416"/>
      <c r="R416"/>
      <c r="T416"/>
      <c r="V416"/>
      <c r="X416"/>
      <c r="Z416"/>
    </row>
    <row r="417" spans="2:26" x14ac:dyDescent="0.3">
      <c r="B417"/>
      <c r="D417"/>
      <c r="F417"/>
      <c r="H417"/>
      <c r="J417"/>
      <c r="L417"/>
      <c r="N417"/>
      <c r="P417"/>
      <c r="Q417"/>
      <c r="R417"/>
      <c r="T417"/>
      <c r="V417"/>
      <c r="X417"/>
      <c r="Z417"/>
    </row>
  </sheetData>
  <phoneticPr fontId="0" type="noConversion"/>
  <pageMargins left="0.75" right="0.75" top="1" bottom="1" header="0.5" footer="0.5"/>
  <pageSetup scale="48" fitToWidth="3" fitToHeight="3" orientation="landscape" r:id="rId1"/>
  <headerFooter alignWithMargins="0"/>
  <colBreaks count="1" manualBreakCount="1">
    <brk id="22" min="1" max="172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423"/>
  <sheetViews>
    <sheetView topLeftCell="A3" workbookViewId="0">
      <pane xSplit="1" ySplit="1" topLeftCell="B287" activePane="bottomRight" state="frozen"/>
      <selection activeCell="B35" sqref="B35"/>
      <selection pane="topRight" activeCell="B35" sqref="B35"/>
      <selection pane="bottomLeft" activeCell="B35" sqref="B35"/>
      <selection pane="bottomRight" activeCell="A290" sqref="A290"/>
    </sheetView>
  </sheetViews>
  <sheetFormatPr defaultRowHeight="15.6" x14ac:dyDescent="0.3"/>
  <cols>
    <col min="1" max="1" width="8.69921875" style="256" customWidth="1"/>
    <col min="2" max="2" width="11.09765625" style="126" customWidth="1"/>
    <col min="3" max="3" width="12.59765625" bestFit="1" customWidth="1"/>
    <col min="4" max="4" width="13.8984375" style="126" customWidth="1"/>
    <col min="5" max="5" width="11.09765625" customWidth="1"/>
    <col min="6" max="6" width="13.09765625" style="126" customWidth="1"/>
    <col min="7" max="7" width="14.5" customWidth="1"/>
    <col min="8" max="8" width="11.09765625" style="126" customWidth="1"/>
    <col min="9" max="9" width="13.3984375" customWidth="1"/>
    <col min="10" max="10" width="11.09765625" style="128" customWidth="1"/>
    <col min="11" max="11" width="12.09765625" customWidth="1"/>
    <col min="12" max="12" width="12.09765625" style="126" customWidth="1"/>
    <col min="13" max="13" width="11.09765625" customWidth="1"/>
    <col min="14" max="14" width="11.09765625" style="126" customWidth="1"/>
    <col min="15" max="15" width="12.5" customWidth="1"/>
    <col min="16" max="16" width="9.59765625" style="126" customWidth="1"/>
    <col min="17" max="17" width="12.09765625" style="126" customWidth="1"/>
    <col min="18" max="18" width="11.09765625" style="126" customWidth="1"/>
    <col min="19" max="19" width="12.19921875" customWidth="1"/>
    <col min="20" max="20" width="12.09765625" style="127" customWidth="1"/>
    <col min="21" max="21" width="12.8984375" customWidth="1"/>
    <col min="22" max="22" width="13.3984375" style="126" customWidth="1"/>
    <col min="23" max="23" width="11.09765625" customWidth="1"/>
    <col min="24" max="24" width="11.69921875" style="126" bestFit="1" customWidth="1"/>
    <col min="25" max="25" width="11.09765625" customWidth="1"/>
    <col min="26" max="26" width="11.09765625" style="126" customWidth="1"/>
    <col min="27" max="28" width="11.09765625" customWidth="1"/>
    <col min="29" max="29" width="14.3984375" customWidth="1"/>
    <col min="30" max="30" width="12.59765625" customWidth="1"/>
    <col min="31" max="31" width="12.09765625" customWidth="1"/>
    <col min="32" max="32" width="11.09765625" customWidth="1"/>
    <col min="33" max="33" width="12.09765625" customWidth="1"/>
  </cols>
  <sheetData>
    <row r="1" spans="1:34" x14ac:dyDescent="0.3">
      <c r="A1" s="253" t="s">
        <v>159</v>
      </c>
      <c r="B1" s="122"/>
      <c r="C1" s="2"/>
      <c r="D1" s="125"/>
    </row>
    <row r="2" spans="1:34" s="101" customFormat="1" x14ac:dyDescent="0.3">
      <c r="A2" s="254"/>
      <c r="B2" s="101">
        <v>2</v>
      </c>
      <c r="C2" s="101">
        <v>3</v>
      </c>
      <c r="D2" s="101">
        <v>4</v>
      </c>
      <c r="E2" s="101">
        <v>5</v>
      </c>
      <c r="F2" s="101">
        <v>6</v>
      </c>
      <c r="G2" s="101">
        <v>7</v>
      </c>
      <c r="H2" s="101">
        <v>8</v>
      </c>
      <c r="I2" s="101">
        <v>9</v>
      </c>
      <c r="J2" s="101">
        <v>10</v>
      </c>
      <c r="K2" s="101">
        <v>11</v>
      </c>
      <c r="L2" s="101">
        <v>12</v>
      </c>
      <c r="M2" s="101">
        <v>13</v>
      </c>
      <c r="N2" s="101">
        <v>14</v>
      </c>
      <c r="O2" s="101">
        <v>15</v>
      </c>
      <c r="P2" s="101">
        <v>16</v>
      </c>
      <c r="Q2" s="101">
        <v>17</v>
      </c>
      <c r="R2" s="101">
        <v>18</v>
      </c>
      <c r="S2" s="101">
        <v>19</v>
      </c>
      <c r="T2" s="101">
        <v>20</v>
      </c>
      <c r="U2" s="101">
        <v>21</v>
      </c>
      <c r="V2" s="101">
        <v>22</v>
      </c>
      <c r="W2" s="101">
        <v>23</v>
      </c>
      <c r="X2" s="101">
        <v>24</v>
      </c>
      <c r="Y2" s="101">
        <v>25</v>
      </c>
      <c r="Z2" s="101">
        <v>26</v>
      </c>
      <c r="AA2" s="101">
        <v>27</v>
      </c>
      <c r="AB2" s="101">
        <v>28</v>
      </c>
      <c r="AC2" s="101">
        <v>29</v>
      </c>
      <c r="AD2" s="101">
        <v>30</v>
      </c>
      <c r="AE2" s="101">
        <v>31</v>
      </c>
      <c r="AF2" s="101">
        <v>32</v>
      </c>
      <c r="AG2" s="101">
        <v>33</v>
      </c>
    </row>
    <row r="3" spans="1:34" s="226" customFormat="1" ht="46.8" x14ac:dyDescent="0.3">
      <c r="A3" s="255" t="s">
        <v>1</v>
      </c>
      <c r="B3" s="224" t="s">
        <v>414</v>
      </c>
      <c r="C3" s="225" t="s">
        <v>214</v>
      </c>
      <c r="D3" s="225" t="s">
        <v>389</v>
      </c>
      <c r="E3" s="225" t="s">
        <v>215</v>
      </c>
      <c r="F3" s="225" t="s">
        <v>216</v>
      </c>
      <c r="G3" s="225" t="s">
        <v>178</v>
      </c>
      <c r="H3" s="225" t="s">
        <v>217</v>
      </c>
      <c r="I3" s="226" t="s">
        <v>412</v>
      </c>
      <c r="J3" s="225" t="s">
        <v>218</v>
      </c>
      <c r="K3" s="225" t="s">
        <v>403</v>
      </c>
      <c r="L3" s="225" t="s">
        <v>381</v>
      </c>
      <c r="M3" s="225" t="s">
        <v>404</v>
      </c>
      <c r="N3" s="225" t="s">
        <v>405</v>
      </c>
      <c r="O3" s="225" t="s">
        <v>219</v>
      </c>
      <c r="P3" s="225" t="s">
        <v>220</v>
      </c>
      <c r="Q3" s="225" t="s">
        <v>180</v>
      </c>
      <c r="R3" s="225" t="s">
        <v>221</v>
      </c>
      <c r="S3" s="225" t="s">
        <v>179</v>
      </c>
      <c r="T3" s="225" t="s">
        <v>222</v>
      </c>
      <c r="U3" s="225" t="s">
        <v>229</v>
      </c>
      <c r="V3" s="225" t="s">
        <v>223</v>
      </c>
      <c r="W3" s="225" t="s">
        <v>224</v>
      </c>
      <c r="X3" s="225" t="s">
        <v>225</v>
      </c>
      <c r="Y3" s="225" t="s">
        <v>226</v>
      </c>
      <c r="Z3" s="225" t="s">
        <v>413</v>
      </c>
      <c r="AA3" s="225" t="s">
        <v>227</v>
      </c>
      <c r="AB3" s="225" t="s">
        <v>230</v>
      </c>
      <c r="AC3" s="226" t="s">
        <v>406</v>
      </c>
      <c r="AD3" s="226" t="s">
        <v>407</v>
      </c>
      <c r="AE3" s="225" t="s">
        <v>383</v>
      </c>
      <c r="AF3" s="225" t="s">
        <v>382</v>
      </c>
      <c r="AG3" s="225" t="s">
        <v>181</v>
      </c>
    </row>
    <row r="4" spans="1:34" x14ac:dyDescent="0.3">
      <c r="A4" s="256">
        <v>36739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138"/>
    </row>
    <row r="5" spans="1:34" x14ac:dyDescent="0.3">
      <c r="A5" s="256">
        <v>36740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138"/>
    </row>
    <row r="6" spans="1:34" x14ac:dyDescent="0.3">
      <c r="A6" s="256">
        <v>36741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138"/>
    </row>
    <row r="7" spans="1:34" x14ac:dyDescent="0.3">
      <c r="A7" s="256">
        <v>36742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138"/>
    </row>
    <row r="8" spans="1:34" x14ac:dyDescent="0.3">
      <c r="A8" s="256">
        <v>36745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138"/>
    </row>
    <row r="9" spans="1:34" x14ac:dyDescent="0.3">
      <c r="A9" s="256">
        <v>36746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38"/>
    </row>
    <row r="10" spans="1:34" x14ac:dyDescent="0.3">
      <c r="A10" s="256">
        <v>36747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138"/>
    </row>
    <row r="11" spans="1:34" x14ac:dyDescent="0.3">
      <c r="A11" s="256">
        <v>36748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138"/>
    </row>
    <row r="12" spans="1:34" x14ac:dyDescent="0.3">
      <c r="A12" s="256">
        <v>36749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138"/>
    </row>
    <row r="13" spans="1:34" x14ac:dyDescent="0.3">
      <c r="A13" s="256">
        <v>36752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138"/>
    </row>
    <row r="14" spans="1:34" x14ac:dyDescent="0.3">
      <c r="A14" s="256">
        <v>36753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138"/>
    </row>
    <row r="15" spans="1:34" x14ac:dyDescent="0.3">
      <c r="A15" s="256">
        <v>36754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138"/>
    </row>
    <row r="16" spans="1:34" x14ac:dyDescent="0.3">
      <c r="A16" s="256">
        <v>36755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138"/>
    </row>
    <row r="17" spans="1:34" x14ac:dyDescent="0.3">
      <c r="A17" s="256">
        <v>36756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138"/>
    </row>
    <row r="18" spans="1:34" x14ac:dyDescent="0.3">
      <c r="A18" s="256">
        <v>36759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138"/>
    </row>
    <row r="19" spans="1:34" x14ac:dyDescent="0.3">
      <c r="A19" s="256">
        <v>36760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4" x14ac:dyDescent="0.3">
      <c r="A20" s="256">
        <v>36761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4" x14ac:dyDescent="0.3">
      <c r="A21" s="256">
        <v>36762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4" x14ac:dyDescent="0.3">
      <c r="A22" s="256">
        <v>36763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4" x14ac:dyDescent="0.3">
      <c r="A23" s="256">
        <v>36766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4" x14ac:dyDescent="0.3">
      <c r="A24" s="256">
        <v>36767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4" x14ac:dyDescent="0.3">
      <c r="A25" s="256">
        <v>36768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4" x14ac:dyDescent="0.3">
      <c r="A26" s="256">
        <v>36769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4" x14ac:dyDescent="0.3">
      <c r="A27" s="256">
        <v>36770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4" x14ac:dyDescent="0.3">
      <c r="A28" s="256">
        <v>36774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4" x14ac:dyDescent="0.3">
      <c r="A29" s="256">
        <v>36775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4" x14ac:dyDescent="0.3">
      <c r="A30" s="256">
        <v>36776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4" x14ac:dyDescent="0.3">
      <c r="A31" s="256">
        <v>36777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4" x14ac:dyDescent="0.3">
      <c r="A32" s="256">
        <v>36780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3">
      <c r="A33" s="256">
        <v>36781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3">
      <c r="A34" s="256">
        <v>36782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3">
      <c r="A35" s="256">
        <v>36783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>
        <v>373549.5</v>
      </c>
      <c r="Z35" s="4">
        <v>-373549.5</v>
      </c>
      <c r="AA35" s="4"/>
      <c r="AB35" s="4"/>
      <c r="AC35" s="4"/>
      <c r="AD35" s="4"/>
      <c r="AE35" s="4"/>
      <c r="AF35" s="4"/>
      <c r="AG35" s="4"/>
    </row>
    <row r="36" spans="1:33" x14ac:dyDescent="0.3">
      <c r="A36" s="256">
        <v>36784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3">
      <c r="A37" s="256">
        <v>36787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f>-44447.3800000008-27</f>
        <v>-44474.380000000798</v>
      </c>
      <c r="AD37" s="4"/>
      <c r="AE37" s="4"/>
      <c r="AF37" s="4"/>
      <c r="AG37" s="4"/>
    </row>
    <row r="38" spans="1:33" x14ac:dyDescent="0.3">
      <c r="A38" s="256">
        <v>36788</v>
      </c>
      <c r="B38" s="4"/>
      <c r="C38" s="4"/>
      <c r="D38" s="4"/>
      <c r="E38" s="4">
        <v>-182250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-303750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3">
      <c r="A39" s="256">
        <v>36789</v>
      </c>
      <c r="B39" s="4"/>
      <c r="C39" s="4">
        <v>37184.429999999702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3">
      <c r="A40" s="256">
        <v>36790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3">
      <c r="A41" s="256">
        <v>36791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>
        <v>123413.5</v>
      </c>
      <c r="Z41" s="4">
        <v>-123413.5</v>
      </c>
      <c r="AA41" s="4"/>
      <c r="AB41" s="4"/>
      <c r="AC41" s="4"/>
      <c r="AD41" s="4"/>
      <c r="AE41" s="4"/>
      <c r="AF41" s="4"/>
      <c r="AG41" s="4"/>
    </row>
    <row r="42" spans="1:33" x14ac:dyDescent="0.3">
      <c r="A42" s="256">
        <v>36794</v>
      </c>
      <c r="B42" s="4"/>
      <c r="C42" s="4"/>
      <c r="D42" s="4"/>
      <c r="E42" s="4"/>
      <c r="F42" s="4">
        <v>87484.240000000224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3">
      <c r="A43" s="256">
        <v>36795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>
        <v>50000</v>
      </c>
      <c r="AD43" s="4"/>
      <c r="AE43" s="4"/>
      <c r="AF43" s="4"/>
      <c r="AG43" s="4"/>
    </row>
    <row r="44" spans="1:33" x14ac:dyDescent="0.3">
      <c r="A44" s="256">
        <v>36796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3">
      <c r="A45" s="256">
        <v>36797</v>
      </c>
      <c r="B45" s="4"/>
      <c r="C45" s="4">
        <v>-28084.3599999994</v>
      </c>
      <c r="D45" s="4"/>
      <c r="E45" s="4"/>
      <c r="F45" s="4">
        <v>-50549.580000000075</v>
      </c>
      <c r="G45" s="4"/>
      <c r="H45" s="4"/>
      <c r="I45" s="4">
        <v>350000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>
        <v>-1180793.81</v>
      </c>
      <c r="AD45" s="4"/>
      <c r="AE45" s="4"/>
      <c r="AF45" s="4"/>
      <c r="AG45" s="4"/>
    </row>
    <row r="46" spans="1:33" x14ac:dyDescent="0.3">
      <c r="A46" s="256">
        <v>36798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>
        <v>-496963</v>
      </c>
      <c r="Z46" s="4">
        <v>496963</v>
      </c>
      <c r="AA46" s="4"/>
      <c r="AB46" s="4"/>
      <c r="AC46" s="4">
        <v>-729223.04999999888</v>
      </c>
      <c r="AD46" s="4"/>
      <c r="AE46" s="4"/>
      <c r="AF46" s="4"/>
      <c r="AG46" s="4"/>
    </row>
    <row r="47" spans="1:33" x14ac:dyDescent="0.3">
      <c r="A47" s="256">
        <v>36801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x14ac:dyDescent="0.3">
      <c r="A48" s="256">
        <v>36802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x14ac:dyDescent="0.3">
      <c r="A49" s="256">
        <v>36803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x14ac:dyDescent="0.3">
      <c r="A50" s="256">
        <v>36804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3">
      <c r="A51" s="256">
        <v>36805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s="4" customFormat="1" x14ac:dyDescent="0.3">
      <c r="A52" s="256">
        <v>36808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-3.7252902984619141E-9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s="4" customFormat="1" x14ac:dyDescent="0.3">
      <c r="A53" s="256">
        <v>36809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-3.7252902984619141E-9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s="4" customFormat="1" x14ac:dyDescent="0.3">
      <c r="A54" s="256">
        <v>36810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-3.7252902984619141E-9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s="4" customFormat="1" x14ac:dyDescent="0.3">
      <c r="A55" s="256">
        <v>36811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-3.7252902984619141E-9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</row>
    <row r="56" spans="1:33" s="4" customFormat="1" x14ac:dyDescent="0.3">
      <c r="A56" s="256">
        <v>36812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-3.7252902984619141E-9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s="4" customFormat="1" x14ac:dyDescent="0.3">
      <c r="A57" s="256">
        <v>36815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-3.7252902984619141E-9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</row>
    <row r="58" spans="1:33" s="4" customFormat="1" x14ac:dyDescent="0.3">
      <c r="A58" s="256">
        <v>36816</v>
      </c>
      <c r="B58" s="4">
        <v>0</v>
      </c>
      <c r="C58" s="4">
        <v>0</v>
      </c>
      <c r="D58" s="4">
        <v>84413.160000000149</v>
      </c>
      <c r="E58" s="4">
        <v>0</v>
      </c>
      <c r="F58" s="4">
        <v>-102442.09</v>
      </c>
      <c r="G58" s="4">
        <v>0</v>
      </c>
      <c r="H58" s="4">
        <v>0</v>
      </c>
      <c r="I58" s="4">
        <v>0</v>
      </c>
      <c r="J58" s="4">
        <v>0</v>
      </c>
      <c r="K58" s="4">
        <v>-3.7252902984619141E-9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-120125.11</v>
      </c>
      <c r="T58" s="4">
        <v>0</v>
      </c>
      <c r="U58" s="4">
        <v>0</v>
      </c>
      <c r="V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</row>
    <row r="59" spans="1:33" s="4" customFormat="1" x14ac:dyDescent="0.3">
      <c r="A59" s="256">
        <v>36817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-3.7252902984619141E-9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</row>
    <row r="60" spans="1:33" s="4" customFormat="1" x14ac:dyDescent="0.3">
      <c r="A60" s="256">
        <v>36818</v>
      </c>
      <c r="B60" s="4">
        <v>0</v>
      </c>
      <c r="C60" s="4">
        <v>230355.81999999937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-3.7252902984619141E-9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229939.41</v>
      </c>
      <c r="U60" s="4">
        <v>0</v>
      </c>
      <c r="V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s="4" customFormat="1" x14ac:dyDescent="0.3">
      <c r="A61" s="256">
        <v>36819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-3.7252902984619141E-9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</row>
    <row r="62" spans="1:33" s="4" customFormat="1" x14ac:dyDescent="0.3">
      <c r="A62" s="256">
        <v>36822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-3.7252902984619141E-9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</row>
    <row r="63" spans="1:33" s="4" customFormat="1" x14ac:dyDescent="0.3">
      <c r="A63" s="256">
        <v>36823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-3.7252902984619141E-9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</row>
    <row r="64" spans="1:33" s="4" customFormat="1" x14ac:dyDescent="0.3">
      <c r="A64" s="256">
        <v>36824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-3.7252902984619141E-9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156250</v>
      </c>
      <c r="U64" s="4">
        <v>0</v>
      </c>
      <c r="V64" s="4">
        <v>0</v>
      </c>
      <c r="X64" s="4">
        <v>0</v>
      </c>
      <c r="Y64" s="4">
        <v>0</v>
      </c>
      <c r="Z64" s="4">
        <v>0</v>
      </c>
      <c r="AA64" s="4">
        <v>450942.51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</row>
    <row r="65" spans="1:33" s="4" customFormat="1" x14ac:dyDescent="0.3">
      <c r="A65" s="256">
        <v>36825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-3.7252902984619141E-9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</row>
    <row r="66" spans="1:33" s="4" customFormat="1" x14ac:dyDescent="0.3">
      <c r="A66" s="256">
        <v>36826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-3.7252902984619141E-9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1:33" s="4" customFormat="1" x14ac:dyDescent="0.3">
      <c r="A67" s="256">
        <v>36829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-3.7252902984619141E-9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</row>
    <row r="68" spans="1:33" s="4" customFormat="1" x14ac:dyDescent="0.3">
      <c r="A68" s="256">
        <v>36830</v>
      </c>
      <c r="B68" s="4">
        <v>0</v>
      </c>
      <c r="C68" s="4">
        <v>-202835.56999999937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-3.7252902984619141E-9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-386189</v>
      </c>
      <c r="V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-450943</v>
      </c>
      <c r="AC68" s="4">
        <v>-1096518.58</v>
      </c>
      <c r="AD68" s="4">
        <v>0</v>
      </c>
      <c r="AE68" s="4">
        <v>0</v>
      </c>
      <c r="AF68" s="4">
        <v>0</v>
      </c>
      <c r="AG68" s="4">
        <v>0</v>
      </c>
    </row>
    <row r="69" spans="1:33" s="4" customFormat="1" x14ac:dyDescent="0.3">
      <c r="A69" s="256">
        <v>36831</v>
      </c>
      <c r="B69" s="4">
        <v>0</v>
      </c>
      <c r="C69" s="4">
        <v>0</v>
      </c>
      <c r="D69" s="4">
        <v>0</v>
      </c>
      <c r="E69" s="4">
        <v>0</v>
      </c>
      <c r="F69" s="4">
        <f>0-12500000-3.57</f>
        <v>-12500003.57</v>
      </c>
      <c r="G69" s="4">
        <v>0</v>
      </c>
      <c r="H69" s="4">
        <v>0</v>
      </c>
      <c r="I69" s="4">
        <v>0</v>
      </c>
      <c r="J69" s="4">
        <v>0</v>
      </c>
      <c r="K69" s="4">
        <v>-3.7252902984619141E-9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</row>
    <row r="70" spans="1:33" s="4" customFormat="1" x14ac:dyDescent="0.3">
      <c r="A70" s="256">
        <v>36832</v>
      </c>
      <c r="B70" s="4">
        <v>0</v>
      </c>
      <c r="C70" s="4">
        <v>0</v>
      </c>
      <c r="D70" s="4">
        <v>0</v>
      </c>
      <c r="E70" s="4">
        <v>0</v>
      </c>
      <c r="F70" s="4">
        <f>-12500000+12500000</f>
        <v>0</v>
      </c>
      <c r="G70" s="4">
        <v>0</v>
      </c>
      <c r="H70" s="4">
        <v>0</v>
      </c>
      <c r="I70" s="4">
        <v>0</v>
      </c>
      <c r="J70" s="4">
        <v>0</v>
      </c>
      <c r="K70" s="4">
        <v>-3.7252902984619141E-9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</row>
    <row r="71" spans="1:33" s="4" customFormat="1" x14ac:dyDescent="0.3">
      <c r="A71" s="256">
        <v>36833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-3.7252902984619141E-9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</row>
    <row r="72" spans="1:33" s="4" customFormat="1" x14ac:dyDescent="0.3">
      <c r="A72" s="256">
        <v>36836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-3.7252902984619141E-9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</row>
    <row r="73" spans="1:33" s="4" customFormat="1" x14ac:dyDescent="0.3">
      <c r="A73" s="256">
        <v>36837</v>
      </c>
      <c r="B73" s="4">
        <v>0</v>
      </c>
      <c r="C73" s="4">
        <v>61189.739999999292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-3.7252902984619141E-9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219340.73</v>
      </c>
      <c r="U73" s="4">
        <v>-219340.73</v>
      </c>
      <c r="V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131253.51</v>
      </c>
      <c r="AD73" s="4">
        <v>-131253.51</v>
      </c>
      <c r="AE73" s="4">
        <v>1008138.52</v>
      </c>
      <c r="AF73" s="4">
        <v>0</v>
      </c>
      <c r="AG73" s="4">
        <v>0</v>
      </c>
    </row>
    <row r="74" spans="1:33" s="4" customFormat="1" x14ac:dyDescent="0.3">
      <c r="A74" s="256">
        <v>36838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-3.7252902984619141E-9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</row>
    <row r="75" spans="1:33" s="4" customFormat="1" x14ac:dyDescent="0.3">
      <c r="A75" s="256">
        <v>36839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-3.7252902984619141E-9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</row>
    <row r="76" spans="1:33" s="4" customFormat="1" x14ac:dyDescent="0.3">
      <c r="A76" s="256">
        <v>36840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-3.7252902984619141E-9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</row>
    <row r="77" spans="1:33" s="4" customFormat="1" x14ac:dyDescent="0.3">
      <c r="A77" s="256">
        <v>36843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-3.7252902984619141E-9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</row>
    <row r="78" spans="1:33" s="4" customFormat="1" x14ac:dyDescent="0.3">
      <c r="A78" s="256">
        <v>36844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-3.7252902984619141E-9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</row>
    <row r="79" spans="1:33" s="4" customFormat="1" x14ac:dyDescent="0.3">
      <c r="A79" s="256">
        <v>36845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-3.7252902984619141E-9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</row>
    <row r="80" spans="1:33" s="4" customFormat="1" x14ac:dyDescent="0.3">
      <c r="A80" s="256">
        <v>36846</v>
      </c>
      <c r="B80" s="4">
        <v>0</v>
      </c>
      <c r="C80" s="4">
        <v>0</v>
      </c>
      <c r="D80" s="4">
        <v>0</v>
      </c>
      <c r="E80" s="4">
        <v>-4970.63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-3.7252902984619141E-9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-19348.879999999888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-369099.93</v>
      </c>
      <c r="AD80" s="4">
        <v>0</v>
      </c>
      <c r="AE80" s="4">
        <v>0</v>
      </c>
      <c r="AF80" s="4">
        <v>0</v>
      </c>
      <c r="AG80" s="4">
        <v>0</v>
      </c>
    </row>
    <row r="81" spans="1:33" s="4" customFormat="1" x14ac:dyDescent="0.3">
      <c r="A81" s="256">
        <v>36847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-3.7252902984619141E-9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</row>
    <row r="82" spans="1:33" s="4" customFormat="1" x14ac:dyDescent="0.3">
      <c r="A82" s="256">
        <v>36850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-3.7252902984619141E-9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</row>
    <row r="83" spans="1:33" s="4" customFormat="1" x14ac:dyDescent="0.3">
      <c r="A83" s="256">
        <v>36851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-3.7252902984619141E-9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-72043.889999999665</v>
      </c>
      <c r="T83" s="4">
        <v>0</v>
      </c>
      <c r="U83" s="4">
        <v>0</v>
      </c>
      <c r="V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-102937.74</v>
      </c>
      <c r="AD83" s="4">
        <v>-97062.26</v>
      </c>
      <c r="AE83" s="4">
        <v>0</v>
      </c>
      <c r="AF83" s="4">
        <v>0</v>
      </c>
      <c r="AG83" s="4">
        <v>0</v>
      </c>
    </row>
    <row r="84" spans="1:33" s="4" customFormat="1" x14ac:dyDescent="0.3">
      <c r="A84" s="256">
        <v>36852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-3.7252902984619141E-9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</row>
    <row r="85" spans="1:33" s="4" customFormat="1" x14ac:dyDescent="0.3">
      <c r="A85" s="256">
        <v>36854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-3.7252902984619141E-9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</row>
    <row r="86" spans="1:33" s="4" customFormat="1" x14ac:dyDescent="0.3">
      <c r="A86" s="256">
        <v>36857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-3.7252902984619141E-9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</row>
    <row r="87" spans="1:33" s="4" customFormat="1" x14ac:dyDescent="0.3">
      <c r="A87" s="256">
        <v>36858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-3.7252902984619141E-9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X87" s="4">
        <v>0</v>
      </c>
      <c r="Y87" s="4">
        <v>0</v>
      </c>
      <c r="Z87" s="4">
        <v>0</v>
      </c>
      <c r="AA87" s="4">
        <v>228944.15</v>
      </c>
      <c r="AB87" s="4">
        <v>-228944.15</v>
      </c>
      <c r="AC87" s="4">
        <v>21122.86999999918</v>
      </c>
      <c r="AD87" s="4">
        <v>-21122.87</v>
      </c>
      <c r="AE87" s="4">
        <v>0</v>
      </c>
      <c r="AF87" s="4">
        <v>0</v>
      </c>
      <c r="AG87" s="4">
        <v>0</v>
      </c>
    </row>
    <row r="88" spans="1:33" s="4" customFormat="1" x14ac:dyDescent="0.3">
      <c r="A88" s="256">
        <v>36859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-3.7252902984619141E-9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</row>
    <row r="89" spans="1:33" s="4" customFormat="1" x14ac:dyDescent="0.3">
      <c r="A89" s="256">
        <v>36860</v>
      </c>
      <c r="B89" s="4">
        <v>0</v>
      </c>
      <c r="C89" s="4">
        <v>0</v>
      </c>
      <c r="D89" s="4">
        <v>0</v>
      </c>
      <c r="E89" s="4">
        <v>-2676.5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-3.7252902984619141E-9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</row>
    <row r="90" spans="1:33" s="4" customFormat="1" x14ac:dyDescent="0.3">
      <c r="A90" s="256">
        <v>36861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-3.7252902984619141E-9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</row>
    <row r="91" spans="1:33" s="4" customFormat="1" x14ac:dyDescent="0.3">
      <c r="A91" s="256">
        <v>36864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-3.7252902984619141E-9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</row>
    <row r="92" spans="1:33" s="4" customFormat="1" x14ac:dyDescent="0.3">
      <c r="A92" s="256">
        <v>36865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-3.7252902984619141E-9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</row>
    <row r="93" spans="1:33" s="4" customFormat="1" x14ac:dyDescent="0.3">
      <c r="A93" s="256">
        <v>36866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-3.7252902984619141E-9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</row>
    <row r="94" spans="1:33" s="4" customFormat="1" x14ac:dyDescent="0.3">
      <c r="A94" s="256">
        <v>36867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-3.7252902984619141E-9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</row>
    <row r="95" spans="1:33" s="4" customFormat="1" x14ac:dyDescent="0.3">
      <c r="A95" s="256">
        <v>36868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-3.7252902984619141E-9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</row>
    <row r="96" spans="1:33" s="4" customFormat="1" x14ac:dyDescent="0.3">
      <c r="A96" s="256">
        <v>36871</v>
      </c>
      <c r="B96" s="4">
        <v>0</v>
      </c>
      <c r="C96" s="4">
        <v>190195.25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-3.7252902984619141E-9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</row>
    <row r="97" spans="1:33" s="4" customFormat="1" x14ac:dyDescent="0.3">
      <c r="A97" s="256">
        <v>36872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-3.7252902984619141E-9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</row>
    <row r="98" spans="1:33" s="4" customFormat="1" x14ac:dyDescent="0.3">
      <c r="A98" s="256">
        <v>36873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-3.7252902984619141E-9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</row>
    <row r="99" spans="1:33" s="4" customFormat="1" x14ac:dyDescent="0.3">
      <c r="A99" s="256">
        <v>36874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-3.7252902984619141E-9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-44835.120000000112</v>
      </c>
      <c r="T99" s="4">
        <v>0</v>
      </c>
      <c r="U99" s="4">
        <v>0</v>
      </c>
      <c r="V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400000</v>
      </c>
      <c r="AD99" s="4">
        <v>-400000</v>
      </c>
      <c r="AE99" s="4">
        <v>0</v>
      </c>
      <c r="AF99" s="4">
        <v>0</v>
      </c>
      <c r="AG99" s="4">
        <v>0</v>
      </c>
    </row>
    <row r="100" spans="1:33" s="4" customFormat="1" x14ac:dyDescent="0.3">
      <c r="A100" s="256">
        <v>36875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-3.7252902984619141E-9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</row>
    <row r="101" spans="1:33" s="4" customFormat="1" x14ac:dyDescent="0.3">
      <c r="A101" s="256">
        <v>36878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-3.7252902984619141E-9</v>
      </c>
      <c r="L101" s="4">
        <v>0</v>
      </c>
      <c r="M101" s="4">
        <v>-69762.710000000006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</row>
    <row r="102" spans="1:33" s="4" customFormat="1" x14ac:dyDescent="0.3">
      <c r="A102" s="256">
        <v>36879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-3.7252902984619141E-9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-12514787.5</v>
      </c>
      <c r="AD102" s="4">
        <v>0</v>
      </c>
      <c r="AE102" s="4">
        <v>0</v>
      </c>
      <c r="AF102" s="4">
        <v>0</v>
      </c>
      <c r="AG102" s="4">
        <v>0</v>
      </c>
    </row>
    <row r="103" spans="1:33" s="4" customFormat="1" x14ac:dyDescent="0.3">
      <c r="A103" s="256">
        <v>36880</v>
      </c>
      <c r="B103" s="4">
        <v>0</v>
      </c>
      <c r="C103" s="4">
        <v>0</v>
      </c>
      <c r="D103" s="4">
        <f>-D58</f>
        <v>-84413.160000000149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-3.7252902984619141E-9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</row>
    <row r="104" spans="1:33" s="4" customFormat="1" x14ac:dyDescent="0.3">
      <c r="A104" s="256">
        <v>36881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-350000</v>
      </c>
      <c r="J104" s="4">
        <v>0</v>
      </c>
      <c r="K104" s="4">
        <v>-3.7252902984619141E-9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</row>
    <row r="105" spans="1:33" s="4" customFormat="1" x14ac:dyDescent="0.3">
      <c r="A105" s="256">
        <v>36882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-3.7252902984619141E-9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</row>
    <row r="106" spans="1:33" s="4" customFormat="1" x14ac:dyDescent="0.3">
      <c r="A106" s="256">
        <v>36886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-3.7252902984619141E-9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</row>
    <row r="107" spans="1:33" s="4" customFormat="1" x14ac:dyDescent="0.3">
      <c r="A107" s="256">
        <v>36887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-3.7252902984619141E-9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</row>
    <row r="108" spans="1:33" s="4" customFormat="1" x14ac:dyDescent="0.3">
      <c r="A108" s="256">
        <v>36888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-3.7252902984619141E-9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</row>
    <row r="109" spans="1:33" s="4" customFormat="1" x14ac:dyDescent="0.3">
      <c r="A109" s="256">
        <v>36889</v>
      </c>
      <c r="B109" s="4">
        <v>0</v>
      </c>
      <c r="C109" s="4">
        <v>0</v>
      </c>
      <c r="D109" s="4">
        <v>0</v>
      </c>
      <c r="E109" s="4">
        <v>-182250</v>
      </c>
      <c r="F109" s="4">
        <v>0</v>
      </c>
      <c r="G109" s="4">
        <v>0</v>
      </c>
      <c r="H109" s="4">
        <v>0</v>
      </c>
      <c r="I109" s="4">
        <v>0</v>
      </c>
      <c r="J109" s="4">
        <v>-125000</v>
      </c>
      <c r="K109" s="4">
        <v>-3.7252902984619141E-9</v>
      </c>
      <c r="L109" s="4">
        <v>0</v>
      </c>
      <c r="M109" s="4">
        <v>-67554.860000000102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-2092500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-650000</v>
      </c>
      <c r="AD109" s="4">
        <v>0</v>
      </c>
      <c r="AE109" s="4">
        <v>0</v>
      </c>
      <c r="AF109" s="4">
        <v>0</v>
      </c>
      <c r="AG109" s="4">
        <v>0</v>
      </c>
    </row>
    <row r="110" spans="1:33" s="4" customFormat="1" x14ac:dyDescent="0.3">
      <c r="A110" s="256">
        <v>36893</v>
      </c>
      <c r="B110" s="4">
        <v>0</v>
      </c>
      <c r="C110" s="4">
        <v>0</v>
      </c>
      <c r="D110" s="4">
        <v>0</v>
      </c>
      <c r="F110" s="4">
        <v>0</v>
      </c>
      <c r="G110" s="4">
        <v>0</v>
      </c>
      <c r="H110" s="4">
        <v>0</v>
      </c>
      <c r="I110" s="4">
        <v>0</v>
      </c>
      <c r="K110" s="4">
        <v>-3.7252902984619141E-9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</row>
    <row r="111" spans="1:33" s="4" customFormat="1" x14ac:dyDescent="0.3">
      <c r="A111" s="256">
        <v>36894</v>
      </c>
      <c r="B111" s="4">
        <v>0</v>
      </c>
      <c r="C111" s="4">
        <v>0</v>
      </c>
      <c r="D111" s="4">
        <v>0</v>
      </c>
      <c r="F111" s="4">
        <v>0</v>
      </c>
      <c r="G111" s="4">
        <v>0</v>
      </c>
      <c r="H111" s="4">
        <v>0</v>
      </c>
      <c r="I111" s="4">
        <v>0</v>
      </c>
      <c r="K111" s="4">
        <v>-3.7252902984619141E-9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</row>
    <row r="112" spans="1:33" s="4" customFormat="1" x14ac:dyDescent="0.3">
      <c r="A112" s="256">
        <v>36895</v>
      </c>
      <c r="B112" s="4">
        <v>0</v>
      </c>
      <c r="C112" s="4">
        <v>0</v>
      </c>
      <c r="D112" s="4">
        <v>0</v>
      </c>
      <c r="F112" s="4">
        <v>0</v>
      </c>
      <c r="G112" s="4">
        <v>0</v>
      </c>
      <c r="H112" s="4">
        <v>0</v>
      </c>
      <c r="I112" s="4">
        <v>0</v>
      </c>
      <c r="K112" s="4">
        <v>-3.7252902984619141E-9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</row>
    <row r="113" spans="1:33" s="4" customFormat="1" x14ac:dyDescent="0.3">
      <c r="A113" s="256">
        <v>36896</v>
      </c>
      <c r="B113" s="4">
        <v>0</v>
      </c>
      <c r="C113" s="4">
        <v>0</v>
      </c>
      <c r="D113" s="4">
        <v>0</v>
      </c>
      <c r="F113" s="4">
        <v>0</v>
      </c>
      <c r="G113" s="4">
        <v>0</v>
      </c>
      <c r="H113" s="4">
        <v>0</v>
      </c>
      <c r="I113" s="4">
        <v>0</v>
      </c>
      <c r="K113" s="4">
        <v>-3.7252902984619141E-9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</row>
    <row r="114" spans="1:33" s="4" customFormat="1" x14ac:dyDescent="0.3">
      <c r="A114" s="256">
        <v>36899</v>
      </c>
      <c r="B114" s="4">
        <v>0</v>
      </c>
      <c r="C114" s="4">
        <v>0</v>
      </c>
      <c r="D114" s="4">
        <v>0</v>
      </c>
      <c r="F114" s="4">
        <v>0</v>
      </c>
      <c r="G114" s="4">
        <v>0</v>
      </c>
      <c r="H114" s="4">
        <v>0</v>
      </c>
      <c r="I114" s="4">
        <v>0</v>
      </c>
      <c r="K114" s="4">
        <v>-3.7252902984619141E-9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</row>
    <row r="115" spans="1:33" s="4" customFormat="1" x14ac:dyDescent="0.3">
      <c r="A115" s="256">
        <v>36900</v>
      </c>
      <c r="B115" s="4">
        <v>0</v>
      </c>
      <c r="C115" s="4">
        <v>0</v>
      </c>
      <c r="D115" s="4">
        <v>0</v>
      </c>
      <c r="H115" s="4">
        <v>0</v>
      </c>
      <c r="I115" s="4">
        <v>0</v>
      </c>
      <c r="K115" s="4">
        <v>-3.7252902984619141E-9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</row>
    <row r="116" spans="1:33" s="4" customFormat="1" x14ac:dyDescent="0.3">
      <c r="A116" s="256">
        <v>36901</v>
      </c>
      <c r="B116" s="4">
        <v>0</v>
      </c>
      <c r="C116" s="4">
        <v>0</v>
      </c>
      <c r="D116" s="4">
        <v>0</v>
      </c>
      <c r="H116" s="4">
        <v>0</v>
      </c>
      <c r="I116" s="4">
        <v>0</v>
      </c>
      <c r="K116" s="4">
        <v>-3.7252902984619141E-9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</row>
    <row r="117" spans="1:33" s="4" customFormat="1" x14ac:dyDescent="0.3">
      <c r="A117" s="256">
        <v>36902</v>
      </c>
      <c r="B117" s="4">
        <v>0</v>
      </c>
      <c r="C117" s="4">
        <v>0</v>
      </c>
      <c r="D117" s="4">
        <v>0</v>
      </c>
      <c r="H117" s="4">
        <v>0</v>
      </c>
      <c r="I117" s="4">
        <v>0</v>
      </c>
      <c r="K117" s="4">
        <v>-3.7252902984619141E-9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</row>
    <row r="118" spans="1:33" s="4" customFormat="1" x14ac:dyDescent="0.3">
      <c r="A118" s="256">
        <v>36903</v>
      </c>
      <c r="B118" s="4">
        <v>0</v>
      </c>
      <c r="C118" s="4">
        <v>0</v>
      </c>
      <c r="D118" s="4">
        <v>0</v>
      </c>
      <c r="H118" s="4">
        <v>0</v>
      </c>
      <c r="I118" s="4">
        <v>0</v>
      </c>
      <c r="K118" s="4">
        <v>-3.7252902984619141E-9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</row>
    <row r="119" spans="1:33" s="4" customFormat="1" x14ac:dyDescent="0.3">
      <c r="A119" s="256">
        <v>36907</v>
      </c>
      <c r="B119" s="4">
        <v>0</v>
      </c>
      <c r="C119" s="4">
        <v>0</v>
      </c>
      <c r="D119" s="4">
        <v>0</v>
      </c>
      <c r="H119" s="4">
        <v>0</v>
      </c>
      <c r="I119" s="4">
        <v>0</v>
      </c>
      <c r="K119" s="4">
        <v>-3.7252902984619141E-9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</row>
    <row r="120" spans="1:33" s="4" customFormat="1" x14ac:dyDescent="0.3">
      <c r="A120" s="256">
        <v>36908</v>
      </c>
      <c r="B120" s="4">
        <v>0</v>
      </c>
      <c r="C120" s="4">
        <v>0</v>
      </c>
      <c r="D120" s="4">
        <v>0</v>
      </c>
      <c r="H120" s="4">
        <v>0</v>
      </c>
      <c r="I120" s="4">
        <v>0</v>
      </c>
      <c r="K120" s="4">
        <v>-3.7252902984619141E-9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</row>
    <row r="121" spans="1:33" s="4" customFormat="1" x14ac:dyDescent="0.3">
      <c r="A121" s="256">
        <v>36909</v>
      </c>
      <c r="B121" s="4">
        <v>0</v>
      </c>
      <c r="C121" s="4">
        <v>0</v>
      </c>
      <c r="D121" s="4">
        <v>0</v>
      </c>
      <c r="H121" s="4">
        <v>0</v>
      </c>
      <c r="I121" s="4">
        <v>0</v>
      </c>
      <c r="K121" s="4">
        <v>-3.7252902984619141E-9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</row>
    <row r="122" spans="1:33" s="4" customFormat="1" x14ac:dyDescent="0.3">
      <c r="A122" s="256">
        <v>36910</v>
      </c>
      <c r="B122" s="4">
        <v>0</v>
      </c>
      <c r="C122" s="4">
        <v>0</v>
      </c>
      <c r="D122" s="4">
        <v>0</v>
      </c>
      <c r="H122" s="4">
        <v>0</v>
      </c>
      <c r="I122" s="4">
        <v>0</v>
      </c>
      <c r="K122" s="4">
        <v>-3.7252902984619141E-9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</row>
    <row r="123" spans="1:33" s="4" customFormat="1" x14ac:dyDescent="0.3">
      <c r="A123" s="256">
        <v>36913</v>
      </c>
      <c r="B123" s="4">
        <v>0</v>
      </c>
      <c r="C123" s="4">
        <v>0</v>
      </c>
      <c r="D123" s="4">
        <v>0</v>
      </c>
      <c r="H123" s="4">
        <v>0</v>
      </c>
      <c r="I123" s="4">
        <v>0</v>
      </c>
      <c r="K123" s="4">
        <v>-3.7252902984619141E-9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</row>
    <row r="124" spans="1:33" s="4" customFormat="1" x14ac:dyDescent="0.3">
      <c r="A124" s="256">
        <v>36914</v>
      </c>
      <c r="B124" s="4">
        <v>0</v>
      </c>
      <c r="C124" s="4">
        <v>0</v>
      </c>
      <c r="D124" s="4">
        <v>0</v>
      </c>
      <c r="H124" s="4">
        <v>0</v>
      </c>
      <c r="I124" s="4">
        <v>0</v>
      </c>
      <c r="K124" s="4">
        <v>-3.7252902984619141E-9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</row>
    <row r="125" spans="1:33" s="4" customFormat="1" x14ac:dyDescent="0.3">
      <c r="A125" s="256">
        <v>36915</v>
      </c>
      <c r="B125" s="4">
        <v>0</v>
      </c>
      <c r="C125" s="4">
        <v>0</v>
      </c>
      <c r="D125" s="4">
        <v>0</v>
      </c>
      <c r="H125" s="4">
        <v>0</v>
      </c>
      <c r="I125" s="4">
        <v>0</v>
      </c>
      <c r="K125" s="4">
        <v>-3.7252902984619141E-9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</row>
    <row r="126" spans="1:33" s="4" customFormat="1" x14ac:dyDescent="0.3">
      <c r="A126" s="256">
        <v>36916</v>
      </c>
      <c r="B126" s="4">
        <v>0</v>
      </c>
      <c r="C126" s="4">
        <v>68426.539999999994</v>
      </c>
      <c r="D126" s="4">
        <v>0</v>
      </c>
      <c r="H126" s="4">
        <v>0</v>
      </c>
      <c r="I126" s="4">
        <v>0</v>
      </c>
      <c r="K126" s="4">
        <v>-3.7252902984619141E-9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131614</v>
      </c>
      <c r="T126" s="4">
        <v>0</v>
      </c>
      <c r="U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-600000</v>
      </c>
      <c r="AD126" s="4">
        <v>-237725.03</v>
      </c>
      <c r="AE126" s="4">
        <v>0</v>
      </c>
      <c r="AF126" s="4">
        <v>0</v>
      </c>
      <c r="AG126" s="4">
        <v>0</v>
      </c>
    </row>
    <row r="127" spans="1:33" s="4" customFormat="1" x14ac:dyDescent="0.3">
      <c r="A127" s="256">
        <v>36917</v>
      </c>
      <c r="B127" s="4">
        <v>0</v>
      </c>
      <c r="C127" s="4">
        <v>0</v>
      </c>
      <c r="D127" s="4">
        <v>0</v>
      </c>
      <c r="H127" s="4">
        <v>0</v>
      </c>
      <c r="I127" s="4">
        <v>0</v>
      </c>
      <c r="K127" s="4">
        <v>-3.7252902984619141E-9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600000</v>
      </c>
      <c r="AD127" s="4">
        <v>0</v>
      </c>
      <c r="AE127" s="4">
        <v>0</v>
      </c>
      <c r="AF127" s="4">
        <v>0</v>
      </c>
      <c r="AG127" s="4">
        <v>0</v>
      </c>
    </row>
    <row r="128" spans="1:33" s="4" customFormat="1" x14ac:dyDescent="0.3">
      <c r="A128" s="256">
        <v>36920</v>
      </c>
      <c r="B128" s="4">
        <v>0</v>
      </c>
      <c r="C128" s="4">
        <v>0</v>
      </c>
      <c r="D128" s="4">
        <v>0</v>
      </c>
      <c r="H128" s="4">
        <v>0</v>
      </c>
      <c r="I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-1000000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</row>
    <row r="129" spans="1:33" s="4" customFormat="1" x14ac:dyDescent="0.3">
      <c r="A129" s="256">
        <v>36921</v>
      </c>
      <c r="B129" s="4">
        <v>0</v>
      </c>
      <c r="C129" s="4">
        <v>0</v>
      </c>
      <c r="D129" s="4">
        <v>0</v>
      </c>
      <c r="H129" s="4">
        <v>0</v>
      </c>
      <c r="I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</row>
    <row r="130" spans="1:33" s="4" customFormat="1" x14ac:dyDescent="0.3">
      <c r="A130" s="256">
        <v>36922</v>
      </c>
      <c r="B130" s="4">
        <v>0</v>
      </c>
      <c r="C130" s="4">
        <v>0</v>
      </c>
      <c r="D130" s="4">
        <v>0</v>
      </c>
      <c r="H130" s="4">
        <v>0</v>
      </c>
      <c r="I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</row>
    <row r="131" spans="1:33" s="4" customFormat="1" x14ac:dyDescent="0.3">
      <c r="A131" s="256">
        <v>36923</v>
      </c>
      <c r="B131" s="4">
        <v>0</v>
      </c>
      <c r="C131" s="4">
        <v>0</v>
      </c>
      <c r="D131" s="4">
        <v>0</v>
      </c>
      <c r="H131" s="4">
        <v>0</v>
      </c>
      <c r="I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</row>
    <row r="132" spans="1:33" s="4" customFormat="1" x14ac:dyDescent="0.3">
      <c r="A132" s="256">
        <v>36924</v>
      </c>
      <c r="B132" s="4">
        <v>0</v>
      </c>
      <c r="C132" s="4">
        <v>0</v>
      </c>
      <c r="D132" s="4">
        <v>0</v>
      </c>
      <c r="H132" s="4">
        <v>0</v>
      </c>
      <c r="I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</row>
    <row r="133" spans="1:33" s="4" customFormat="1" x14ac:dyDescent="0.3">
      <c r="A133" s="256">
        <v>36927</v>
      </c>
      <c r="B133" s="4">
        <v>0</v>
      </c>
      <c r="C133" s="4">
        <v>0</v>
      </c>
      <c r="D133" s="4">
        <v>0</v>
      </c>
      <c r="H133" s="4">
        <v>0</v>
      </c>
      <c r="I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</row>
    <row r="134" spans="1:33" s="4" customFormat="1" x14ac:dyDescent="0.3">
      <c r="A134" s="256">
        <v>36928</v>
      </c>
      <c r="B134" s="4">
        <v>0</v>
      </c>
      <c r="C134" s="4">
        <v>0</v>
      </c>
      <c r="D134" s="4">
        <v>0</v>
      </c>
      <c r="H134" s="4">
        <v>0</v>
      </c>
      <c r="I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-230788.389999999</v>
      </c>
      <c r="AD134" s="4">
        <v>0</v>
      </c>
      <c r="AE134" s="4">
        <v>0</v>
      </c>
      <c r="AF134" s="4">
        <v>0</v>
      </c>
      <c r="AG134" s="4">
        <v>0</v>
      </c>
    </row>
    <row r="135" spans="1:33" s="4" customFormat="1" x14ac:dyDescent="0.3">
      <c r="A135" s="256">
        <v>36929</v>
      </c>
      <c r="B135" s="4">
        <v>0</v>
      </c>
      <c r="C135" s="4">
        <v>0</v>
      </c>
      <c r="D135" s="4">
        <v>0</v>
      </c>
      <c r="H135" s="4">
        <v>0</v>
      </c>
      <c r="I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</row>
    <row r="136" spans="1:33" s="4" customFormat="1" x14ac:dyDescent="0.3">
      <c r="A136" s="256">
        <v>36930</v>
      </c>
      <c r="B136" s="4">
        <v>0</v>
      </c>
      <c r="C136" s="4">
        <v>0</v>
      </c>
      <c r="D136" s="4">
        <v>0</v>
      </c>
      <c r="H136" s="4">
        <v>0</v>
      </c>
      <c r="I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</row>
    <row r="137" spans="1:33" s="4" customFormat="1" x14ac:dyDescent="0.3">
      <c r="A137" s="256">
        <v>36931</v>
      </c>
      <c r="B137" s="4">
        <v>0</v>
      </c>
      <c r="C137" s="4">
        <v>0</v>
      </c>
      <c r="D137" s="4">
        <v>0</v>
      </c>
      <c r="H137" s="4">
        <v>0</v>
      </c>
      <c r="I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</row>
    <row r="138" spans="1:33" s="4" customFormat="1" x14ac:dyDescent="0.3">
      <c r="A138" s="256">
        <v>36934</v>
      </c>
      <c r="B138" s="4">
        <v>0</v>
      </c>
      <c r="C138" s="4">
        <v>0</v>
      </c>
      <c r="D138" s="4">
        <v>0</v>
      </c>
      <c r="H138" s="4">
        <v>0</v>
      </c>
      <c r="I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</row>
    <row r="139" spans="1:33" s="4" customFormat="1" x14ac:dyDescent="0.3">
      <c r="A139" s="256">
        <v>36935</v>
      </c>
      <c r="B139" s="4">
        <v>0</v>
      </c>
      <c r="C139" s="4">
        <v>0</v>
      </c>
      <c r="D139" s="4">
        <v>0</v>
      </c>
      <c r="H139" s="4">
        <v>0</v>
      </c>
      <c r="I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</row>
    <row r="140" spans="1:33" s="4" customFormat="1" x14ac:dyDescent="0.3">
      <c r="A140" s="256">
        <v>36936</v>
      </c>
      <c r="B140" s="4">
        <v>0</v>
      </c>
      <c r="C140" s="4">
        <v>0</v>
      </c>
      <c r="D140" s="4">
        <v>0</v>
      </c>
      <c r="H140" s="4">
        <v>0</v>
      </c>
      <c r="I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</row>
    <row r="141" spans="1:33" s="4" customFormat="1" x14ac:dyDescent="0.3">
      <c r="A141" s="256">
        <v>36937</v>
      </c>
      <c r="B141" s="4">
        <v>0</v>
      </c>
      <c r="C141" s="4">
        <v>0</v>
      </c>
      <c r="D141" s="4">
        <v>0</v>
      </c>
      <c r="H141" s="4">
        <v>0</v>
      </c>
      <c r="I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</row>
    <row r="142" spans="1:33" s="4" customFormat="1" x14ac:dyDescent="0.3">
      <c r="A142" s="256">
        <v>36938</v>
      </c>
      <c r="B142" s="4">
        <v>0</v>
      </c>
      <c r="C142" s="4">
        <v>0</v>
      </c>
      <c r="D142" s="4">
        <v>0</v>
      </c>
      <c r="H142" s="4">
        <v>0</v>
      </c>
      <c r="I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</row>
    <row r="143" spans="1:33" s="4" customFormat="1" x14ac:dyDescent="0.3">
      <c r="A143" s="256">
        <v>36942</v>
      </c>
      <c r="B143" s="4">
        <v>0</v>
      </c>
      <c r="C143" s="4">
        <v>0</v>
      </c>
      <c r="D143" s="4">
        <v>0</v>
      </c>
      <c r="H143" s="4">
        <v>0</v>
      </c>
      <c r="I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</row>
    <row r="144" spans="1:33" s="4" customFormat="1" x14ac:dyDescent="0.3">
      <c r="A144" s="256">
        <v>36943</v>
      </c>
      <c r="B144" s="4">
        <v>0</v>
      </c>
      <c r="C144" s="4">
        <v>0</v>
      </c>
      <c r="D144" s="4">
        <v>0</v>
      </c>
      <c r="H144" s="4">
        <v>0</v>
      </c>
      <c r="I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2217.070000000298</v>
      </c>
      <c r="T144" s="4">
        <v>0</v>
      </c>
      <c r="U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1030821.38</v>
      </c>
      <c r="AF144" s="4">
        <v>0</v>
      </c>
      <c r="AG144" s="4">
        <v>0</v>
      </c>
    </row>
    <row r="145" spans="1:33" s="4" customFormat="1" x14ac:dyDescent="0.3">
      <c r="A145" s="256">
        <v>36944</v>
      </c>
      <c r="B145" s="4">
        <v>0</v>
      </c>
      <c r="C145" s="4">
        <v>0</v>
      </c>
      <c r="D145" s="4">
        <v>0</v>
      </c>
      <c r="H145" s="4">
        <v>0</v>
      </c>
      <c r="I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</row>
    <row r="146" spans="1:33" s="4" customFormat="1" x14ac:dyDescent="0.3">
      <c r="A146" s="256">
        <v>36945</v>
      </c>
      <c r="B146" s="4">
        <v>0</v>
      </c>
      <c r="C146" s="4">
        <v>0</v>
      </c>
      <c r="D146" s="4">
        <v>0</v>
      </c>
      <c r="H146" s="4">
        <v>0</v>
      </c>
      <c r="I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</row>
    <row r="147" spans="1:33" s="4" customFormat="1" x14ac:dyDescent="0.3">
      <c r="A147" s="256">
        <v>36948</v>
      </c>
      <c r="B147" s="4">
        <v>0</v>
      </c>
      <c r="C147" s="4">
        <v>0</v>
      </c>
      <c r="D147" s="4">
        <v>0</v>
      </c>
      <c r="H147" s="4">
        <v>0</v>
      </c>
      <c r="I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</row>
    <row r="148" spans="1:33" s="4" customFormat="1" x14ac:dyDescent="0.3">
      <c r="A148" s="256">
        <v>36949</v>
      </c>
      <c r="B148" s="4">
        <v>0</v>
      </c>
      <c r="C148" s="4">
        <v>0</v>
      </c>
      <c r="D148" s="4">
        <v>0</v>
      </c>
      <c r="H148" s="4">
        <v>0</v>
      </c>
      <c r="I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</row>
    <row r="149" spans="1:33" s="4" customFormat="1" x14ac:dyDescent="0.3">
      <c r="A149" s="256">
        <v>36950</v>
      </c>
      <c r="B149" s="4">
        <v>0</v>
      </c>
      <c r="C149" s="4">
        <v>0</v>
      </c>
      <c r="D149" s="4">
        <v>0</v>
      </c>
      <c r="H149" s="4">
        <v>0</v>
      </c>
      <c r="I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</row>
    <row r="150" spans="1:33" s="4" customFormat="1" x14ac:dyDescent="0.3">
      <c r="A150" s="256">
        <v>36951</v>
      </c>
      <c r="B150" s="4">
        <v>0</v>
      </c>
      <c r="C150" s="4">
        <v>0</v>
      </c>
      <c r="D150" s="4">
        <v>0</v>
      </c>
      <c r="H150" s="4">
        <v>0</v>
      </c>
      <c r="I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</row>
    <row r="151" spans="1:33" s="4" customFormat="1" x14ac:dyDescent="0.3">
      <c r="A151" s="256">
        <v>36952</v>
      </c>
      <c r="B151" s="4">
        <v>0</v>
      </c>
      <c r="C151" s="4">
        <v>0</v>
      </c>
      <c r="D151" s="4">
        <v>0</v>
      </c>
      <c r="H151" s="4">
        <v>0</v>
      </c>
      <c r="I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</row>
    <row r="152" spans="1:33" s="4" customFormat="1" x14ac:dyDescent="0.3">
      <c r="A152" s="256">
        <v>36955</v>
      </c>
      <c r="B152" s="4">
        <v>0</v>
      </c>
      <c r="C152" s="4">
        <v>0</v>
      </c>
      <c r="D152" s="4">
        <v>0</v>
      </c>
      <c r="H152" s="4">
        <v>0</v>
      </c>
      <c r="I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</row>
    <row r="153" spans="1:33" s="4" customFormat="1" x14ac:dyDescent="0.3">
      <c r="A153" s="256">
        <v>36956</v>
      </c>
      <c r="B153" s="4">
        <v>0</v>
      </c>
      <c r="C153" s="4">
        <v>0</v>
      </c>
      <c r="D153" s="4">
        <v>0</v>
      </c>
      <c r="H153" s="4">
        <v>0</v>
      </c>
      <c r="I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200068.24</v>
      </c>
      <c r="AD153" s="4">
        <v>0</v>
      </c>
      <c r="AE153" s="4">
        <v>0</v>
      </c>
      <c r="AF153" s="4">
        <v>0</v>
      </c>
      <c r="AG153" s="4">
        <v>0</v>
      </c>
    </row>
    <row r="154" spans="1:33" s="4" customFormat="1" x14ac:dyDescent="0.3">
      <c r="A154" s="256">
        <v>36957</v>
      </c>
      <c r="B154" s="4">
        <v>0</v>
      </c>
      <c r="C154" s="4">
        <v>0</v>
      </c>
      <c r="D154" s="4">
        <v>0</v>
      </c>
      <c r="H154" s="4">
        <v>0</v>
      </c>
      <c r="I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</row>
    <row r="155" spans="1:33" s="4" customFormat="1" x14ac:dyDescent="0.3">
      <c r="A155" s="256">
        <v>36958</v>
      </c>
      <c r="B155" s="4">
        <v>0</v>
      </c>
      <c r="C155" s="4">
        <v>0</v>
      </c>
      <c r="D155" s="4">
        <v>0</v>
      </c>
      <c r="H155" s="4">
        <v>0</v>
      </c>
      <c r="I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</row>
    <row r="156" spans="1:33" s="4" customFormat="1" x14ac:dyDescent="0.3">
      <c r="A156" s="256">
        <v>36959</v>
      </c>
      <c r="B156" s="4">
        <v>0</v>
      </c>
      <c r="C156" s="4">
        <v>0</v>
      </c>
      <c r="D156" s="4">
        <v>0</v>
      </c>
      <c r="H156" s="4">
        <v>0</v>
      </c>
      <c r="I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</row>
    <row r="157" spans="1:33" s="4" customFormat="1" x14ac:dyDescent="0.3">
      <c r="A157" s="256">
        <v>36962</v>
      </c>
      <c r="B157" s="4">
        <v>0</v>
      </c>
      <c r="C157" s="4">
        <v>0</v>
      </c>
      <c r="D157" s="4">
        <v>0</v>
      </c>
      <c r="H157" s="4">
        <v>0</v>
      </c>
      <c r="I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</row>
    <row r="158" spans="1:33" s="4" customFormat="1" x14ac:dyDescent="0.3">
      <c r="A158" s="256">
        <v>36963</v>
      </c>
      <c r="B158" s="4">
        <v>0</v>
      </c>
      <c r="C158" s="4">
        <v>80387.330000000075</v>
      </c>
      <c r="D158" s="4">
        <v>0</v>
      </c>
      <c r="H158" s="4">
        <v>0</v>
      </c>
      <c r="I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-134183.34</v>
      </c>
      <c r="T158" s="4">
        <v>0</v>
      </c>
      <c r="U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</row>
    <row r="159" spans="1:33" s="4" customFormat="1" x14ac:dyDescent="0.3">
      <c r="A159" s="256">
        <v>36964</v>
      </c>
      <c r="B159" s="4">
        <v>0</v>
      </c>
      <c r="C159" s="4">
        <v>0</v>
      </c>
      <c r="D159" s="4">
        <v>0</v>
      </c>
      <c r="H159" s="4">
        <v>0</v>
      </c>
      <c r="I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</row>
    <row r="160" spans="1:33" s="4" customFormat="1" x14ac:dyDescent="0.3">
      <c r="A160" s="256">
        <v>36965</v>
      </c>
      <c r="B160" s="4">
        <v>0</v>
      </c>
      <c r="C160" s="4">
        <v>0</v>
      </c>
      <c r="D160" s="4">
        <v>0</v>
      </c>
      <c r="H160" s="4">
        <v>0</v>
      </c>
      <c r="I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</row>
    <row r="161" spans="1:33" s="4" customFormat="1" x14ac:dyDescent="0.3">
      <c r="A161" s="256">
        <v>36966</v>
      </c>
      <c r="B161" s="4">
        <v>0</v>
      </c>
      <c r="C161" s="4">
        <v>0</v>
      </c>
      <c r="D161" s="4">
        <v>0</v>
      </c>
      <c r="H161" s="4">
        <v>0</v>
      </c>
      <c r="I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</row>
    <row r="162" spans="1:33" s="4" customFormat="1" x14ac:dyDescent="0.3">
      <c r="A162" s="256">
        <v>36969</v>
      </c>
      <c r="B162" s="4">
        <v>0</v>
      </c>
      <c r="C162" s="4">
        <v>0</v>
      </c>
      <c r="D162" s="4">
        <v>0</v>
      </c>
      <c r="H162" s="4">
        <v>0</v>
      </c>
      <c r="I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0</v>
      </c>
      <c r="AG162" s="4">
        <v>0</v>
      </c>
    </row>
    <row r="163" spans="1:33" s="4" customFormat="1" x14ac:dyDescent="0.3">
      <c r="A163" s="256">
        <v>36970</v>
      </c>
      <c r="B163" s="4">
        <v>0</v>
      </c>
      <c r="C163" s="4">
        <v>0</v>
      </c>
      <c r="D163" s="4">
        <v>0</v>
      </c>
      <c r="H163" s="4">
        <v>0</v>
      </c>
      <c r="I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0</v>
      </c>
      <c r="AG163" s="4">
        <v>0</v>
      </c>
    </row>
    <row r="164" spans="1:33" s="4" customFormat="1" x14ac:dyDescent="0.3">
      <c r="A164" s="256">
        <v>36971</v>
      </c>
      <c r="B164" s="4">
        <v>0</v>
      </c>
      <c r="C164" s="4">
        <v>0</v>
      </c>
      <c r="D164" s="4">
        <v>0</v>
      </c>
      <c r="H164" s="4">
        <v>0</v>
      </c>
      <c r="I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0</v>
      </c>
      <c r="AG164" s="4">
        <v>0</v>
      </c>
    </row>
    <row r="165" spans="1:33" s="4" customFormat="1" x14ac:dyDescent="0.3">
      <c r="A165" s="256">
        <v>36972</v>
      </c>
      <c r="B165" s="4">
        <v>0</v>
      </c>
      <c r="C165" s="4">
        <v>0</v>
      </c>
      <c r="D165" s="4">
        <v>0</v>
      </c>
      <c r="H165" s="4">
        <v>0</v>
      </c>
      <c r="I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0</v>
      </c>
      <c r="AG165" s="4">
        <v>0</v>
      </c>
    </row>
    <row r="166" spans="1:33" s="4" customFormat="1" x14ac:dyDescent="0.3">
      <c r="A166" s="256">
        <v>36973</v>
      </c>
      <c r="B166" s="4">
        <v>0</v>
      </c>
      <c r="C166" s="4">
        <v>0</v>
      </c>
      <c r="D166" s="4">
        <v>0</v>
      </c>
      <c r="H166" s="4">
        <v>0</v>
      </c>
      <c r="I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</row>
    <row r="167" spans="1:33" s="4" customFormat="1" x14ac:dyDescent="0.3">
      <c r="A167" s="256">
        <v>36976</v>
      </c>
      <c r="B167" s="4">
        <v>0</v>
      </c>
      <c r="C167" s="4">
        <v>0</v>
      </c>
      <c r="D167" s="4">
        <v>0</v>
      </c>
      <c r="H167" s="4">
        <v>0</v>
      </c>
      <c r="I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187500</v>
      </c>
      <c r="AD167" s="4">
        <v>0</v>
      </c>
      <c r="AE167" s="4">
        <v>0</v>
      </c>
      <c r="AF167" s="4">
        <v>0</v>
      </c>
      <c r="AG167" s="4">
        <v>0</v>
      </c>
    </row>
    <row r="168" spans="1:33" s="4" customFormat="1" x14ac:dyDescent="0.3">
      <c r="A168" s="256">
        <v>36977</v>
      </c>
      <c r="B168" s="4">
        <v>0</v>
      </c>
      <c r="C168" s="4">
        <v>0</v>
      </c>
      <c r="D168" s="4">
        <v>0</v>
      </c>
      <c r="H168" s="4">
        <v>0</v>
      </c>
      <c r="I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0</v>
      </c>
      <c r="AG168" s="4">
        <v>0</v>
      </c>
    </row>
    <row r="169" spans="1:33" s="4" customFormat="1" x14ac:dyDescent="0.3">
      <c r="A169" s="256">
        <v>36978</v>
      </c>
      <c r="B169" s="4">
        <v>0</v>
      </c>
      <c r="C169" s="4">
        <v>0</v>
      </c>
      <c r="D169" s="4">
        <v>0</v>
      </c>
      <c r="H169" s="4">
        <v>0</v>
      </c>
      <c r="I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0</v>
      </c>
    </row>
    <row r="170" spans="1:33" s="4" customFormat="1" x14ac:dyDescent="0.3">
      <c r="A170" s="256">
        <v>36979</v>
      </c>
      <c r="B170" s="4">
        <v>0</v>
      </c>
      <c r="C170" s="4">
        <v>0</v>
      </c>
      <c r="D170" s="4">
        <v>0</v>
      </c>
      <c r="H170" s="4">
        <v>0</v>
      </c>
      <c r="I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</row>
    <row r="171" spans="1:33" s="4" customFormat="1" x14ac:dyDescent="0.3">
      <c r="A171" s="256">
        <v>36980</v>
      </c>
      <c r="B171" s="4">
        <v>0</v>
      </c>
      <c r="C171" s="4">
        <v>0</v>
      </c>
      <c r="D171" s="4">
        <v>0</v>
      </c>
      <c r="H171" s="4">
        <v>0</v>
      </c>
      <c r="I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-5406650.6100000003</v>
      </c>
      <c r="T171" s="4">
        <v>0</v>
      </c>
      <c r="U171" s="4">
        <v>0</v>
      </c>
      <c r="X171" s="28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</row>
    <row r="172" spans="1:33" s="4" customFormat="1" x14ac:dyDescent="0.3">
      <c r="A172" s="256">
        <v>36981</v>
      </c>
      <c r="B172" s="4">
        <v>0</v>
      </c>
      <c r="C172" s="4">
        <v>0</v>
      </c>
      <c r="D172" s="4">
        <v>0</v>
      </c>
      <c r="H172" s="4">
        <v>0</v>
      </c>
      <c r="I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X172" s="28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</row>
    <row r="173" spans="1:33" s="4" customFormat="1" x14ac:dyDescent="0.3">
      <c r="A173" s="256">
        <v>36983</v>
      </c>
      <c r="B173" s="4">
        <v>0</v>
      </c>
      <c r="C173" s="4">
        <v>0</v>
      </c>
      <c r="D173" s="4">
        <v>0</v>
      </c>
      <c r="H173" s="4">
        <v>0</v>
      </c>
      <c r="I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X173" s="28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</row>
    <row r="174" spans="1:33" s="4" customFormat="1" x14ac:dyDescent="0.3">
      <c r="A174" s="256">
        <v>36984</v>
      </c>
      <c r="B174" s="4">
        <v>0</v>
      </c>
      <c r="C174" s="4">
        <v>0</v>
      </c>
      <c r="D174" s="4">
        <v>0</v>
      </c>
      <c r="H174" s="4">
        <v>0</v>
      </c>
      <c r="I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X174" s="28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</row>
    <row r="175" spans="1:33" s="4" customFormat="1" x14ac:dyDescent="0.3">
      <c r="A175" s="256">
        <v>36985</v>
      </c>
      <c r="B175" s="4">
        <v>0</v>
      </c>
      <c r="C175" s="4">
        <v>0</v>
      </c>
      <c r="D175" s="4">
        <v>0</v>
      </c>
      <c r="H175" s="4">
        <v>0</v>
      </c>
      <c r="I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X175" s="28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</row>
    <row r="176" spans="1:33" s="4" customFormat="1" x14ac:dyDescent="0.3">
      <c r="A176" s="256">
        <v>36986</v>
      </c>
      <c r="B176" s="4">
        <v>0</v>
      </c>
      <c r="C176" s="4">
        <v>0</v>
      </c>
      <c r="D176" s="4">
        <v>0</v>
      </c>
      <c r="H176" s="4">
        <v>0</v>
      </c>
      <c r="I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X176" s="28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0</v>
      </c>
      <c r="AG176" s="4">
        <v>0</v>
      </c>
    </row>
    <row r="177" spans="1:33" s="4" customFormat="1" x14ac:dyDescent="0.3">
      <c r="A177" s="256">
        <v>36987</v>
      </c>
      <c r="B177" s="4">
        <v>0</v>
      </c>
      <c r="C177" s="4">
        <v>0</v>
      </c>
      <c r="D177" s="4">
        <v>0</v>
      </c>
      <c r="H177" s="4">
        <v>0</v>
      </c>
      <c r="I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X177" s="28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</row>
    <row r="178" spans="1:33" s="4" customFormat="1" x14ac:dyDescent="0.3">
      <c r="A178" s="256">
        <v>36990</v>
      </c>
      <c r="B178" s="4">
        <v>0</v>
      </c>
      <c r="C178" s="4">
        <v>0</v>
      </c>
      <c r="D178" s="4">
        <v>0</v>
      </c>
      <c r="H178" s="4">
        <v>0</v>
      </c>
      <c r="I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X178" s="28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4">
        <v>0</v>
      </c>
    </row>
    <row r="179" spans="1:33" s="4" customFormat="1" x14ac:dyDescent="0.3">
      <c r="A179" s="256">
        <v>36991</v>
      </c>
      <c r="B179" s="4">
        <v>0</v>
      </c>
      <c r="C179" s="4">
        <v>0</v>
      </c>
      <c r="D179" s="4">
        <v>0</v>
      </c>
      <c r="H179" s="4">
        <v>0</v>
      </c>
      <c r="I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X179" s="28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0</v>
      </c>
      <c r="AG179" s="4">
        <v>0</v>
      </c>
    </row>
    <row r="180" spans="1:33" s="4" customFormat="1" x14ac:dyDescent="0.3">
      <c r="A180" s="256">
        <v>36992</v>
      </c>
      <c r="B180" s="4">
        <v>0</v>
      </c>
      <c r="C180" s="4">
        <v>0</v>
      </c>
      <c r="D180" s="4">
        <v>0</v>
      </c>
      <c r="H180" s="4">
        <v>0</v>
      </c>
      <c r="I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X180" s="28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</row>
    <row r="181" spans="1:33" s="4" customFormat="1" x14ac:dyDescent="0.3">
      <c r="A181" s="256">
        <v>36993</v>
      </c>
      <c r="B181" s="4">
        <v>0</v>
      </c>
      <c r="C181" s="4">
        <v>0</v>
      </c>
      <c r="D181" s="4">
        <v>0</v>
      </c>
      <c r="H181" s="4">
        <v>0</v>
      </c>
      <c r="I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X181" s="28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  <c r="AG181" s="4">
        <v>0</v>
      </c>
    </row>
    <row r="182" spans="1:33" s="4" customFormat="1" x14ac:dyDescent="0.3">
      <c r="A182" s="256">
        <v>36997</v>
      </c>
      <c r="B182" s="4">
        <v>0</v>
      </c>
      <c r="C182" s="4">
        <v>0</v>
      </c>
      <c r="D182" s="4">
        <v>0</v>
      </c>
      <c r="H182" s="4">
        <v>0</v>
      </c>
      <c r="I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X182" s="28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</row>
    <row r="183" spans="1:33" s="4" customFormat="1" x14ac:dyDescent="0.3">
      <c r="A183" s="256">
        <v>36998</v>
      </c>
      <c r="B183" s="4">
        <v>0</v>
      </c>
      <c r="C183" s="4">
        <v>0</v>
      </c>
      <c r="D183" s="4">
        <v>0</v>
      </c>
      <c r="H183" s="4">
        <v>0</v>
      </c>
      <c r="I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X183" s="28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  <c r="AG183" s="4">
        <v>0</v>
      </c>
    </row>
    <row r="184" spans="1:33" s="4" customFormat="1" x14ac:dyDescent="0.3">
      <c r="A184" s="256">
        <v>36999</v>
      </c>
      <c r="B184" s="4">
        <v>0</v>
      </c>
      <c r="C184" s="4">
        <v>0</v>
      </c>
      <c r="D184" s="4">
        <v>0</v>
      </c>
      <c r="H184" s="4">
        <v>0</v>
      </c>
      <c r="I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X184" s="28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0</v>
      </c>
      <c r="AG184" s="4">
        <v>0</v>
      </c>
    </row>
    <row r="185" spans="1:33" s="4" customFormat="1" x14ac:dyDescent="0.3">
      <c r="A185" s="256">
        <v>37000</v>
      </c>
      <c r="B185" s="4">
        <v>0</v>
      </c>
      <c r="C185" s="4">
        <v>0</v>
      </c>
      <c r="D185" s="4">
        <v>0</v>
      </c>
      <c r="H185" s="4">
        <v>0</v>
      </c>
      <c r="I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X185" s="28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0</v>
      </c>
      <c r="AG185" s="4">
        <v>0</v>
      </c>
    </row>
    <row r="186" spans="1:33" s="4" customFormat="1" x14ac:dyDescent="0.3">
      <c r="A186" s="256">
        <v>37001</v>
      </c>
      <c r="B186" s="4">
        <v>0</v>
      </c>
      <c r="C186" s="4">
        <v>0</v>
      </c>
      <c r="D186" s="4">
        <v>0</v>
      </c>
      <c r="H186" s="4">
        <v>0</v>
      </c>
      <c r="I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X186" s="28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4">
        <v>0</v>
      </c>
    </row>
    <row r="187" spans="1:33" s="4" customFormat="1" x14ac:dyDescent="0.3">
      <c r="A187" s="256">
        <v>37004</v>
      </c>
      <c r="B187" s="4">
        <v>0</v>
      </c>
      <c r="C187" s="4">
        <v>0</v>
      </c>
      <c r="D187" s="4">
        <v>0</v>
      </c>
      <c r="H187" s="4">
        <v>0</v>
      </c>
      <c r="I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X187" s="28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</row>
    <row r="188" spans="1:33" s="4" customFormat="1" x14ac:dyDescent="0.3">
      <c r="A188" s="256">
        <v>37005</v>
      </c>
      <c r="B188" s="4">
        <v>0</v>
      </c>
      <c r="C188" s="4">
        <v>0</v>
      </c>
      <c r="D188" s="4">
        <v>0</v>
      </c>
      <c r="H188" s="4">
        <v>0</v>
      </c>
      <c r="I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X188" s="28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</row>
    <row r="189" spans="1:33" s="4" customFormat="1" x14ac:dyDescent="0.3">
      <c r="A189" s="256">
        <v>37006</v>
      </c>
      <c r="B189" s="4">
        <v>0</v>
      </c>
      <c r="C189" s="4">
        <v>0</v>
      </c>
      <c r="D189" s="4">
        <v>0</v>
      </c>
      <c r="H189" s="4">
        <v>0</v>
      </c>
      <c r="I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X189" s="28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  <c r="AG189" s="4">
        <v>0</v>
      </c>
    </row>
    <row r="190" spans="1:33" s="4" customFormat="1" x14ac:dyDescent="0.3">
      <c r="A190" s="256">
        <v>37007</v>
      </c>
      <c r="B190" s="4">
        <v>0</v>
      </c>
      <c r="C190" s="4">
        <v>0</v>
      </c>
      <c r="D190" s="4">
        <v>0</v>
      </c>
      <c r="H190" s="4">
        <v>0</v>
      </c>
      <c r="I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X190" s="28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</row>
    <row r="191" spans="1:33" s="4" customFormat="1" x14ac:dyDescent="0.3">
      <c r="A191" s="256">
        <v>37008</v>
      </c>
      <c r="B191" s="4">
        <v>0</v>
      </c>
      <c r="C191" s="4">
        <v>0</v>
      </c>
      <c r="D191" s="4">
        <v>0</v>
      </c>
      <c r="H191" s="4">
        <v>0</v>
      </c>
      <c r="I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X191" s="28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</row>
    <row r="192" spans="1:33" s="4" customFormat="1" x14ac:dyDescent="0.3">
      <c r="A192" s="256">
        <v>37011</v>
      </c>
      <c r="B192" s="4">
        <v>0</v>
      </c>
      <c r="C192" s="4">
        <v>0</v>
      </c>
      <c r="D192" s="4">
        <v>0</v>
      </c>
      <c r="H192" s="4">
        <v>0</v>
      </c>
      <c r="I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X192" s="28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</row>
    <row r="193" spans="1:33" s="4" customFormat="1" x14ac:dyDescent="0.3">
      <c r="A193" s="256">
        <v>37012</v>
      </c>
      <c r="B193" s="4">
        <v>0</v>
      </c>
      <c r="C193" s="4">
        <v>-15406.740000000224</v>
      </c>
      <c r="D193" s="4">
        <v>0</v>
      </c>
      <c r="H193" s="4">
        <v>0</v>
      </c>
      <c r="I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X193" s="28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212700</v>
      </c>
      <c r="AD193" s="4">
        <v>0</v>
      </c>
      <c r="AE193" s="4">
        <v>0</v>
      </c>
      <c r="AF193" s="4">
        <v>0</v>
      </c>
      <c r="AG193" s="4">
        <v>0</v>
      </c>
    </row>
    <row r="194" spans="1:33" s="4" customFormat="1" x14ac:dyDescent="0.3">
      <c r="A194" s="256">
        <v>37013</v>
      </c>
      <c r="B194" s="4">
        <v>0</v>
      </c>
      <c r="C194" s="4">
        <v>0</v>
      </c>
      <c r="D194" s="4">
        <v>0</v>
      </c>
      <c r="H194" s="4">
        <v>0</v>
      </c>
      <c r="I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X194" s="28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</row>
    <row r="195" spans="1:33" s="4" customFormat="1" x14ac:dyDescent="0.3">
      <c r="A195" s="256">
        <v>37014</v>
      </c>
      <c r="B195" s="4">
        <v>0</v>
      </c>
      <c r="C195" s="4">
        <v>0</v>
      </c>
      <c r="D195" s="4">
        <v>0</v>
      </c>
      <c r="H195" s="4">
        <v>0</v>
      </c>
      <c r="I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X195" s="28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</row>
    <row r="196" spans="1:33" s="4" customFormat="1" x14ac:dyDescent="0.3">
      <c r="A196" s="256">
        <v>37015</v>
      </c>
      <c r="B196" s="4">
        <v>0</v>
      </c>
      <c r="C196" s="4">
        <v>0</v>
      </c>
      <c r="D196" s="4">
        <v>0</v>
      </c>
      <c r="H196" s="4">
        <v>0</v>
      </c>
      <c r="I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X196" s="28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4">
        <v>0</v>
      </c>
    </row>
    <row r="197" spans="1:33" s="4" customFormat="1" x14ac:dyDescent="0.3">
      <c r="A197" s="256">
        <v>37018</v>
      </c>
      <c r="B197" s="4">
        <v>0</v>
      </c>
      <c r="C197" s="4">
        <v>133557.29999999999</v>
      </c>
      <c r="D197" s="4">
        <v>0</v>
      </c>
      <c r="H197" s="4">
        <v>0</v>
      </c>
      <c r="I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X197" s="28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</row>
    <row r="198" spans="1:33" s="4" customFormat="1" x14ac:dyDescent="0.3">
      <c r="A198" s="256">
        <v>37019</v>
      </c>
      <c r="B198" s="4">
        <v>0</v>
      </c>
      <c r="C198" s="4">
        <v>0</v>
      </c>
      <c r="D198" s="4">
        <v>0</v>
      </c>
      <c r="H198" s="4">
        <v>0</v>
      </c>
      <c r="I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X198" s="28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0</v>
      </c>
      <c r="AG198" s="4">
        <v>0</v>
      </c>
    </row>
    <row r="199" spans="1:33" s="4" customFormat="1" x14ac:dyDescent="0.3">
      <c r="A199" s="256">
        <v>37020</v>
      </c>
      <c r="B199" s="4">
        <v>0</v>
      </c>
      <c r="C199" s="4">
        <v>0</v>
      </c>
      <c r="D199" s="4">
        <v>0</v>
      </c>
      <c r="H199" s="4">
        <v>0</v>
      </c>
      <c r="I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X199" s="28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0</v>
      </c>
    </row>
    <row r="200" spans="1:33" s="4" customFormat="1" x14ac:dyDescent="0.3">
      <c r="A200" s="256">
        <v>37021</v>
      </c>
      <c r="B200" s="4">
        <v>0</v>
      </c>
      <c r="C200" s="4">
        <v>0</v>
      </c>
      <c r="D200" s="4">
        <v>0</v>
      </c>
      <c r="H200" s="4">
        <v>0</v>
      </c>
      <c r="I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X200" s="28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0</v>
      </c>
    </row>
    <row r="201" spans="1:33" s="4" customFormat="1" x14ac:dyDescent="0.3">
      <c r="A201" s="256">
        <v>37022</v>
      </c>
      <c r="B201" s="4">
        <v>0</v>
      </c>
      <c r="C201" s="4">
        <v>0</v>
      </c>
      <c r="D201" s="4">
        <v>0</v>
      </c>
      <c r="H201" s="4">
        <v>0</v>
      </c>
      <c r="I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X201" s="28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</row>
    <row r="202" spans="1:33" s="4" customFormat="1" x14ac:dyDescent="0.3">
      <c r="A202" s="256">
        <v>37025</v>
      </c>
      <c r="B202" s="4">
        <v>0</v>
      </c>
      <c r="C202" s="4">
        <v>0</v>
      </c>
      <c r="D202" s="4">
        <v>0</v>
      </c>
      <c r="H202" s="4">
        <v>0</v>
      </c>
      <c r="I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X202" s="28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1054015.1100000001</v>
      </c>
      <c r="AF202" s="4">
        <v>0</v>
      </c>
      <c r="AG202" s="4">
        <v>0</v>
      </c>
    </row>
    <row r="203" spans="1:33" s="4" customFormat="1" x14ac:dyDescent="0.3">
      <c r="A203" s="256">
        <v>37026</v>
      </c>
      <c r="B203" s="4">
        <v>0</v>
      </c>
      <c r="C203" s="4">
        <v>0</v>
      </c>
      <c r="D203" s="4">
        <v>0</v>
      </c>
      <c r="H203" s="4">
        <v>0</v>
      </c>
      <c r="I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X203" s="28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</row>
    <row r="204" spans="1:33" s="4" customFormat="1" x14ac:dyDescent="0.3">
      <c r="A204" s="256">
        <v>37027</v>
      </c>
      <c r="B204" s="4">
        <v>0</v>
      </c>
      <c r="C204" s="4">
        <v>0</v>
      </c>
      <c r="D204" s="4">
        <v>0</v>
      </c>
      <c r="H204" s="4">
        <v>0</v>
      </c>
      <c r="I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X204" s="28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0</v>
      </c>
      <c r="AG204" s="4">
        <v>0</v>
      </c>
    </row>
    <row r="205" spans="1:33" s="4" customFormat="1" x14ac:dyDescent="0.3">
      <c r="A205" s="256">
        <v>37028</v>
      </c>
      <c r="B205" s="4">
        <v>0</v>
      </c>
      <c r="C205" s="4">
        <v>0</v>
      </c>
      <c r="D205" s="4">
        <v>0</v>
      </c>
      <c r="H205" s="4">
        <v>0</v>
      </c>
      <c r="I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X205" s="28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</row>
    <row r="206" spans="1:33" s="4" customFormat="1" x14ac:dyDescent="0.3">
      <c r="A206" s="256">
        <v>37029</v>
      </c>
      <c r="B206" s="4">
        <v>0</v>
      </c>
      <c r="C206" s="4">
        <v>0</v>
      </c>
      <c r="D206" s="4">
        <v>0</v>
      </c>
      <c r="H206" s="4">
        <v>0</v>
      </c>
      <c r="I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X206" s="28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4">
        <v>0</v>
      </c>
    </row>
    <row r="207" spans="1:33" s="4" customFormat="1" x14ac:dyDescent="0.3">
      <c r="A207" s="256">
        <v>37032</v>
      </c>
      <c r="B207" s="4">
        <v>0</v>
      </c>
      <c r="C207" s="4">
        <v>0</v>
      </c>
      <c r="D207" s="4">
        <v>0</v>
      </c>
      <c r="H207" s="4">
        <v>0</v>
      </c>
      <c r="I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X207" s="28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</row>
    <row r="208" spans="1:33" s="4" customFormat="1" x14ac:dyDescent="0.3">
      <c r="A208" s="256">
        <v>37033</v>
      </c>
      <c r="B208" s="4">
        <v>0</v>
      </c>
      <c r="C208" s="4">
        <v>0</v>
      </c>
      <c r="D208" s="4">
        <v>0</v>
      </c>
      <c r="H208" s="4">
        <v>0</v>
      </c>
      <c r="I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X208" s="28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</row>
    <row r="209" spans="1:33" s="4" customFormat="1" x14ac:dyDescent="0.3">
      <c r="A209" s="256">
        <v>37034</v>
      </c>
      <c r="B209" s="4">
        <v>0</v>
      </c>
      <c r="C209" s="4">
        <v>0</v>
      </c>
      <c r="D209" s="4">
        <v>0</v>
      </c>
      <c r="H209" s="4">
        <v>0</v>
      </c>
      <c r="I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X209" s="28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</row>
    <row r="210" spans="1:33" s="4" customFormat="1" x14ac:dyDescent="0.3">
      <c r="A210" s="256">
        <v>37035</v>
      </c>
      <c r="B210" s="4">
        <v>0</v>
      </c>
      <c r="C210" s="4">
        <v>0</v>
      </c>
      <c r="D210" s="4">
        <v>0</v>
      </c>
      <c r="H210" s="4">
        <v>0</v>
      </c>
      <c r="I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X210" s="28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</row>
    <row r="211" spans="1:33" s="4" customFormat="1" x14ac:dyDescent="0.3">
      <c r="A211" s="256">
        <v>37036</v>
      </c>
      <c r="B211" s="4">
        <v>0</v>
      </c>
      <c r="C211" s="4">
        <v>0</v>
      </c>
      <c r="D211" s="4">
        <v>0</v>
      </c>
      <c r="H211" s="4">
        <v>0</v>
      </c>
      <c r="I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X211" s="28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0</v>
      </c>
      <c r="AG211" s="4">
        <v>0</v>
      </c>
    </row>
    <row r="212" spans="1:33" s="4" customFormat="1" x14ac:dyDescent="0.3">
      <c r="A212" s="256">
        <v>37040</v>
      </c>
      <c r="B212" s="4">
        <v>0</v>
      </c>
      <c r="C212" s="4">
        <v>0</v>
      </c>
      <c r="D212" s="4">
        <v>0</v>
      </c>
      <c r="H212" s="4">
        <v>0</v>
      </c>
      <c r="I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X212" s="284">
        <v>0</v>
      </c>
      <c r="Y212" s="4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4">
        <v>0</v>
      </c>
    </row>
    <row r="213" spans="1:33" s="4" customFormat="1" x14ac:dyDescent="0.3">
      <c r="A213" s="256">
        <v>37041</v>
      </c>
      <c r="B213" s="4">
        <v>0</v>
      </c>
      <c r="C213" s="4">
        <v>0</v>
      </c>
      <c r="D213" s="4">
        <v>0</v>
      </c>
      <c r="H213" s="4">
        <v>0</v>
      </c>
      <c r="I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X213" s="28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280000</v>
      </c>
      <c r="AD213" s="4">
        <v>0</v>
      </c>
      <c r="AE213" s="4">
        <v>0</v>
      </c>
      <c r="AF213" s="4">
        <v>0</v>
      </c>
      <c r="AG213" s="4">
        <v>0</v>
      </c>
    </row>
    <row r="214" spans="1:33" s="4" customFormat="1" x14ac:dyDescent="0.3">
      <c r="A214" s="256">
        <v>37042</v>
      </c>
      <c r="B214" s="4">
        <v>0</v>
      </c>
      <c r="C214" s="4">
        <v>0</v>
      </c>
      <c r="D214" s="4">
        <v>0</v>
      </c>
      <c r="H214" s="4">
        <v>0</v>
      </c>
      <c r="I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X214" s="28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</row>
    <row r="215" spans="1:33" s="4" customFormat="1" x14ac:dyDescent="0.3">
      <c r="A215" s="256">
        <v>37043</v>
      </c>
      <c r="B215" s="4">
        <v>0</v>
      </c>
      <c r="C215" s="4">
        <v>0</v>
      </c>
      <c r="D215" s="4">
        <v>0</v>
      </c>
      <c r="H215" s="4">
        <v>0</v>
      </c>
      <c r="I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X215" s="28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  <c r="AF215" s="4">
        <v>0</v>
      </c>
      <c r="AG215" s="4">
        <v>0</v>
      </c>
    </row>
    <row r="216" spans="1:33" s="4" customFormat="1" x14ac:dyDescent="0.3">
      <c r="A216" s="256">
        <v>37046</v>
      </c>
      <c r="B216" s="4">
        <v>0</v>
      </c>
      <c r="C216" s="4">
        <v>0</v>
      </c>
      <c r="D216" s="4">
        <v>0</v>
      </c>
      <c r="H216" s="4">
        <v>0</v>
      </c>
      <c r="I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X216" s="284"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0</v>
      </c>
      <c r="AG216" s="4">
        <v>0</v>
      </c>
    </row>
    <row r="217" spans="1:33" s="4" customFormat="1" x14ac:dyDescent="0.3">
      <c r="A217" s="256">
        <v>37047</v>
      </c>
      <c r="B217" s="4">
        <v>0</v>
      </c>
      <c r="C217" s="4">
        <v>0</v>
      </c>
      <c r="D217" s="4">
        <v>0</v>
      </c>
      <c r="H217" s="4">
        <v>0</v>
      </c>
      <c r="I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X217" s="28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0</v>
      </c>
      <c r="AG217" s="4">
        <v>0</v>
      </c>
    </row>
    <row r="218" spans="1:33" s="4" customFormat="1" x14ac:dyDescent="0.3">
      <c r="A218" s="256">
        <v>37048</v>
      </c>
      <c r="B218" s="4">
        <v>0</v>
      </c>
      <c r="C218" s="4">
        <v>0</v>
      </c>
      <c r="D218" s="4">
        <v>0</v>
      </c>
      <c r="H218" s="4">
        <v>0</v>
      </c>
      <c r="I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X218" s="284">
        <v>0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0</v>
      </c>
      <c r="AG218" s="4">
        <v>0</v>
      </c>
    </row>
    <row r="219" spans="1:33" s="4" customFormat="1" x14ac:dyDescent="0.3">
      <c r="A219" s="256">
        <v>37049</v>
      </c>
      <c r="B219" s="4">
        <v>0</v>
      </c>
      <c r="C219" s="4">
        <v>0</v>
      </c>
      <c r="D219" s="4">
        <v>0</v>
      </c>
      <c r="H219" s="4">
        <v>0</v>
      </c>
      <c r="I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X219" s="28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0</v>
      </c>
    </row>
    <row r="220" spans="1:33" s="4" customFormat="1" x14ac:dyDescent="0.3">
      <c r="A220" s="256">
        <v>37050</v>
      </c>
      <c r="B220" s="4">
        <v>0</v>
      </c>
      <c r="C220" s="4">
        <v>0</v>
      </c>
      <c r="D220" s="4">
        <v>0</v>
      </c>
      <c r="H220" s="4">
        <v>0</v>
      </c>
      <c r="I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X220" s="284">
        <v>0</v>
      </c>
      <c r="Y220" s="4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  <c r="AF220" s="4">
        <v>0</v>
      </c>
      <c r="AG220" s="4">
        <v>0</v>
      </c>
    </row>
    <row r="221" spans="1:33" s="4" customFormat="1" x14ac:dyDescent="0.3">
      <c r="A221" s="256">
        <v>37053</v>
      </c>
      <c r="B221" s="4">
        <v>0</v>
      </c>
      <c r="C221" s="4">
        <v>0</v>
      </c>
      <c r="D221" s="4">
        <v>0</v>
      </c>
      <c r="H221" s="4">
        <v>0</v>
      </c>
      <c r="I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0</v>
      </c>
      <c r="X221" s="284">
        <v>0</v>
      </c>
      <c r="Y221" s="4">
        <v>0</v>
      </c>
      <c r="Z221" s="4">
        <v>0</v>
      </c>
      <c r="AA221" s="4">
        <v>0</v>
      </c>
      <c r="AB221" s="4">
        <v>0</v>
      </c>
      <c r="AC221" s="4">
        <v>100000</v>
      </c>
      <c r="AD221" s="4">
        <v>0</v>
      </c>
      <c r="AE221" s="4">
        <v>0</v>
      </c>
      <c r="AF221" s="4">
        <v>0</v>
      </c>
      <c r="AG221" s="4">
        <v>0</v>
      </c>
    </row>
    <row r="222" spans="1:33" s="4" customFormat="1" x14ac:dyDescent="0.3">
      <c r="A222" s="256">
        <v>37054</v>
      </c>
      <c r="B222" s="4">
        <v>0</v>
      </c>
      <c r="C222" s="4">
        <v>0</v>
      </c>
      <c r="D222" s="4">
        <v>0</v>
      </c>
      <c r="H222" s="4">
        <v>0</v>
      </c>
      <c r="I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X222" s="284">
        <v>0</v>
      </c>
      <c r="Y222" s="4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  <c r="AG222" s="4">
        <v>0</v>
      </c>
    </row>
    <row r="223" spans="1:33" s="4" customFormat="1" x14ac:dyDescent="0.3">
      <c r="A223" s="256">
        <v>37055</v>
      </c>
      <c r="B223" s="4">
        <v>0</v>
      </c>
      <c r="C223" s="4">
        <v>0</v>
      </c>
      <c r="D223" s="4">
        <v>0</v>
      </c>
      <c r="H223" s="4">
        <v>0</v>
      </c>
      <c r="I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-60000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X223" s="284">
        <v>0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0</v>
      </c>
      <c r="AG223" s="4">
        <v>0</v>
      </c>
    </row>
    <row r="224" spans="1:33" s="4" customFormat="1" x14ac:dyDescent="0.3">
      <c r="A224" s="256">
        <v>37056</v>
      </c>
      <c r="B224" s="4">
        <v>0</v>
      </c>
      <c r="C224" s="4">
        <v>0</v>
      </c>
      <c r="D224" s="4">
        <v>0</v>
      </c>
      <c r="H224" s="4">
        <v>0</v>
      </c>
      <c r="I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X224" s="28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0</v>
      </c>
      <c r="AG224" s="4">
        <v>0</v>
      </c>
    </row>
    <row r="225" spans="1:33" s="4" customFormat="1" x14ac:dyDescent="0.3">
      <c r="A225" s="256">
        <v>37057</v>
      </c>
      <c r="B225" s="4">
        <v>0</v>
      </c>
      <c r="C225" s="4">
        <v>0</v>
      </c>
      <c r="D225" s="4">
        <v>0</v>
      </c>
      <c r="H225" s="4">
        <v>0</v>
      </c>
      <c r="I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X225" s="28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0</v>
      </c>
    </row>
    <row r="226" spans="1:33" s="4" customFormat="1" x14ac:dyDescent="0.3">
      <c r="A226" s="256">
        <v>37060</v>
      </c>
      <c r="B226" s="4">
        <v>0</v>
      </c>
      <c r="C226" s="4">
        <v>0</v>
      </c>
      <c r="D226" s="4">
        <v>0</v>
      </c>
      <c r="H226" s="4">
        <v>0</v>
      </c>
      <c r="I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X226" s="28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0</v>
      </c>
      <c r="AG226" s="4">
        <v>0</v>
      </c>
    </row>
    <row r="227" spans="1:33" s="4" customFormat="1" x14ac:dyDescent="0.3">
      <c r="A227" s="256">
        <v>37061</v>
      </c>
      <c r="B227" s="4">
        <v>0</v>
      </c>
      <c r="C227" s="4">
        <v>0</v>
      </c>
      <c r="D227" s="4">
        <v>0</v>
      </c>
      <c r="H227" s="4">
        <v>0</v>
      </c>
      <c r="I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X227" s="28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0</v>
      </c>
      <c r="AG227" s="4">
        <v>0</v>
      </c>
    </row>
    <row r="228" spans="1:33" s="4" customFormat="1" x14ac:dyDescent="0.3">
      <c r="A228" s="256">
        <v>37062</v>
      </c>
      <c r="B228" s="4">
        <v>0</v>
      </c>
      <c r="C228" s="4">
        <v>0</v>
      </c>
      <c r="D228" s="4">
        <v>0</v>
      </c>
      <c r="H228" s="4">
        <v>0</v>
      </c>
      <c r="I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X228" s="28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0</v>
      </c>
      <c r="AG228" s="4">
        <v>0</v>
      </c>
    </row>
    <row r="229" spans="1:33" s="4" customFormat="1" x14ac:dyDescent="0.3">
      <c r="A229" s="256">
        <v>37063</v>
      </c>
      <c r="B229" s="4">
        <v>0</v>
      </c>
      <c r="C229" s="4">
        <v>0</v>
      </c>
      <c r="D229" s="4">
        <v>0</v>
      </c>
      <c r="H229" s="4">
        <v>0</v>
      </c>
      <c r="I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X229" s="28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0</v>
      </c>
      <c r="AG229" s="4">
        <v>0</v>
      </c>
    </row>
    <row r="230" spans="1:33" s="4" customFormat="1" x14ac:dyDescent="0.3">
      <c r="A230" s="256">
        <v>37064</v>
      </c>
      <c r="B230" s="4">
        <v>0</v>
      </c>
      <c r="C230" s="4">
        <v>0</v>
      </c>
      <c r="D230" s="4">
        <v>0</v>
      </c>
      <c r="H230" s="4">
        <v>0</v>
      </c>
      <c r="I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X230" s="28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0</v>
      </c>
      <c r="AG230" s="4">
        <v>0</v>
      </c>
    </row>
    <row r="231" spans="1:33" s="4" customFormat="1" x14ac:dyDescent="0.3">
      <c r="A231" s="256">
        <v>37067</v>
      </c>
      <c r="B231" s="4">
        <v>0</v>
      </c>
      <c r="C231" s="4">
        <v>0</v>
      </c>
      <c r="D231" s="4">
        <v>0</v>
      </c>
      <c r="H231" s="4">
        <v>0</v>
      </c>
      <c r="I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X231" s="28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0</v>
      </c>
      <c r="AG231" s="4">
        <v>0</v>
      </c>
    </row>
    <row r="232" spans="1:33" s="4" customFormat="1" x14ac:dyDescent="0.3">
      <c r="A232" s="256">
        <v>37068</v>
      </c>
      <c r="B232" s="4">
        <v>0</v>
      </c>
      <c r="C232" s="4">
        <v>0</v>
      </c>
      <c r="D232" s="4">
        <v>0</v>
      </c>
      <c r="H232" s="4">
        <v>0</v>
      </c>
      <c r="I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X232" s="28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0</v>
      </c>
    </row>
    <row r="233" spans="1:33" s="4" customFormat="1" x14ac:dyDescent="0.3">
      <c r="A233" s="256">
        <v>37069</v>
      </c>
      <c r="B233" s="4">
        <v>0</v>
      </c>
      <c r="C233" s="4">
        <v>0</v>
      </c>
      <c r="D233" s="4">
        <v>0</v>
      </c>
      <c r="H233" s="4">
        <v>0</v>
      </c>
      <c r="I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X233" s="28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0</v>
      </c>
      <c r="AG233" s="4">
        <v>0</v>
      </c>
    </row>
    <row r="234" spans="1:33" s="4" customFormat="1" x14ac:dyDescent="0.3">
      <c r="A234" s="256">
        <v>37070</v>
      </c>
      <c r="B234" s="4">
        <v>0</v>
      </c>
      <c r="C234" s="4">
        <v>0</v>
      </c>
      <c r="D234" s="4">
        <v>0</v>
      </c>
      <c r="H234" s="4">
        <v>0</v>
      </c>
      <c r="I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f>532687.51</f>
        <v>532687.51</v>
      </c>
      <c r="U234" s="4">
        <f>-532687.51</f>
        <v>-532687.51</v>
      </c>
      <c r="X234" s="28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0</v>
      </c>
      <c r="AG234" s="4">
        <v>0</v>
      </c>
    </row>
    <row r="235" spans="1:33" s="4" customFormat="1" x14ac:dyDescent="0.3">
      <c r="A235" s="256">
        <v>37071</v>
      </c>
      <c r="B235" s="4">
        <v>0</v>
      </c>
      <c r="C235" s="4">
        <v>123724.3</v>
      </c>
      <c r="D235" s="4">
        <v>0</v>
      </c>
      <c r="H235" s="4">
        <v>0</v>
      </c>
      <c r="I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-40000</v>
      </c>
      <c r="P235" s="4">
        <v>0</v>
      </c>
      <c r="Q235" s="4">
        <v>0</v>
      </c>
      <c r="R235" s="4">
        <v>0</v>
      </c>
      <c r="S235" s="4">
        <v>0</v>
      </c>
      <c r="T235" s="4">
        <v>1497687.5</v>
      </c>
      <c r="U235" s="4">
        <v>-1422307.76</v>
      </c>
      <c r="X235" s="28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915000</v>
      </c>
      <c r="AD235" s="4">
        <v>-162836.32999999999</v>
      </c>
      <c r="AE235" s="4">
        <v>0</v>
      </c>
      <c r="AF235" s="4">
        <v>0</v>
      </c>
      <c r="AG235" s="4">
        <v>0</v>
      </c>
    </row>
    <row r="236" spans="1:33" s="4" customFormat="1" x14ac:dyDescent="0.3">
      <c r="A236" s="256">
        <v>37083</v>
      </c>
      <c r="B236" s="4">
        <v>0</v>
      </c>
      <c r="C236" s="4">
        <v>0</v>
      </c>
      <c r="D236" s="4">
        <v>0</v>
      </c>
      <c r="H236" s="4">
        <v>0</v>
      </c>
      <c r="I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X236" s="284">
        <v>0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</row>
    <row r="237" spans="1:33" s="4" customFormat="1" x14ac:dyDescent="0.3">
      <c r="A237" s="256">
        <v>37084</v>
      </c>
      <c r="B237" s="4">
        <v>0</v>
      </c>
      <c r="C237" s="4">
        <v>0</v>
      </c>
      <c r="D237" s="4">
        <v>0</v>
      </c>
      <c r="H237" s="4">
        <v>0</v>
      </c>
      <c r="I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X237" s="28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0</v>
      </c>
      <c r="AG237" s="4">
        <v>0</v>
      </c>
    </row>
    <row r="238" spans="1:33" s="4" customFormat="1" x14ac:dyDescent="0.3">
      <c r="A238" s="256">
        <v>37085</v>
      </c>
      <c r="B238" s="4">
        <v>0</v>
      </c>
      <c r="C238" s="4">
        <v>0</v>
      </c>
      <c r="D238" s="4">
        <v>0</v>
      </c>
      <c r="H238" s="4">
        <v>0</v>
      </c>
      <c r="I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X238" s="28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0</v>
      </c>
    </row>
    <row r="239" spans="1:33" s="4" customFormat="1" x14ac:dyDescent="0.3">
      <c r="A239" s="256">
        <v>37088</v>
      </c>
      <c r="B239" s="4">
        <v>0</v>
      </c>
      <c r="C239" s="4">
        <v>0</v>
      </c>
      <c r="D239" s="4">
        <v>0</v>
      </c>
      <c r="H239" s="4">
        <v>0</v>
      </c>
      <c r="I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X239" s="28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0</v>
      </c>
    </row>
    <row r="240" spans="1:33" s="4" customFormat="1" x14ac:dyDescent="0.3">
      <c r="A240" s="256">
        <v>37089</v>
      </c>
      <c r="B240" s="4">
        <v>0</v>
      </c>
      <c r="C240" s="4">
        <v>0</v>
      </c>
      <c r="D240" s="4">
        <v>0</v>
      </c>
      <c r="H240" s="4">
        <v>0</v>
      </c>
      <c r="I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X240" s="28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0</v>
      </c>
    </row>
    <row r="241" spans="1:33" s="4" customFormat="1" x14ac:dyDescent="0.3">
      <c r="A241" s="256">
        <v>37090</v>
      </c>
      <c r="B241" s="4">
        <v>0</v>
      </c>
      <c r="C241" s="4">
        <v>0</v>
      </c>
      <c r="D241" s="4">
        <v>0</v>
      </c>
      <c r="H241" s="4">
        <v>0</v>
      </c>
      <c r="I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X241" s="28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0</v>
      </c>
    </row>
    <row r="242" spans="1:33" s="4" customFormat="1" x14ac:dyDescent="0.3">
      <c r="A242" s="256">
        <v>37091</v>
      </c>
      <c r="B242" s="4">
        <v>0</v>
      </c>
      <c r="C242" s="4">
        <v>0</v>
      </c>
      <c r="D242" s="4">
        <v>0</v>
      </c>
      <c r="H242" s="4">
        <v>0</v>
      </c>
      <c r="I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X242" s="28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0</v>
      </c>
    </row>
    <row r="243" spans="1:33" s="4" customFormat="1" x14ac:dyDescent="0.3">
      <c r="A243" s="256">
        <v>37092</v>
      </c>
      <c r="B243" s="4">
        <v>0</v>
      </c>
      <c r="C243" s="4">
        <v>0</v>
      </c>
      <c r="D243" s="4">
        <v>0</v>
      </c>
      <c r="H243" s="4">
        <v>0</v>
      </c>
      <c r="I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X243" s="28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0</v>
      </c>
      <c r="AG243" s="4">
        <v>0</v>
      </c>
    </row>
    <row r="244" spans="1:33" s="4" customFormat="1" x14ac:dyDescent="0.3">
      <c r="A244" s="256">
        <v>37095</v>
      </c>
      <c r="B244" s="4">
        <v>0</v>
      </c>
      <c r="C244" s="4">
        <v>0</v>
      </c>
      <c r="D244" s="4">
        <v>0</v>
      </c>
      <c r="H244" s="4">
        <v>0</v>
      </c>
      <c r="I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X244" s="28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  <c r="AF244" s="4">
        <v>0</v>
      </c>
      <c r="AG244" s="4">
        <v>0</v>
      </c>
    </row>
    <row r="245" spans="1:33" s="4" customFormat="1" x14ac:dyDescent="0.3">
      <c r="A245" s="256">
        <v>37096</v>
      </c>
      <c r="B245" s="4">
        <v>0</v>
      </c>
      <c r="C245" s="4">
        <v>0</v>
      </c>
      <c r="D245" s="4">
        <v>0</v>
      </c>
      <c r="H245" s="4">
        <v>0</v>
      </c>
      <c r="I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1965625</v>
      </c>
      <c r="U245" s="4">
        <v>0</v>
      </c>
      <c r="X245" s="28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0</v>
      </c>
      <c r="AG245" s="4">
        <v>0</v>
      </c>
    </row>
    <row r="246" spans="1:33" s="4" customFormat="1" x14ac:dyDescent="0.3">
      <c r="A246" s="256">
        <v>37097</v>
      </c>
      <c r="B246" s="4">
        <v>0</v>
      </c>
      <c r="C246" s="4">
        <v>0</v>
      </c>
      <c r="D246" s="4">
        <v>0</v>
      </c>
      <c r="H246" s="4">
        <v>0</v>
      </c>
      <c r="I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X246" s="28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0</v>
      </c>
      <c r="AG246" s="4">
        <v>0</v>
      </c>
    </row>
    <row r="247" spans="1:33" s="4" customFormat="1" x14ac:dyDescent="0.3">
      <c r="A247" s="256">
        <v>37098</v>
      </c>
      <c r="B247" s="4">
        <v>0</v>
      </c>
      <c r="C247" s="4">
        <v>0</v>
      </c>
      <c r="D247" s="4">
        <v>0</v>
      </c>
      <c r="H247" s="4">
        <v>0</v>
      </c>
      <c r="I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X247" s="28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  <c r="AG247" s="4">
        <v>0</v>
      </c>
    </row>
    <row r="248" spans="1:33" s="4" customFormat="1" x14ac:dyDescent="0.3">
      <c r="A248" s="256">
        <v>37099</v>
      </c>
      <c r="B248" s="4">
        <v>0</v>
      </c>
      <c r="C248" s="4">
        <v>0</v>
      </c>
      <c r="D248" s="4">
        <v>0</v>
      </c>
      <c r="H248" s="4">
        <v>0</v>
      </c>
      <c r="I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X248" s="284">
        <v>0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0</v>
      </c>
      <c r="AG248" s="4">
        <v>0</v>
      </c>
    </row>
    <row r="249" spans="1:33" s="4" customFormat="1" x14ac:dyDescent="0.3">
      <c r="A249" s="256">
        <v>37102</v>
      </c>
      <c r="B249" s="4">
        <v>0</v>
      </c>
      <c r="C249" s="4">
        <v>0</v>
      </c>
      <c r="D249" s="4">
        <v>0</v>
      </c>
      <c r="H249" s="4">
        <v>0</v>
      </c>
      <c r="I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X249" s="28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0</v>
      </c>
    </row>
    <row r="250" spans="1:33" s="4" customFormat="1" x14ac:dyDescent="0.3">
      <c r="A250" s="256">
        <v>37103</v>
      </c>
      <c r="B250" s="4">
        <v>0</v>
      </c>
      <c r="C250" s="4">
        <v>0</v>
      </c>
      <c r="D250" s="4">
        <v>0</v>
      </c>
      <c r="H250" s="4">
        <v>0</v>
      </c>
      <c r="I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X250" s="28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0</v>
      </c>
    </row>
    <row r="251" spans="1:33" s="4" customFormat="1" x14ac:dyDescent="0.3">
      <c r="A251" s="256">
        <v>37104</v>
      </c>
      <c r="B251" s="4">
        <v>0</v>
      </c>
      <c r="C251" s="4">
        <v>0</v>
      </c>
      <c r="D251" s="4">
        <v>0</v>
      </c>
      <c r="H251" s="4">
        <v>0</v>
      </c>
      <c r="I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X251" s="28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0</v>
      </c>
      <c r="AG251" s="4">
        <v>0</v>
      </c>
    </row>
    <row r="252" spans="1:33" s="4" customFormat="1" x14ac:dyDescent="0.3">
      <c r="A252" s="256">
        <v>37105</v>
      </c>
      <c r="B252" s="4">
        <v>0</v>
      </c>
      <c r="C252" s="4">
        <v>0</v>
      </c>
      <c r="D252" s="4">
        <v>0</v>
      </c>
      <c r="H252" s="4">
        <v>0</v>
      </c>
      <c r="I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X252" s="28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</v>
      </c>
      <c r="AG252" s="4">
        <v>0</v>
      </c>
    </row>
    <row r="253" spans="1:33" s="4" customFormat="1" x14ac:dyDescent="0.3">
      <c r="A253" s="256">
        <v>37106</v>
      </c>
      <c r="B253" s="4">
        <v>0</v>
      </c>
      <c r="C253" s="4">
        <v>0</v>
      </c>
      <c r="D253" s="4">
        <v>0</v>
      </c>
      <c r="H253" s="4">
        <v>0</v>
      </c>
      <c r="I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X253" s="28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0</v>
      </c>
      <c r="AG253" s="4">
        <v>0</v>
      </c>
    </row>
    <row r="254" spans="1:33" s="4" customFormat="1" x14ac:dyDescent="0.3">
      <c r="A254" s="256">
        <v>37109</v>
      </c>
      <c r="B254" s="4">
        <v>0</v>
      </c>
      <c r="C254" s="4">
        <v>0</v>
      </c>
      <c r="D254" s="4">
        <v>0</v>
      </c>
      <c r="H254" s="4">
        <v>0</v>
      </c>
      <c r="I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X254" s="28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0</v>
      </c>
    </row>
    <row r="255" spans="1:33" s="4" customFormat="1" x14ac:dyDescent="0.3">
      <c r="A255" s="256">
        <v>37110</v>
      </c>
      <c r="B255" s="4">
        <v>0</v>
      </c>
      <c r="C255" s="4">
        <v>0</v>
      </c>
      <c r="D255" s="4">
        <v>0</v>
      </c>
      <c r="H255" s="4">
        <v>0</v>
      </c>
      <c r="I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X255" s="28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</v>
      </c>
      <c r="AG255" s="4">
        <v>0</v>
      </c>
    </row>
    <row r="256" spans="1:33" s="4" customFormat="1" x14ac:dyDescent="0.3">
      <c r="A256" s="256">
        <v>37111</v>
      </c>
      <c r="B256" s="4">
        <v>0</v>
      </c>
      <c r="C256" s="4">
        <v>0</v>
      </c>
      <c r="D256" s="4">
        <v>0</v>
      </c>
      <c r="H256" s="4">
        <v>0</v>
      </c>
      <c r="I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X256" s="284">
        <v>0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  <c r="AF256" s="4">
        <v>0</v>
      </c>
      <c r="AG256" s="4">
        <v>0</v>
      </c>
    </row>
    <row r="257" spans="1:33" s="4" customFormat="1" x14ac:dyDescent="0.3">
      <c r="A257" s="256">
        <v>37112</v>
      </c>
      <c r="B257" s="4">
        <v>0</v>
      </c>
      <c r="C257" s="4">
        <v>0</v>
      </c>
      <c r="D257" s="4">
        <v>0</v>
      </c>
      <c r="H257" s="4">
        <v>0</v>
      </c>
      <c r="I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X257" s="284">
        <v>0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0</v>
      </c>
      <c r="AG257" s="4">
        <v>0</v>
      </c>
    </row>
    <row r="258" spans="1:33" s="4" customFormat="1" x14ac:dyDescent="0.3">
      <c r="A258" s="256">
        <v>37113</v>
      </c>
      <c r="B258" s="4">
        <v>0</v>
      </c>
      <c r="C258" s="4">
        <v>0</v>
      </c>
      <c r="D258" s="4">
        <v>0</v>
      </c>
      <c r="H258" s="4">
        <v>0</v>
      </c>
      <c r="I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4">
        <v>0</v>
      </c>
      <c r="X258" s="284">
        <v>0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  <c r="AF258" s="4">
        <v>0</v>
      </c>
      <c r="AG258" s="4">
        <v>0</v>
      </c>
    </row>
    <row r="259" spans="1:33" s="4" customFormat="1" x14ac:dyDescent="0.3">
      <c r="A259" s="256">
        <v>37116</v>
      </c>
      <c r="B259" s="4">
        <v>0</v>
      </c>
      <c r="C259" s="4">
        <v>-506111.69</v>
      </c>
      <c r="D259" s="4">
        <v>0</v>
      </c>
      <c r="H259" s="4">
        <v>0</v>
      </c>
      <c r="I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X259" s="28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1077730.3600000001</v>
      </c>
      <c r="AF259" s="4">
        <v>0</v>
      </c>
      <c r="AG259" s="4">
        <v>0</v>
      </c>
    </row>
    <row r="260" spans="1:33" s="4" customFormat="1" x14ac:dyDescent="0.3">
      <c r="A260" s="256">
        <v>37117</v>
      </c>
      <c r="B260" s="4">
        <v>0</v>
      </c>
      <c r="C260" s="4">
        <v>0</v>
      </c>
      <c r="D260" s="4">
        <v>0</v>
      </c>
      <c r="H260" s="4">
        <v>0</v>
      </c>
      <c r="I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X260" s="28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</row>
    <row r="261" spans="1:33" s="4" customFormat="1" x14ac:dyDescent="0.3">
      <c r="A261" s="256">
        <v>37118</v>
      </c>
      <c r="B261" s="4">
        <v>0</v>
      </c>
      <c r="C261" s="4">
        <v>0</v>
      </c>
      <c r="D261" s="4">
        <v>0</v>
      </c>
      <c r="H261" s="4">
        <v>0</v>
      </c>
      <c r="I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X261" s="28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</row>
    <row r="262" spans="1:33" s="4" customFormat="1" x14ac:dyDescent="0.3">
      <c r="A262" s="256">
        <v>37119</v>
      </c>
      <c r="B262" s="4">
        <v>0</v>
      </c>
      <c r="C262" s="4">
        <v>0</v>
      </c>
      <c r="D262" s="4">
        <v>0</v>
      </c>
      <c r="H262" s="4">
        <v>0</v>
      </c>
      <c r="I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X262" s="28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</row>
    <row r="263" spans="1:33" s="4" customFormat="1" x14ac:dyDescent="0.3">
      <c r="A263" s="256">
        <v>37120</v>
      </c>
      <c r="B263" s="4">
        <v>0</v>
      </c>
      <c r="C263" s="4">
        <v>0</v>
      </c>
      <c r="D263" s="4">
        <v>0</v>
      </c>
      <c r="H263" s="4">
        <v>0</v>
      </c>
      <c r="I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X263" s="28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0</v>
      </c>
    </row>
    <row r="264" spans="1:33" s="4" customFormat="1" x14ac:dyDescent="0.3">
      <c r="A264" s="256">
        <v>37123</v>
      </c>
      <c r="B264" s="4">
        <v>0</v>
      </c>
      <c r="C264" s="4">
        <v>0</v>
      </c>
      <c r="D264" s="4">
        <v>0</v>
      </c>
      <c r="H264" s="4">
        <v>0</v>
      </c>
      <c r="I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X264" s="284"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0</v>
      </c>
    </row>
    <row r="265" spans="1:33" s="4" customFormat="1" x14ac:dyDescent="0.3">
      <c r="A265" s="256">
        <v>37124</v>
      </c>
      <c r="B265" s="4">
        <v>0</v>
      </c>
      <c r="C265" s="4">
        <v>0</v>
      </c>
      <c r="D265" s="4">
        <v>0</v>
      </c>
      <c r="H265" s="4">
        <v>0</v>
      </c>
      <c r="I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X265" s="28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0</v>
      </c>
      <c r="AG265" s="4">
        <v>0</v>
      </c>
    </row>
    <row r="266" spans="1:33" s="4" customFormat="1" x14ac:dyDescent="0.3">
      <c r="A266" s="256">
        <v>37125</v>
      </c>
      <c r="B266" s="4">
        <v>0</v>
      </c>
      <c r="C266" s="4">
        <v>0</v>
      </c>
      <c r="D266" s="4">
        <v>0</v>
      </c>
      <c r="H266" s="4">
        <v>0</v>
      </c>
      <c r="I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X266" s="284">
        <v>0</v>
      </c>
      <c r="Y266" s="4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0</v>
      </c>
      <c r="AG266" s="4">
        <v>0</v>
      </c>
    </row>
    <row r="267" spans="1:33" s="4" customFormat="1" x14ac:dyDescent="0.3">
      <c r="A267" s="256">
        <v>37126</v>
      </c>
      <c r="B267" s="4">
        <v>0</v>
      </c>
      <c r="C267" s="4">
        <v>0</v>
      </c>
      <c r="D267" s="4">
        <v>0</v>
      </c>
      <c r="H267" s="4">
        <v>0</v>
      </c>
      <c r="I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X267" s="284">
        <v>0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0</v>
      </c>
      <c r="AG267" s="4">
        <v>0</v>
      </c>
    </row>
    <row r="268" spans="1:33" s="4" customFormat="1" x14ac:dyDescent="0.3">
      <c r="A268" s="256">
        <v>37127</v>
      </c>
      <c r="B268" s="4">
        <v>0</v>
      </c>
      <c r="C268" s="4">
        <v>0</v>
      </c>
      <c r="D268" s="4">
        <v>0</v>
      </c>
      <c r="H268" s="4">
        <v>0</v>
      </c>
      <c r="I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X268" s="284">
        <v>0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  <c r="AF268" s="4">
        <v>0</v>
      </c>
      <c r="AG268" s="4">
        <v>0</v>
      </c>
    </row>
    <row r="269" spans="1:33" s="4" customFormat="1" x14ac:dyDescent="0.3">
      <c r="A269" s="256">
        <v>37130</v>
      </c>
      <c r="B269" s="4">
        <v>0</v>
      </c>
      <c r="C269" s="4">
        <v>0</v>
      </c>
      <c r="D269" s="4">
        <v>0</v>
      </c>
      <c r="H269" s="4">
        <v>0</v>
      </c>
      <c r="I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X269" s="28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0</v>
      </c>
      <c r="AG269" s="4">
        <v>0</v>
      </c>
    </row>
    <row r="270" spans="1:33" s="4" customFormat="1" x14ac:dyDescent="0.3">
      <c r="A270" s="256">
        <v>37131</v>
      </c>
      <c r="B270" s="4">
        <v>0</v>
      </c>
      <c r="C270" s="4">
        <v>0</v>
      </c>
      <c r="D270" s="4">
        <v>0</v>
      </c>
      <c r="H270" s="4">
        <v>0</v>
      </c>
      <c r="I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X270" s="28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  <c r="AF270" s="4">
        <v>0</v>
      </c>
      <c r="AG270" s="4">
        <v>0</v>
      </c>
    </row>
    <row r="271" spans="1:33" s="4" customFormat="1" x14ac:dyDescent="0.3">
      <c r="A271" s="256">
        <v>37132</v>
      </c>
      <c r="B271" s="4">
        <v>0</v>
      </c>
      <c r="C271" s="4">
        <v>0</v>
      </c>
      <c r="D271" s="4">
        <v>0</v>
      </c>
      <c r="H271" s="4">
        <v>0</v>
      </c>
      <c r="I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X271" s="284">
        <v>0</v>
      </c>
      <c r="Y271" s="4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  <c r="AF271" s="4">
        <v>0</v>
      </c>
      <c r="AG271" s="4">
        <v>0</v>
      </c>
    </row>
    <row r="272" spans="1:33" s="4" customFormat="1" x14ac:dyDescent="0.3">
      <c r="A272" s="256">
        <v>37133</v>
      </c>
      <c r="B272" s="4">
        <v>0</v>
      </c>
      <c r="C272" s="4">
        <v>0</v>
      </c>
      <c r="D272" s="4">
        <v>0</v>
      </c>
      <c r="H272" s="4">
        <v>0</v>
      </c>
      <c r="I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X272" s="28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0</v>
      </c>
      <c r="AG272" s="4">
        <v>0</v>
      </c>
    </row>
    <row r="273" spans="1:33" s="4" customFormat="1" x14ac:dyDescent="0.3">
      <c r="A273" s="256">
        <v>37134</v>
      </c>
      <c r="B273" s="4">
        <v>0</v>
      </c>
      <c r="C273" s="4">
        <v>0</v>
      </c>
      <c r="D273" s="4">
        <v>0</v>
      </c>
      <c r="H273" s="4">
        <v>0</v>
      </c>
      <c r="I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X273" s="28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  <c r="AF273" s="4">
        <v>0</v>
      </c>
      <c r="AG273" s="4">
        <v>0</v>
      </c>
    </row>
    <row r="274" spans="1:33" s="4" customFormat="1" x14ac:dyDescent="0.3">
      <c r="A274" s="256">
        <v>37138</v>
      </c>
      <c r="B274" s="4">
        <v>0</v>
      </c>
      <c r="C274" s="4">
        <v>0</v>
      </c>
      <c r="D274" s="4">
        <v>0</v>
      </c>
      <c r="H274" s="4">
        <v>0</v>
      </c>
      <c r="I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1121871.75</v>
      </c>
      <c r="U274" s="4">
        <v>0</v>
      </c>
      <c r="X274" s="28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  <c r="AF274" s="4">
        <v>0</v>
      </c>
      <c r="AG274" s="4">
        <v>0</v>
      </c>
    </row>
    <row r="275" spans="1:33" s="4" customFormat="1" x14ac:dyDescent="0.3">
      <c r="A275" s="256">
        <v>37139</v>
      </c>
      <c r="B275" s="4">
        <v>0</v>
      </c>
      <c r="C275" s="4">
        <v>0</v>
      </c>
      <c r="D275" s="4">
        <v>0</v>
      </c>
      <c r="H275" s="4">
        <v>0</v>
      </c>
      <c r="I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X275" s="28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  <c r="AF275" s="4">
        <v>0</v>
      </c>
      <c r="AG275" s="4">
        <v>0</v>
      </c>
    </row>
    <row r="276" spans="1:33" s="4" customFormat="1" x14ac:dyDescent="0.3">
      <c r="A276" s="256">
        <v>37140</v>
      </c>
      <c r="B276" s="4">
        <v>0</v>
      </c>
      <c r="C276" s="4">
        <v>0</v>
      </c>
      <c r="D276" s="4">
        <v>0</v>
      </c>
      <c r="H276" s="4">
        <v>0</v>
      </c>
      <c r="I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X276" s="28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  <c r="AF276" s="4">
        <v>0</v>
      </c>
      <c r="AG276" s="4">
        <v>0</v>
      </c>
    </row>
    <row r="277" spans="1:33" s="4" customFormat="1" x14ac:dyDescent="0.3">
      <c r="A277" s="256">
        <v>37141</v>
      </c>
      <c r="B277" s="4">
        <v>0</v>
      </c>
      <c r="C277" s="4">
        <v>0</v>
      </c>
      <c r="D277" s="4">
        <v>0</v>
      </c>
      <c r="H277" s="4">
        <v>0</v>
      </c>
      <c r="I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X277" s="28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0</v>
      </c>
      <c r="AG277" s="4">
        <v>0</v>
      </c>
    </row>
    <row r="278" spans="1:33" s="4" customFormat="1" x14ac:dyDescent="0.3">
      <c r="A278" s="256">
        <v>37144</v>
      </c>
      <c r="B278" s="4">
        <v>0</v>
      </c>
      <c r="C278" s="4">
        <v>0</v>
      </c>
      <c r="D278" s="4">
        <v>-950000</v>
      </c>
      <c r="H278" s="4">
        <v>0</v>
      </c>
      <c r="I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397909.68</v>
      </c>
      <c r="U278" s="4">
        <v>0</v>
      </c>
      <c r="X278" s="28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0</v>
      </c>
      <c r="AG278" s="4">
        <v>0</v>
      </c>
    </row>
    <row r="279" spans="1:33" s="4" customFormat="1" x14ac:dyDescent="0.3">
      <c r="A279" s="256">
        <v>37148</v>
      </c>
      <c r="B279" s="4">
        <v>0</v>
      </c>
      <c r="C279" s="4">
        <v>0</v>
      </c>
      <c r="D279" s="4">
        <v>0</v>
      </c>
      <c r="H279" s="4">
        <v>0</v>
      </c>
      <c r="I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812500</v>
      </c>
      <c r="U279" s="4">
        <v>0</v>
      </c>
      <c r="X279" s="28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0</v>
      </c>
      <c r="AG279" s="4">
        <v>0</v>
      </c>
    </row>
    <row r="280" spans="1:33" s="4" customFormat="1" x14ac:dyDescent="0.3">
      <c r="A280" s="256">
        <v>37151</v>
      </c>
      <c r="B280" s="4">
        <v>0</v>
      </c>
      <c r="C280" s="4">
        <v>0</v>
      </c>
      <c r="D280" s="4">
        <v>0</v>
      </c>
      <c r="H280" s="4">
        <v>0</v>
      </c>
      <c r="I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X280" s="28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  <c r="AF280" s="4">
        <v>0</v>
      </c>
      <c r="AG280" s="4">
        <v>0</v>
      </c>
    </row>
    <row r="281" spans="1:33" s="4" customFormat="1" x14ac:dyDescent="0.3">
      <c r="A281" s="256">
        <v>37152</v>
      </c>
      <c r="B281" s="4">
        <v>0</v>
      </c>
      <c r="C281" s="4">
        <v>0</v>
      </c>
      <c r="D281" s="4">
        <v>0</v>
      </c>
      <c r="H281" s="4">
        <v>0</v>
      </c>
      <c r="I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X281" s="28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  <c r="AF281" s="4">
        <v>0</v>
      </c>
      <c r="AG281" s="4">
        <v>0</v>
      </c>
    </row>
    <row r="282" spans="1:33" s="4" customFormat="1" x14ac:dyDescent="0.3">
      <c r="A282" s="256">
        <v>37153</v>
      </c>
      <c r="B282" s="4">
        <v>0</v>
      </c>
      <c r="C282" s="4">
        <v>0</v>
      </c>
      <c r="D282" s="4">
        <v>0</v>
      </c>
      <c r="H282" s="4">
        <v>0</v>
      </c>
      <c r="I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X282" s="284">
        <v>0</v>
      </c>
      <c r="Y282" s="4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0</v>
      </c>
      <c r="AG282" s="4">
        <v>0</v>
      </c>
    </row>
    <row r="283" spans="1:33" s="4" customFormat="1" x14ac:dyDescent="0.3">
      <c r="A283" s="256">
        <v>37154</v>
      </c>
      <c r="B283" s="4">
        <v>0</v>
      </c>
      <c r="C283" s="4">
        <v>0</v>
      </c>
      <c r="D283" s="4">
        <v>0</v>
      </c>
      <c r="H283" s="4">
        <v>0</v>
      </c>
      <c r="I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X283" s="284">
        <v>0</v>
      </c>
      <c r="Y283" s="4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0</v>
      </c>
      <c r="AG283" s="4">
        <v>0</v>
      </c>
    </row>
    <row r="284" spans="1:33" s="4" customFormat="1" x14ac:dyDescent="0.3">
      <c r="A284" s="256">
        <v>37155</v>
      </c>
      <c r="B284" s="4">
        <v>0</v>
      </c>
      <c r="C284" s="4">
        <v>0</v>
      </c>
      <c r="D284" s="4">
        <v>0</v>
      </c>
      <c r="H284" s="4">
        <v>0</v>
      </c>
      <c r="I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X284" s="28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  <c r="AF284" s="4">
        <v>0</v>
      </c>
      <c r="AG284" s="4">
        <v>0</v>
      </c>
    </row>
    <row r="285" spans="1:33" s="4" customFormat="1" x14ac:dyDescent="0.3">
      <c r="A285" s="256">
        <v>37158</v>
      </c>
      <c r="B285" s="4">
        <v>0</v>
      </c>
      <c r="C285" s="4">
        <v>0</v>
      </c>
      <c r="D285" s="4">
        <v>0</v>
      </c>
      <c r="H285" s="4">
        <v>0</v>
      </c>
      <c r="I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X285" s="284">
        <v>0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0</v>
      </c>
      <c r="AG285" s="4">
        <v>0</v>
      </c>
    </row>
    <row r="286" spans="1:33" s="4" customFormat="1" x14ac:dyDescent="0.3">
      <c r="A286" s="256">
        <v>37159</v>
      </c>
      <c r="B286" s="4">
        <v>0</v>
      </c>
      <c r="C286" s="4">
        <v>0</v>
      </c>
      <c r="D286" s="4">
        <v>0</v>
      </c>
      <c r="H286" s="4">
        <v>0</v>
      </c>
      <c r="I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X286" s="28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0</v>
      </c>
      <c r="AG286" s="4">
        <v>0</v>
      </c>
    </row>
    <row r="287" spans="1:33" s="4" customFormat="1" x14ac:dyDescent="0.3">
      <c r="A287" s="256">
        <v>37160</v>
      </c>
      <c r="B287" s="4">
        <v>0</v>
      </c>
      <c r="C287" s="4">
        <v>0</v>
      </c>
      <c r="D287" s="4">
        <v>0</v>
      </c>
      <c r="H287" s="4">
        <v>0</v>
      </c>
      <c r="I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X287" s="28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  <c r="AF287" s="4">
        <v>0</v>
      </c>
      <c r="AG287" s="4">
        <v>0</v>
      </c>
    </row>
    <row r="288" spans="1:33" s="4" customFormat="1" x14ac:dyDescent="0.3">
      <c r="A288" s="256">
        <v>37161</v>
      </c>
      <c r="B288" s="4">
        <v>0</v>
      </c>
      <c r="C288" s="4">
        <v>191562.91</v>
      </c>
      <c r="D288" s="4">
        <v>0</v>
      </c>
      <c r="H288" s="4">
        <v>0</v>
      </c>
      <c r="I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416852.30999999866</v>
      </c>
      <c r="U288" s="4">
        <v>0</v>
      </c>
      <c r="X288" s="284">
        <v>0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  <c r="AF288" s="4">
        <v>0</v>
      </c>
      <c r="AG288" s="4">
        <v>0</v>
      </c>
    </row>
    <row r="289" spans="1:24" s="4" customFormat="1" x14ac:dyDescent="0.3">
      <c r="A289" s="256"/>
      <c r="X289" s="284"/>
    </row>
    <row r="290" spans="1:24" s="4" customFormat="1" x14ac:dyDescent="0.3">
      <c r="A290" s="256"/>
      <c r="X290" s="284"/>
    </row>
    <row r="291" spans="1:24" s="4" customFormat="1" x14ac:dyDescent="0.3">
      <c r="A291" s="256"/>
      <c r="X291" s="284"/>
    </row>
    <row r="292" spans="1:24" s="4" customFormat="1" x14ac:dyDescent="0.3">
      <c r="A292" s="256"/>
      <c r="X292" s="284"/>
    </row>
    <row r="293" spans="1:24" s="4" customFormat="1" x14ac:dyDescent="0.3">
      <c r="A293" s="256"/>
      <c r="X293" s="284"/>
    </row>
    <row r="294" spans="1:24" s="4" customFormat="1" x14ac:dyDescent="0.3">
      <c r="A294" s="256"/>
      <c r="X294" s="284"/>
    </row>
    <row r="295" spans="1:24" s="4" customFormat="1" x14ac:dyDescent="0.3">
      <c r="A295" s="256"/>
      <c r="X295" s="284"/>
    </row>
    <row r="296" spans="1:24" s="4" customFormat="1" x14ac:dyDescent="0.3">
      <c r="A296" s="256"/>
      <c r="X296" s="284"/>
    </row>
    <row r="297" spans="1:24" s="4" customFormat="1" x14ac:dyDescent="0.3">
      <c r="A297" s="256"/>
      <c r="X297" s="284"/>
    </row>
    <row r="298" spans="1:24" s="4" customFormat="1" x14ac:dyDescent="0.3">
      <c r="A298" s="256"/>
      <c r="X298" s="284"/>
    </row>
    <row r="299" spans="1:24" s="4" customFormat="1" x14ac:dyDescent="0.3">
      <c r="A299" s="256"/>
      <c r="X299" s="284"/>
    </row>
    <row r="300" spans="1:24" s="4" customFormat="1" x14ac:dyDescent="0.3">
      <c r="A300" s="256"/>
      <c r="X300" s="284"/>
    </row>
    <row r="301" spans="1:24" s="4" customFormat="1" x14ac:dyDescent="0.3">
      <c r="A301" s="256"/>
      <c r="X301" s="284"/>
    </row>
    <row r="377" spans="1:33" x14ac:dyDescent="0.3">
      <c r="A377" s="256" t="s">
        <v>175</v>
      </c>
      <c r="B377" t="s">
        <v>175</v>
      </c>
      <c r="C377" t="s">
        <v>175</v>
      </c>
      <c r="D377" t="s">
        <v>175</v>
      </c>
      <c r="E377" t="s">
        <v>175</v>
      </c>
      <c r="F377" t="s">
        <v>175</v>
      </c>
      <c r="G377" t="s">
        <v>175</v>
      </c>
      <c r="H377" t="s">
        <v>175</v>
      </c>
      <c r="I377" t="s">
        <v>175</v>
      </c>
      <c r="J377" t="s">
        <v>175</v>
      </c>
      <c r="K377" t="s">
        <v>175</v>
      </c>
      <c r="L377" t="s">
        <v>175</v>
      </c>
      <c r="M377" t="s">
        <v>175</v>
      </c>
      <c r="N377" t="s">
        <v>175</v>
      </c>
      <c r="O377" t="s">
        <v>175</v>
      </c>
      <c r="P377" t="s">
        <v>175</v>
      </c>
      <c r="Q377" t="s">
        <v>175</v>
      </c>
      <c r="R377" t="s">
        <v>175</v>
      </c>
      <c r="S377" t="s">
        <v>175</v>
      </c>
      <c r="T377" t="s">
        <v>175</v>
      </c>
      <c r="U377" t="s">
        <v>175</v>
      </c>
      <c r="V377" t="s">
        <v>175</v>
      </c>
      <c r="W377" t="s">
        <v>175</v>
      </c>
      <c r="X377" t="s">
        <v>175</v>
      </c>
      <c r="Y377" t="s">
        <v>175</v>
      </c>
      <c r="Z377" t="s">
        <v>175</v>
      </c>
      <c r="AA377" t="s">
        <v>175</v>
      </c>
      <c r="AB377" t="s">
        <v>175</v>
      </c>
      <c r="AC377" t="s">
        <v>175</v>
      </c>
      <c r="AD377" t="s">
        <v>175</v>
      </c>
      <c r="AE377" t="s">
        <v>175</v>
      </c>
      <c r="AF377" t="s">
        <v>175</v>
      </c>
      <c r="AG377" t="s">
        <v>175</v>
      </c>
    </row>
    <row r="378" spans="1:33" x14ac:dyDescent="0.3">
      <c r="A378" s="256" t="s">
        <v>7</v>
      </c>
      <c r="B378" s="5">
        <f t="shared" ref="B378:AG378" si="0">SUM(B6:B377)</f>
        <v>0</v>
      </c>
      <c r="C378" s="5">
        <f t="shared" si="0"/>
        <v>364145.25999999943</v>
      </c>
      <c r="D378" s="5">
        <f t="shared" si="0"/>
        <v>-950000</v>
      </c>
      <c r="E378" s="5">
        <f t="shared" si="0"/>
        <v>-372147.13</v>
      </c>
      <c r="F378" s="5">
        <f t="shared" si="0"/>
        <v>-12565511</v>
      </c>
      <c r="G378" s="5">
        <f t="shared" si="0"/>
        <v>0</v>
      </c>
      <c r="H378" s="5">
        <f t="shared" si="0"/>
        <v>0</v>
      </c>
      <c r="I378" s="5">
        <f t="shared" si="0"/>
        <v>0</v>
      </c>
      <c r="J378" s="5">
        <f t="shared" si="0"/>
        <v>-125000</v>
      </c>
      <c r="K378" s="5">
        <f t="shared" si="0"/>
        <v>-2.8312206268310547E-7</v>
      </c>
      <c r="L378" s="5">
        <f t="shared" si="0"/>
        <v>0</v>
      </c>
      <c r="M378" s="5">
        <f t="shared" si="0"/>
        <v>-137317.57000000012</v>
      </c>
      <c r="N378" s="5">
        <f t="shared" si="0"/>
        <v>0</v>
      </c>
      <c r="O378" s="5">
        <f t="shared" si="0"/>
        <v>-1100000</v>
      </c>
      <c r="P378" s="5">
        <f t="shared" si="0"/>
        <v>0</v>
      </c>
      <c r="Q378" s="5">
        <f t="shared" si="0"/>
        <v>0</v>
      </c>
      <c r="R378" s="5">
        <f t="shared" si="0"/>
        <v>0</v>
      </c>
      <c r="S378" s="5">
        <f t="shared" si="0"/>
        <v>-5644007</v>
      </c>
      <c r="T378" s="5">
        <f t="shared" si="0"/>
        <v>7350663.8899999987</v>
      </c>
      <c r="U378" s="5">
        <f t="shared" si="0"/>
        <v>-2560525</v>
      </c>
      <c r="V378" s="5">
        <f t="shared" si="0"/>
        <v>-2415598.88</v>
      </c>
      <c r="W378" s="5">
        <f t="shared" si="0"/>
        <v>0</v>
      </c>
      <c r="X378" s="282">
        <f t="shared" si="0"/>
        <v>0</v>
      </c>
      <c r="Y378" s="5">
        <f t="shared" si="0"/>
        <v>0</v>
      </c>
      <c r="Z378" s="5">
        <f t="shared" si="0"/>
        <v>0</v>
      </c>
      <c r="AA378" s="5">
        <f t="shared" si="0"/>
        <v>679886.66</v>
      </c>
      <c r="AB378" s="5">
        <f t="shared" si="0"/>
        <v>-679887.15</v>
      </c>
      <c r="AC378" s="5">
        <f t="shared" si="0"/>
        <v>-14420978.76</v>
      </c>
      <c r="AD378" s="5">
        <f t="shared" si="0"/>
        <v>-1050000</v>
      </c>
      <c r="AE378" s="5">
        <f t="shared" si="0"/>
        <v>4170705.37</v>
      </c>
      <c r="AF378" s="5">
        <f t="shared" si="0"/>
        <v>0</v>
      </c>
      <c r="AG378" s="5">
        <f t="shared" si="0"/>
        <v>0</v>
      </c>
    </row>
    <row r="379" spans="1:33" x14ac:dyDescent="0.3">
      <c r="X379" s="283"/>
    </row>
    <row r="380" spans="1:33" s="4" customFormat="1" x14ac:dyDescent="0.3">
      <c r="A380" s="256">
        <f>+'Stock Prices'!A379</f>
        <v>37161</v>
      </c>
      <c r="B380" s="4">
        <f>+B382-B383-B384</f>
        <v>0</v>
      </c>
      <c r="C380" s="4">
        <f t="shared" ref="C380:AG380" si="1">+C382-C383-C384</f>
        <v>191562.90999999992</v>
      </c>
      <c r="D380" s="4">
        <f t="shared" si="1"/>
        <v>0</v>
      </c>
      <c r="H380" s="4">
        <f t="shared" si="1"/>
        <v>0</v>
      </c>
      <c r="I380" s="4">
        <f t="shared" si="1"/>
        <v>0</v>
      </c>
      <c r="K380" s="4">
        <f t="shared" si="1"/>
        <v>0</v>
      </c>
      <c r="L380" s="4">
        <f t="shared" si="1"/>
        <v>0</v>
      </c>
      <c r="M380" s="4">
        <f t="shared" si="1"/>
        <v>0</v>
      </c>
      <c r="N380" s="4">
        <f t="shared" si="1"/>
        <v>0</v>
      </c>
      <c r="O380" s="4">
        <f t="shared" si="1"/>
        <v>0</v>
      </c>
      <c r="P380" s="4">
        <f t="shared" si="1"/>
        <v>0</v>
      </c>
      <c r="Q380" s="4">
        <f t="shared" si="1"/>
        <v>0</v>
      </c>
      <c r="R380" s="4">
        <f t="shared" si="1"/>
        <v>0</v>
      </c>
      <c r="S380" s="4">
        <f t="shared" si="1"/>
        <v>0</v>
      </c>
      <c r="T380" s="4">
        <f t="shared" si="1"/>
        <v>416852.30999999866</v>
      </c>
      <c r="U380" s="4">
        <f t="shared" si="1"/>
        <v>0</v>
      </c>
      <c r="X380" s="284">
        <f t="shared" si="1"/>
        <v>0</v>
      </c>
      <c r="Y380" s="4">
        <f t="shared" si="1"/>
        <v>0</v>
      </c>
      <c r="Z380" s="4">
        <f t="shared" si="1"/>
        <v>0</v>
      </c>
      <c r="AA380" s="4">
        <f t="shared" si="1"/>
        <v>0</v>
      </c>
      <c r="AB380" s="4">
        <f t="shared" si="1"/>
        <v>0</v>
      </c>
      <c r="AC380" s="4">
        <f t="shared" si="1"/>
        <v>0</v>
      </c>
      <c r="AD380" s="4">
        <f t="shared" si="1"/>
        <v>0</v>
      </c>
      <c r="AE380" s="4">
        <f t="shared" si="1"/>
        <v>0</v>
      </c>
      <c r="AF380" s="4">
        <f t="shared" si="1"/>
        <v>0</v>
      </c>
      <c r="AG380" s="4">
        <f t="shared" si="1"/>
        <v>0</v>
      </c>
    </row>
    <row r="381" spans="1:33" x14ac:dyDescent="0.3">
      <c r="A381" s="256" t="s">
        <v>428</v>
      </c>
      <c r="C381" s="265">
        <f>SUM(B380:AG380)</f>
        <v>608415.21999999858</v>
      </c>
      <c r="X381" s="283"/>
    </row>
    <row r="382" spans="1:33" x14ac:dyDescent="0.3">
      <c r="A382" s="256">
        <f>+'MPR Raptor'!$U$3</f>
        <v>37161</v>
      </c>
      <c r="B382" s="4">
        <f>INDEX([0]!MPRR, MATCH("Amerada Hess Exposure Raptor I",'MPR Raptor'!$E$3:$E$140,), MATCH("Per Share",'MPR Raptor'!$E$3:$CM$3,))</f>
        <v>1250000</v>
      </c>
      <c r="C382" s="4">
        <f>INDEX([0]!MPRR, MATCH("Ameritex Raptor I",'MPR Raptor'!$E$3:$E$140,), MATCH("Per Share",'MPR Raptor'!$E$3:$CM$3,))</f>
        <v>1573175.52</v>
      </c>
      <c r="D382" s="4">
        <f>INDEX([0]!MPRR, MATCH("Basic Energy CFPC Raptor I",'MPR Raptor'!$E$3:$E$140,), MATCH("Per Share",'MPR Raptor'!$E$3:$CM$3,))</f>
        <v>0</v>
      </c>
      <c r="E382" s="4"/>
      <c r="F382" s="4"/>
      <c r="G382" s="4"/>
      <c r="H382" s="4">
        <f>INDEX([0]!MPRR, MATCH("City Forest IPC Raptor I",'MPR Raptor'!$E$3:$E$140,), MATCH("Per Share",'MPR Raptor'!$E$3:$CM$3,))</f>
        <v>0</v>
      </c>
      <c r="I382" s="4">
        <f>INDEX([0]!MPRR, MATCH("Ecogas Loan Raptor I",'MPR Raptor'!$E$3:$E$140,), MATCH("Per Share",'MPR Raptor'!$E$3:$CM$3,))+0</f>
        <v>0</v>
      </c>
      <c r="J382" s="4"/>
      <c r="K382" s="4">
        <f>INDEX([0]!MPRR, MATCH("Heartland Steel Common Raptor I",'MPR Raptor'!$E$3:$E$140,), MATCH("Per Share",'MPR Raptor'!$E$3:$CM$3,))*'Daily Position'!$H$43</f>
        <v>0</v>
      </c>
      <c r="L382" s="4">
        <f>INDEX([0]!MPRR, MATCH("Heartland Steel Common Condor Raptor I",'MPR Raptor'!$E$3:$E$140,), MATCH("Per Share",'MPR Raptor'!$E$3:$CM$3,))</f>
        <v>0</v>
      </c>
      <c r="M382" s="4">
        <f>INDEX([0]!MPRR, MATCH("Heartland Contingent Construction Loan Raptor I",'MPR Raptor'!$E$3:$E$140,), MATCH("Per Share",'MPR Raptor'!$E$3:$CM$3,))</f>
        <v>0</v>
      </c>
      <c r="N382" s="4">
        <f>INDEX([0]!MPRR, MATCH("Heartland Steel Warrants Raptor I",'MPR Raptor'!$E$3:$E$140,), MATCH("Per Share",'MPR Raptor'!$E$3:$CM$3,))</f>
        <v>0</v>
      </c>
      <c r="O382" s="4">
        <f>INDEX([0]!MPRR, MATCH("Hughes Rawls Loan Raptor I",'MPR Raptor'!$E$3:$E$140,), MATCH("Per Share",'MPR Raptor'!$E$3:$CM$3,))</f>
        <v>0</v>
      </c>
      <c r="P382" s="4">
        <f>INDEX([0]!MPRR, MATCH("Hughes Rawls Note Raptor I",'MPR Raptor'!$E$3:$E$140,), MATCH("Per Share",'MPR Raptor'!$E$3:$CM$3,))</f>
        <v>0</v>
      </c>
      <c r="Q382" s="4">
        <f>INDEX([0]!MPRR, MATCH("Hornbeck-Leevac Warrants Raptor I",'MPR Raptor'!$E$3:$E$140,), MATCH("Per Share",'MPR Raptor'!$E$3:$CM$3,))*Q386</f>
        <v>10125000</v>
      </c>
      <c r="R382" s="4">
        <f>INDEX([0]!MPRR, MATCH("Industrial Holdings Raptor I",'MPR Raptor'!$E$3:$E$140,), MATCH("Per Share",'MPR Raptor'!$E$3:$CM$3,))</f>
        <v>7121810</v>
      </c>
      <c r="S382" s="4">
        <f>INDEX([0]!MPRR, MATCH("Invasion Energy Raptor I",'MPR Raptor'!$E$3:$E$140,), MATCH("Per Share",'MPR Raptor'!$E$3:$CM$3,))</f>
        <v>0</v>
      </c>
      <c r="T382" s="4">
        <f>INDEX([0]!MPRR, MATCH("Juniper Raptor I",'MPR Raptor'!$E$3:$E$140,), MATCH("Per Share",'MPR Raptor'!$E$3:$CM$3,))</f>
        <v>28238258.75</v>
      </c>
      <c r="U382" s="4">
        <f>INDEX([0]!MPRR, MATCH("Juniper Exposure Raptor I",'MPR Raptor'!$E$3:$E$140,), MATCH("Per Share",'MPR Raptor'!$E$3:$CM$3,))</f>
        <v>0</v>
      </c>
      <c r="V382" s="4"/>
      <c r="W382" s="4"/>
      <c r="X382" s="284">
        <f>INDEX([0]!MPRR, MATCH("LSI Warrants (AIM) Raptor I",'MPR Raptor'!$E$3:$E$140,), MATCH("Per Share",'MPR Raptor'!$E$3:$CM$3,))</f>
        <v>0</v>
      </c>
      <c r="Y382" s="4">
        <f>INDEX([0]!MPRR, MATCH("Oconto Falls Common Raptor I",'MPR Raptor'!$E$3:$E$140,), MATCH("Per Share",'MPR Raptor'!$E$3:$CM$3,))</f>
        <v>1803840</v>
      </c>
      <c r="Z382" s="4">
        <f>INDEX([0]!MPRR, MATCH("Oconto Falls IPC Raptor I",'MPR Raptor'!$E$3:$E$140,), MATCH("Per Share",'MPR Raptor'!$E$3:$CM$3,))</f>
        <v>2300803</v>
      </c>
      <c r="AA382" s="4">
        <f>INDEX([0]!MPRR, MATCH("Texland Raptor I",'MPR Raptor'!$E$3:$E$140,), MATCH("Per Share",'MPR Raptor'!$E$3:$CM$3,))</f>
        <v>9651875</v>
      </c>
      <c r="AB382" s="4">
        <f>INDEX([0]!MPRR, MATCH("Texland Exposure Raptor I",'MPR Raptor'!$E$3:$E$140,), MATCH("Per Share",'MPR Raptor'!$E$3:$CM$3,))</f>
        <v>1663862.85</v>
      </c>
      <c r="AC382" s="4">
        <f>INDEX([0]!MPRR, MATCH("Vastar Raptor I",'MPR Raptor'!$E$3:$E$140,), MATCH("Per Share",'MPR Raptor'!$E$3:$CM$3,))</f>
        <v>1895268.24</v>
      </c>
      <c r="AD382" s="4">
        <f>INDEX([0]!MPRR, MATCH("Vastar Exposure Raptor I",'MPR Raptor'!$E$3:$E$140,), MATCH("Per Share",'MPR Raptor'!$E$3:$CM$3,))</f>
        <v>0</v>
      </c>
      <c r="AE382" s="4">
        <f>INDEX([0]!MPRR, MATCH("Venoco Convertible Raptor I",'MPR Raptor'!$E$3:$E$140,), MATCH("Per Share",'MPR Raptor'!$E$3:$CM$3,))*AE386</f>
        <v>49006745.469999999</v>
      </c>
      <c r="AF382" s="4">
        <f>INDEX([0]!MPRR, MATCH("WB Oil &amp; Gas Raptor I",'MPR Raptor'!$E$3:$E$140,), MATCH("Per Share",'MPR Raptor'!$E$3:$CM$3,))*'Daily Position'!$H$64</f>
        <v>0</v>
      </c>
      <c r="AG382" s="4">
        <f>INDEX([0]!MPRR, MATCH("Merlin Credit Derivative Raptor I",'MPR Raptor'!$E$3:$E$140,), MATCH("Per Share",'MPR Raptor'!$E$3:$CM$3,))</f>
        <v>0</v>
      </c>
    </row>
    <row r="383" spans="1:33" x14ac:dyDescent="0.3">
      <c r="A383" s="256">
        <f>+A382-1</f>
        <v>37160</v>
      </c>
      <c r="B383" s="4">
        <f>INDEX([0]!MPRR, MATCH("Amerada Hess Exposure Raptor I",'MPR Raptor'!$E$3:$E$140,), MATCH("Value",'MPR Raptor'!$E$3:$CM$3,))</f>
        <v>1250000</v>
      </c>
      <c r="C383" s="4">
        <f>INDEX([0]!MPRR, MATCH("Ameritex Raptor I",'MPR Raptor'!$E$3:$E$140,), MATCH("Value",'MPR Raptor'!$E$3:$CM$3,))</f>
        <v>1381612.61</v>
      </c>
      <c r="D383" s="4">
        <f>INDEX([0]!MPRR, MATCH("Basic Energy CFPC Raptor I",'MPR Raptor'!$E$3:$E$140,), MATCH("Value",'MPR Raptor'!$E$3:$CM$3,))</f>
        <v>0</v>
      </c>
      <c r="E383" s="4"/>
      <c r="F383" s="4"/>
      <c r="G383" s="4"/>
      <c r="H383" s="4">
        <f>INDEX([0]!MPRR, MATCH("City Forest IPC Raptor I",'MPR Raptor'!$E$3:$E$140,), MATCH("Value",'MPR Raptor'!$E$3:$CM$3,))</f>
        <v>0</v>
      </c>
      <c r="I383" s="4">
        <f>INDEX([0]!MPRR, MATCH("Ecogas Loan Raptor I",'MPR Raptor'!$E$3:$E$140,), MATCH("Value",'MPR Raptor'!$E$3:$CM$3,))</f>
        <v>0</v>
      </c>
      <c r="J383" s="4"/>
      <c r="K383" s="4">
        <f>INDEX([0]!MPRR, MATCH("Heartland Steel Common Raptor I",'MPR Raptor'!$E$3:$E$140,), MATCH("Value",'MPR Raptor'!$E$3:$CM$3,))</f>
        <v>0</v>
      </c>
      <c r="L383" s="4">
        <f>INDEX([0]!MPRR, MATCH("Heartland Steel Common Condor Raptor I",'MPR Raptor'!$E$3:$E$140,), MATCH("Value",'MPR Raptor'!$E$3:$CM$3,))</f>
        <v>0</v>
      </c>
      <c r="M383" s="4">
        <f>INDEX([0]!MPRR, MATCH("Heartland Contingent Construction Loan Raptor I",'MPR Raptor'!$E$3:$E$140,), MATCH("Value",'MPR Raptor'!$E$3:$CM$3,))</f>
        <v>0</v>
      </c>
      <c r="N383" s="4">
        <f>INDEX([0]!MPRR, MATCH("Heartland Steel Warrants Raptor I",'MPR Raptor'!$E$3:$E$140,), MATCH("Value",'MPR Raptor'!$E$3:$CM$3,))</f>
        <v>0</v>
      </c>
      <c r="O383" s="4">
        <f>INDEX([0]!MPRR, MATCH("Hughes Rawls Loan Raptor I",'MPR Raptor'!$E$3:$E$140,), MATCH("Value",'MPR Raptor'!$E$3:$CM$3,))</f>
        <v>0</v>
      </c>
      <c r="P383" s="4">
        <f>INDEX([0]!MPRR, MATCH("Hughes Rawls Note Raptor I",'MPR Raptor'!$E$3:$E$140,), MATCH("Value",'MPR Raptor'!$E$3:$CM$3,))</f>
        <v>0</v>
      </c>
      <c r="Q383" s="4">
        <f>INDEX([0]!MPRR, MATCH("Hornbeck-Leevac Warrants Raptor I",'MPR Raptor'!$E$3:$E$140,), MATCH("Value",'MPR Raptor'!$E$3:$CM$3,))</f>
        <v>10125000</v>
      </c>
      <c r="R383" s="4">
        <f>INDEX([0]!MPRR, MATCH("Industrial Holdings Raptor I",'MPR Raptor'!$E$3:$E$140,), MATCH("Value",'MPR Raptor'!$E$3:$CM$3,))</f>
        <v>7121810</v>
      </c>
      <c r="S383" s="4">
        <f>INDEX([0]!MPRR, MATCH("Invasion Energy Raptor I",'MPR Raptor'!$E$3:$E$140,), MATCH("Value",'MPR Raptor'!$E$3:$CM$3,))</f>
        <v>0</v>
      </c>
      <c r="T383" s="4">
        <f>INDEX([0]!MPRR, MATCH("Juniper Raptor I",'MPR Raptor'!$E$3:$E$140,), MATCH("Value",'MPR Raptor'!$E$3:$CM$3,))</f>
        <v>27821406.440000001</v>
      </c>
      <c r="U383" s="4">
        <f>INDEX([0]!MPRR, MATCH("Juniper Exposure Raptor I",'MPR Raptor'!$E$3:$E$140,), MATCH("Value",'MPR Raptor'!$E$3:$CM$3,))</f>
        <v>0</v>
      </c>
      <c r="V383" s="4"/>
      <c r="W383" s="4"/>
      <c r="X383" s="284">
        <f>INDEX([0]!MPRR, MATCH("LSI Warrants (AIM) Raptor I",'MPR Raptor'!$E$3:$E$140,), MATCH("Value",'MPR Raptor'!$E$3:$CM$3,))</f>
        <v>0</v>
      </c>
      <c r="Y383" s="4">
        <f>INDEX([0]!MPRR, MATCH("Oconto Falls Common Raptor I",'MPR Raptor'!$E$3:$E$140,), MATCH("Value",'MPR Raptor'!$E$3:$CM$3,))</f>
        <v>1803840</v>
      </c>
      <c r="Z383" s="4">
        <f>INDEX([0]!MPRR, MATCH("Oconto Falls IPC Raptor I",'MPR Raptor'!$E$3:$E$140,), MATCH("Value",'MPR Raptor'!$E$3:$CM$3,))</f>
        <v>2300803</v>
      </c>
      <c r="AA383" s="4">
        <f>INDEX([0]!MPRR, MATCH("Texland Raptor I",'MPR Raptor'!$E$3:$E$140,), MATCH("Value",'MPR Raptor'!$E$3:$CM$3,))</f>
        <v>9651875</v>
      </c>
      <c r="AB383" s="4">
        <f>INDEX([0]!MPRR, MATCH("Texland Exposure Raptor I",'MPR Raptor'!$E$3:$E$140,), MATCH("Value",'MPR Raptor'!$E$3:$CM$3,))</f>
        <v>1663862.85</v>
      </c>
      <c r="AC383" s="4">
        <f>INDEX([0]!MPRR, MATCH("Vastar Raptor I",'MPR Raptor'!$E$3:$E$140,), MATCH("Value",'MPR Raptor'!$E$3:$CM$3,))</f>
        <v>1895268.24</v>
      </c>
      <c r="AD383" s="4">
        <f>INDEX([0]!MPRR, MATCH("Vastar Exposure Raptor I",'MPR Raptor'!$E$3:$E$140,), MATCH("Value",'MPR Raptor'!$E$3:$CM$3,))</f>
        <v>0</v>
      </c>
      <c r="AE383" s="4">
        <f>INDEX([0]!MPRR, MATCH("Venoco Convertible Raptor I",'MPR Raptor'!$E$3:$E$140,), MATCH("Value",'MPR Raptor'!$E$3:$CM$3,))</f>
        <v>49006745.469999999</v>
      </c>
      <c r="AF383" s="4">
        <f>INDEX([0]!MPRR, MATCH("WB Oil &amp; Gas Raptor I",'MPR Raptor'!$E$3:$E$140,), MATCH("Value",'MPR Raptor'!$E$3:$CM$3,))</f>
        <v>0</v>
      </c>
      <c r="AG383" s="4">
        <f>INDEX([0]!MPRR, MATCH("Merlin Credit Derivative Raptor I",'MPR Raptor'!$E$3:$E$140,), MATCH("Value",'MPR Raptor'!$E$3:$CM$3,))</f>
        <v>0</v>
      </c>
    </row>
    <row r="384" spans="1:33" x14ac:dyDescent="0.3">
      <c r="A384" s="256">
        <f>+A382</f>
        <v>37161</v>
      </c>
      <c r="B384" s="4">
        <f>INDEX([0]!MPRR, MATCH("Amerada Hess Exposure Raptor I",'MPR Raptor'!$E$3:$E$140,), MATCH("Asset P&amp;L",'MPR Raptor'!$E$3:$CM$3,))</f>
        <v>0</v>
      </c>
      <c r="C384" s="4">
        <f>INDEX([0]!MPRR, MATCH("Ameritex Raptor I",'MPR Raptor'!$E$3:$E$140,), MATCH("Asset P&amp;L",'MPR Raptor'!$E$3:$CM$3,))</f>
        <v>0</v>
      </c>
      <c r="D384" s="4">
        <f>INDEX([0]!MPRR, MATCH("Basic Energy CFPC Raptor I",'MPR Raptor'!$E$3:$E$140,), MATCH("Asset P&amp;L",'MPR Raptor'!$E$3:$CM$3,))</f>
        <v>0</v>
      </c>
      <c r="E384" s="4"/>
      <c r="F384" s="4"/>
      <c r="G384" s="4"/>
      <c r="H384" s="4">
        <f>INDEX([0]!MPRR, MATCH("City Forest IPC Raptor I",'MPR Raptor'!$E$3:$E$140,), MATCH("Asset P&amp;L",'MPR Raptor'!$E$3:$CM$3,))</f>
        <v>0</v>
      </c>
      <c r="I384" s="4">
        <f>INDEX([0]!MPRR, MATCH("Ecogas Loan Raptor I",'MPR Raptor'!$E$3:$E$140,), MATCH("Asset P&amp;L",'MPR Raptor'!$E$3:$CM$3,))</f>
        <v>0</v>
      </c>
      <c r="J384" s="4"/>
      <c r="K384" s="4">
        <f>INDEX([0]!MPRR, MATCH("Heartland Steel Common Raptor I",'MPR Raptor'!$E$3:$E$140,), MATCH("Asset P&amp;L",'MPR Raptor'!$E$3:$CM$3,))</f>
        <v>0</v>
      </c>
      <c r="L384" s="4">
        <f>INDEX([0]!MPRR, MATCH("Heartland Steel Common Condor Raptor I",'MPR Raptor'!$E$3:$E$140,), MATCH("Asset P&amp;L",'MPR Raptor'!$E$3:$CM$3,))</f>
        <v>0</v>
      </c>
      <c r="M384" s="4">
        <f>INDEX([0]!MPRR, MATCH("Heartland Contingent Construction Loan Raptor I",'MPR Raptor'!$E$3:$E$140,), MATCH("Asset P&amp;L",'MPR Raptor'!$E$3:$CM$3,))</f>
        <v>0</v>
      </c>
      <c r="N384" s="4">
        <f>INDEX([0]!MPRR, MATCH("Heartland Steel Warrants Raptor I",'MPR Raptor'!$E$3:$E$140,), MATCH("Asset P&amp;L",'MPR Raptor'!$E$3:$CM$3,))</f>
        <v>0</v>
      </c>
      <c r="O384" s="4">
        <f>INDEX([0]!MPRR, MATCH("Hughes Rawls Loan Raptor I",'MPR Raptor'!$E$3:$E$140,), MATCH("Asset P&amp;L",'MPR Raptor'!$E$3:$CM$3,))</f>
        <v>0</v>
      </c>
      <c r="P384" s="4">
        <f>INDEX([0]!MPRR, MATCH("Hughes Rawls Note Raptor I",'MPR Raptor'!$E$3:$E$140,), MATCH("Asset P&amp;L",'MPR Raptor'!$E$3:$CM$3,))</f>
        <v>0</v>
      </c>
      <c r="Q384" s="4">
        <f>INDEX([0]!MPRR, MATCH("Hornbeck-Leevac Warrants Raptor I",'MPR Raptor'!$E$3:$E$140,), MATCH("Asset P&amp;L",'MPR Raptor'!$E$3:$CM$3,))</f>
        <v>0</v>
      </c>
      <c r="R384" s="4">
        <f>INDEX([0]!MPRR, MATCH("Industrial Holdings Raptor I",'MPR Raptor'!$E$3:$E$140,), MATCH("Asset P&amp;L",'MPR Raptor'!$E$3:$CM$3,))</f>
        <v>0</v>
      </c>
      <c r="S384" s="4">
        <f>INDEX([0]!MPRR, MATCH("Invasion Energy Raptor I",'MPR Raptor'!$E$3:$E$140,), MATCH("Asset P&amp;L",'MPR Raptor'!$E$3:$CM$3,))</f>
        <v>0</v>
      </c>
      <c r="T384" s="4">
        <f>INDEX([0]!MPRR, MATCH("Juniper Raptor I",'MPR Raptor'!$E$3:$E$140,), MATCH("Asset P&amp;L",'MPR Raptor'!$E$3:$CM$3,))</f>
        <v>0</v>
      </c>
      <c r="U384" s="4">
        <f>INDEX([0]!MPRR, MATCH("Juniper Exposure Raptor I",'MPR Raptor'!$E$3:$E$140,), MATCH("Asset P&amp;L",'MPR Raptor'!$E$3:$CM$3,))</f>
        <v>0</v>
      </c>
      <c r="V384" s="4"/>
      <c r="W384" s="4"/>
      <c r="X384" s="284">
        <f>INDEX([0]!MPRR, MATCH("LSI Warrants (AIM) Raptor I",'MPR Raptor'!$E$3:$E$140,), MATCH("Asset P&amp;L",'MPR Raptor'!$E$3:$CM$3,))</f>
        <v>0</v>
      </c>
      <c r="Y384" s="4">
        <f>INDEX([0]!MPRR, MATCH("Oconto Falls Common Raptor I",'MPR Raptor'!$E$3:$E$140,), MATCH("Asset P&amp;L",'MPR Raptor'!$E$3:$CM$3,))</f>
        <v>0</v>
      </c>
      <c r="Z384" s="4">
        <f>INDEX([0]!MPRR, MATCH("Oconto Falls IPC Raptor I",'MPR Raptor'!$E$3:$E$140,), MATCH("Asset P&amp;L",'MPR Raptor'!$E$3:$CM$3,))</f>
        <v>0</v>
      </c>
      <c r="AA384" s="4">
        <f>INDEX([0]!MPRR, MATCH("Texland Raptor I",'MPR Raptor'!$E$3:$E$140,), MATCH("Asset P&amp;L",'MPR Raptor'!$E$3:$CM$3,))</f>
        <v>0</v>
      </c>
      <c r="AB384" s="4">
        <f>INDEX([0]!MPRR, MATCH("Texland Exposure Raptor I",'MPR Raptor'!$E$3:$E$140,), MATCH("Asset P&amp;L",'MPR Raptor'!$E$3:$CM$3,))</f>
        <v>0</v>
      </c>
      <c r="AC384" s="4">
        <f>INDEX([0]!MPRR, MATCH("Vastar Raptor I",'MPR Raptor'!$E$3:$E$140,), MATCH("Asset P&amp;L",'MPR Raptor'!$E$3:$CM$3,))</f>
        <v>0</v>
      </c>
      <c r="AD384" s="4">
        <f>INDEX([0]!MPRR, MATCH("Vastar Exposure Raptor I",'MPR Raptor'!$E$3:$E$140,), MATCH("Asset P&amp;L",'MPR Raptor'!$E$3:$CM$3,))</f>
        <v>0</v>
      </c>
      <c r="AE384" s="4">
        <f>INDEX([0]!MPRR, MATCH("Venoco Convertible Raptor I",'MPR Raptor'!$E$3:$E$140,), MATCH("Asset P&amp;L",'MPR Raptor'!$E$3:$CM$3,))</f>
        <v>0</v>
      </c>
      <c r="AF384" s="4">
        <f>INDEX([0]!MPRR, MATCH("WB Oil &amp; Gas Raptor I",'MPR Raptor'!$E$3:$E$140,), MATCH("Asset P&amp;L",'MPR Raptor'!$E$3:$CM$3,))</f>
        <v>0</v>
      </c>
      <c r="AG384" s="4">
        <f>INDEX([0]!MPRR, MATCH("Merlin Credit Derivative Raptor I",'MPR Raptor'!$E$3:$E$140,), MATCH("Asset P&amp;L",'MPR Raptor'!$E$3:$CM$3,))</f>
        <v>0</v>
      </c>
    </row>
    <row r="385" spans="2:31" x14ac:dyDescent="0.3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31" x14ac:dyDescent="0.3">
      <c r="B386"/>
      <c r="D386"/>
      <c r="F386"/>
      <c r="H386"/>
      <c r="J386"/>
      <c r="L386"/>
      <c r="N386"/>
      <c r="P386"/>
      <c r="Q386" s="3">
        <f>INDEX([0]!MPRR, MATCH("Hornbeck-Leevac Warrants Raptor I",'MPR Raptor'!$E$3:$E$140,), MATCH("Shares/Units",'MPR Raptor'!$E$3:$CM$3,))</f>
        <v>11904760</v>
      </c>
      <c r="R386"/>
      <c r="T386"/>
      <c r="V386"/>
      <c r="X386"/>
      <c r="Z386"/>
      <c r="AE386" s="3">
        <f>INDEX([0]!MPRR, MATCH("Venoco Convertible Raptor I",'MPR Raptor'!$E$3:$E$140,), MATCH("Shares/Units",'MPR Raptor'!$E$3:$CM$3,))</f>
        <v>7663</v>
      </c>
    </row>
    <row r="387" spans="2:31" x14ac:dyDescent="0.3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31" x14ac:dyDescent="0.3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31" x14ac:dyDescent="0.3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31" x14ac:dyDescent="0.3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31" x14ac:dyDescent="0.3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31" x14ac:dyDescent="0.3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31" x14ac:dyDescent="0.3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31" x14ac:dyDescent="0.3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31" x14ac:dyDescent="0.3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31" x14ac:dyDescent="0.3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31" x14ac:dyDescent="0.3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31" x14ac:dyDescent="0.3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31" x14ac:dyDescent="0.3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31" x14ac:dyDescent="0.3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3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3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3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3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3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3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3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3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3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3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3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3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3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3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3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  <row r="416" spans="2:26" x14ac:dyDescent="0.3">
      <c r="B416"/>
      <c r="D416"/>
      <c r="F416"/>
      <c r="H416"/>
      <c r="J416"/>
      <c r="L416"/>
      <c r="N416"/>
      <c r="P416"/>
      <c r="Q416"/>
      <c r="R416"/>
      <c r="T416"/>
      <c r="V416"/>
      <c r="X416"/>
      <c r="Z416"/>
    </row>
    <row r="417" spans="2:26" x14ac:dyDescent="0.3">
      <c r="B417"/>
      <c r="D417"/>
      <c r="F417"/>
      <c r="H417"/>
      <c r="J417"/>
      <c r="L417"/>
      <c r="N417"/>
      <c r="P417"/>
      <c r="Q417"/>
      <c r="R417"/>
      <c r="T417"/>
      <c r="V417"/>
      <c r="X417"/>
      <c r="Z417"/>
    </row>
    <row r="418" spans="2:26" x14ac:dyDescent="0.3">
      <c r="B418"/>
      <c r="D418"/>
      <c r="F418"/>
      <c r="H418"/>
      <c r="J418"/>
      <c r="L418"/>
      <c r="N418"/>
      <c r="P418"/>
      <c r="Q418"/>
      <c r="R418"/>
      <c r="T418"/>
      <c r="V418"/>
      <c r="X418"/>
      <c r="Z418"/>
    </row>
    <row r="419" spans="2:26" x14ac:dyDescent="0.3">
      <c r="B419"/>
      <c r="D419"/>
      <c r="F419"/>
      <c r="H419"/>
      <c r="J419"/>
      <c r="L419"/>
      <c r="N419"/>
      <c r="P419"/>
      <c r="Q419"/>
      <c r="R419"/>
      <c r="T419"/>
      <c r="V419"/>
      <c r="X419"/>
      <c r="Z419"/>
    </row>
    <row r="420" spans="2:26" x14ac:dyDescent="0.3">
      <c r="B420"/>
      <c r="D420"/>
      <c r="F420"/>
      <c r="H420"/>
      <c r="J420"/>
      <c r="L420"/>
      <c r="N420"/>
      <c r="P420"/>
      <c r="Q420"/>
      <c r="R420"/>
      <c r="T420"/>
      <c r="V420"/>
      <c r="X420"/>
      <c r="Z420"/>
    </row>
    <row r="421" spans="2:26" x14ac:dyDescent="0.3">
      <c r="B421"/>
      <c r="D421"/>
      <c r="F421"/>
      <c r="H421"/>
      <c r="J421"/>
      <c r="L421"/>
      <c r="N421"/>
      <c r="P421"/>
      <c r="Q421"/>
      <c r="R421"/>
      <c r="T421"/>
      <c r="V421"/>
      <c r="X421"/>
      <c r="Z421"/>
    </row>
    <row r="422" spans="2:26" x14ac:dyDescent="0.3">
      <c r="B422"/>
      <c r="D422"/>
      <c r="F422"/>
      <c r="H422"/>
      <c r="J422"/>
      <c r="L422"/>
      <c r="N422"/>
      <c r="P422"/>
      <c r="Q422"/>
      <c r="R422"/>
      <c r="T422"/>
      <c r="V422"/>
      <c r="X422"/>
      <c r="Z422"/>
    </row>
    <row r="423" spans="2:26" x14ac:dyDescent="0.3">
      <c r="B423"/>
      <c r="D423"/>
      <c r="F423"/>
      <c r="H423"/>
      <c r="J423"/>
      <c r="L423"/>
      <c r="N423"/>
      <c r="P423"/>
      <c r="Q423"/>
      <c r="R423"/>
      <c r="T423"/>
      <c r="V423"/>
      <c r="X423"/>
      <c r="Z423"/>
    </row>
  </sheetData>
  <phoneticPr fontId="0" type="noConversion"/>
  <pageMargins left="0.75" right="0.75" top="1" bottom="1" header="0.5" footer="0.5"/>
  <pageSetup paperSize="5" scale="37" fitToHeight="2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C10" zoomScaleNormal="100" workbookViewId="0">
      <selection activeCell="H17" sqref="H17"/>
    </sheetView>
  </sheetViews>
  <sheetFormatPr defaultColWidth="9" defaultRowHeight="15.6" x14ac:dyDescent="0.3"/>
  <cols>
    <col min="1" max="1" width="23.5" style="7" customWidth="1"/>
    <col min="2" max="2" width="12.09765625" style="7" bestFit="1" customWidth="1"/>
    <col min="3" max="3" width="3" style="7" customWidth="1"/>
    <col min="4" max="4" width="15.59765625" style="7" customWidth="1"/>
    <col min="5" max="5" width="12.19921875" style="7" bestFit="1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4.6992187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3.09765625" style="7" customWidth="1"/>
    <col min="14" max="14" width="3.5" style="7" customWidth="1"/>
    <col min="15" max="15" width="15.5" style="7" bestFit="1" customWidth="1"/>
    <col min="16" max="16" width="13.09765625" style="7" bestFit="1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85</v>
      </c>
    </row>
    <row r="2" spans="1:18" x14ac:dyDescent="0.3">
      <c r="A2" s="290" t="s">
        <v>86</v>
      </c>
      <c r="H2" s="330">
        <f>+Summary!C5</f>
        <v>37161</v>
      </c>
      <c r="I2" s="330"/>
      <c r="J2" s="95"/>
      <c r="L2" s="330">
        <f>H2</f>
        <v>37161</v>
      </c>
      <c r="M2" s="330"/>
      <c r="N2" s="330"/>
      <c r="O2" s="330"/>
      <c r="P2" s="330"/>
    </row>
    <row r="3" spans="1:18" ht="16.2" thickBot="1" x14ac:dyDescent="0.35">
      <c r="A3" s="330">
        <v>36634</v>
      </c>
      <c r="B3" s="330"/>
      <c r="H3" s="338" t="s">
        <v>99</v>
      </c>
      <c r="I3" s="338"/>
      <c r="J3" s="96"/>
      <c r="L3" s="338" t="s">
        <v>99</v>
      </c>
      <c r="M3" s="338"/>
      <c r="N3" s="338"/>
      <c r="O3" s="338"/>
      <c r="P3" s="338"/>
    </row>
    <row r="4" spans="1:18" x14ac:dyDescent="0.3">
      <c r="A4" s="331" t="s">
        <v>32</v>
      </c>
      <c r="B4" s="331"/>
      <c r="C4" s="331"/>
      <c r="D4" s="331"/>
      <c r="E4" s="331"/>
      <c r="F4" s="331"/>
      <c r="H4" s="116" t="s">
        <v>100</v>
      </c>
      <c r="I4" s="117"/>
      <c r="J4" s="13"/>
    </row>
    <row r="5" spans="1:18" ht="16.2" thickBot="1" x14ac:dyDescent="0.35">
      <c r="A5" s="332" t="s">
        <v>33</v>
      </c>
      <c r="B5" s="332"/>
      <c r="D5" s="332" t="s">
        <v>34</v>
      </c>
      <c r="E5" s="332"/>
      <c r="H5" s="118" t="s">
        <v>101</v>
      </c>
      <c r="I5" s="67">
        <f>+'Stock Prices'!B379</f>
        <v>25.25</v>
      </c>
      <c r="J5" s="13"/>
      <c r="L5" s="331" t="s">
        <v>121</v>
      </c>
      <c r="M5" s="331"/>
      <c r="N5" s="331"/>
      <c r="O5" s="331"/>
      <c r="P5" s="331"/>
      <c r="Q5" s="96"/>
    </row>
    <row r="6" spans="1:18" x14ac:dyDescent="0.3">
      <c r="A6" s="7" t="s">
        <v>35</v>
      </c>
      <c r="B6" s="7">
        <f>E6+E9+E10</f>
        <v>71001000</v>
      </c>
      <c r="D6" s="7" t="s">
        <v>36</v>
      </c>
      <c r="E6" s="7">
        <v>41000000</v>
      </c>
      <c r="F6" s="15" t="s">
        <v>37</v>
      </c>
      <c r="H6" s="118" t="s">
        <v>102</v>
      </c>
      <c r="I6" s="119">
        <f>+'Cash-Int-Trans'!E111</f>
        <v>3.7900000000000003E-2</v>
      </c>
      <c r="J6" s="13"/>
      <c r="L6" s="92" t="s">
        <v>145</v>
      </c>
      <c r="M6" s="97">
        <f>H2</f>
        <v>37161</v>
      </c>
      <c r="N6" s="98"/>
      <c r="O6" s="98"/>
      <c r="P6" s="98"/>
      <c r="Q6" s="99"/>
    </row>
    <row r="7" spans="1:18" ht="16.2" thickBot="1" x14ac:dyDescent="0.35">
      <c r="A7" s="7" t="s">
        <v>38</v>
      </c>
      <c r="B7" s="7">
        <v>50000000</v>
      </c>
      <c r="D7" s="7" t="s">
        <v>39</v>
      </c>
      <c r="E7" s="7">
        <f>B11-E6-E9-E10</f>
        <v>400000000</v>
      </c>
      <c r="H7" s="336" t="s">
        <v>160</v>
      </c>
      <c r="I7" s="337"/>
      <c r="J7" s="13"/>
      <c r="L7" s="332" t="s">
        <v>33</v>
      </c>
      <c r="M7" s="332"/>
      <c r="O7" s="332" t="s">
        <v>34</v>
      </c>
      <c r="P7" s="332"/>
    </row>
    <row r="8" spans="1:18" x14ac:dyDescent="0.3">
      <c r="A8" s="7" t="s">
        <v>41</v>
      </c>
      <c r="B8" s="7">
        <f>B18</f>
        <v>350000000</v>
      </c>
      <c r="C8" s="18" t="s">
        <v>42</v>
      </c>
      <c r="H8" s="120" t="s">
        <v>161</v>
      </c>
      <c r="I8" s="121"/>
      <c r="J8" s="13"/>
      <c r="L8" s="7" t="s">
        <v>40</v>
      </c>
      <c r="M8" s="7">
        <f>+'Cash-Int-Trans'!B49</f>
        <v>43787960.218862563</v>
      </c>
      <c r="O8" s="7" t="s">
        <v>109</v>
      </c>
      <c r="P8" s="7">
        <f>+E6-'Cash-Int-Trans'!B4+'Cash-Int-Trans'!B9</f>
        <v>0</v>
      </c>
      <c r="Q8" s="17" t="str">
        <f>IF(P8&lt;&gt;0,"Not OK Check Put Value Table", "OK")</f>
        <v>OK</v>
      </c>
    </row>
    <row r="9" spans="1:18" x14ac:dyDescent="0.3">
      <c r="D9" s="7" t="s">
        <v>43</v>
      </c>
      <c r="E9" s="14">
        <f>30000000</f>
        <v>30000000</v>
      </c>
      <c r="F9" s="19" t="s">
        <v>44</v>
      </c>
      <c r="H9" s="13"/>
      <c r="I9" s="16"/>
      <c r="J9" s="13"/>
      <c r="L9" s="7" t="s">
        <v>38</v>
      </c>
      <c r="M9" s="7">
        <f>+B7-Amort!B24</f>
        <v>50000000</v>
      </c>
      <c r="O9" s="7" t="s">
        <v>36</v>
      </c>
      <c r="P9" s="7">
        <f>+'Cash-Int-Trans'!B12-'Cash-Int-Trans'!B5-'Cash-Int-Trans'!B6</f>
        <v>0</v>
      </c>
    </row>
    <row r="10" spans="1:18" x14ac:dyDescent="0.3">
      <c r="D10" s="7" t="s">
        <v>4</v>
      </c>
      <c r="E10" s="7">
        <v>1000</v>
      </c>
      <c r="H10" s="335" t="s">
        <v>103</v>
      </c>
      <c r="I10" s="335"/>
      <c r="J10" s="13"/>
      <c r="L10" s="7" t="s">
        <v>45</v>
      </c>
      <c r="M10" s="7">
        <f>+Amort!B28</f>
        <v>1730555.5555555555</v>
      </c>
      <c r="N10" s="18"/>
      <c r="O10" s="7" t="s">
        <v>119</v>
      </c>
      <c r="P10" s="7">
        <f>IF(I21&gt;0,0,-I21)</f>
        <v>412597959.98999971</v>
      </c>
    </row>
    <row r="11" spans="1:18" ht="16.2" thickBot="1" x14ac:dyDescent="0.35">
      <c r="A11" s="90" t="s">
        <v>7</v>
      </c>
      <c r="B11" s="12">
        <f>SUM(B6:B10)</f>
        <v>471001000</v>
      </c>
      <c r="C11" s="20" t="s">
        <v>46</v>
      </c>
      <c r="D11" s="90" t="s">
        <v>7</v>
      </c>
      <c r="E11" s="12">
        <f>SUM(E6:E10)</f>
        <v>471001000</v>
      </c>
      <c r="F11" s="17"/>
      <c r="H11" s="93" t="s">
        <v>146</v>
      </c>
      <c r="I11" s="94">
        <f>H2</f>
        <v>37161</v>
      </c>
      <c r="J11" s="13"/>
      <c r="L11" s="7" t="s">
        <v>41</v>
      </c>
      <c r="M11" s="7">
        <f>B8+I15+I20</f>
        <v>218032038.75521636</v>
      </c>
      <c r="O11" s="7" t="s">
        <v>438</v>
      </c>
      <c r="P11" s="7">
        <f>IF(I19&lt;0,-I19,0)</f>
        <v>0</v>
      </c>
      <c r="R11" s="3"/>
    </row>
    <row r="12" spans="1:18" ht="16.2" thickTop="1" x14ac:dyDescent="0.3">
      <c r="H12" s="13" t="s">
        <v>115</v>
      </c>
      <c r="I12" s="16">
        <f>+'Cash-Int-Trans'!B7</f>
        <v>73100462</v>
      </c>
      <c r="J12" s="29" t="s">
        <v>89</v>
      </c>
      <c r="O12" s="7" t="s">
        <v>39</v>
      </c>
      <c r="P12" s="7">
        <f>E7-I16+'Cash-Int-Trans'!B10+'Cash-Int-Trans'!B13-I22-I37</f>
        <v>539315962.27198982</v>
      </c>
    </row>
    <row r="13" spans="1:18" x14ac:dyDescent="0.3">
      <c r="A13" s="21" t="s">
        <v>47</v>
      </c>
      <c r="D13" s="22" t="s">
        <v>16</v>
      </c>
      <c r="E13" s="22" t="s">
        <v>48</v>
      </c>
      <c r="F13" s="23"/>
      <c r="H13" s="13" t="s">
        <v>116</v>
      </c>
      <c r="I13" s="16">
        <f>+'Cash-Int-Trans'!B52</f>
        <v>4393904.6633070139</v>
      </c>
      <c r="J13" s="29"/>
      <c r="L13" s="7" t="s">
        <v>439</v>
      </c>
      <c r="M13" s="7">
        <f>IF(I19&gt;0,I19,0)</f>
        <v>424588097.5</v>
      </c>
      <c r="O13" s="7" t="s">
        <v>43</v>
      </c>
      <c r="P13" s="7">
        <f>IF(+I24+I38+'Cash-Int-Trans'!D30-'Cash-Int-Trans'!D29&gt;'Cash-Int-Trans'!D30,'Cash-Int-Trans'!D30,IF(+I24+I38+'Cash-Int-Trans'!D30&lt;0,0,+I24+I38+'Cash-Int-Trans'!D30-'Cash-Int-Trans'!D29))</f>
        <v>0</v>
      </c>
      <c r="Q13" s="106" t="s">
        <v>154</v>
      </c>
    </row>
    <row r="14" spans="1:18" x14ac:dyDescent="0.3">
      <c r="A14" s="7" t="s">
        <v>49</v>
      </c>
      <c r="B14" s="7">
        <f>D14*E14</f>
        <v>263611837.5</v>
      </c>
      <c r="C14" s="24"/>
      <c r="D14" s="25">
        <f>3224799+514376</f>
        <v>3739175</v>
      </c>
      <c r="E14" s="26">
        <v>70.5</v>
      </c>
      <c r="H14" s="13" t="s">
        <v>538</v>
      </c>
      <c r="I14" s="16">
        <f>+Amort!B29</f>
        <v>5123611.1111111119</v>
      </c>
      <c r="J14" s="13"/>
      <c r="L14" s="7" t="s">
        <v>124</v>
      </c>
      <c r="M14" s="7">
        <f>IF(I21&gt;0,I21,0)</f>
        <v>0</v>
      </c>
      <c r="O14" s="7" t="s">
        <v>4</v>
      </c>
      <c r="P14" s="7">
        <f>M15-SUM(P8:P13)</f>
        <v>-213775270.23235512</v>
      </c>
    </row>
    <row r="15" spans="1:18" ht="16.2" thickBot="1" x14ac:dyDescent="0.35">
      <c r="A15" s="7" t="s">
        <v>51</v>
      </c>
      <c r="B15" s="27">
        <f>D15*E15</f>
        <v>273311227.5</v>
      </c>
      <c r="D15" s="28">
        <v>3876755</v>
      </c>
      <c r="E15" s="26">
        <v>70.5</v>
      </c>
      <c r="H15" s="13" t="s">
        <v>424</v>
      </c>
      <c r="I15" s="16">
        <f>-B17*A35/A38</f>
        <v>94086394.703915954</v>
      </c>
      <c r="J15" s="33" t="s">
        <v>59</v>
      </c>
      <c r="L15" s="90" t="s">
        <v>7</v>
      </c>
      <c r="M15" s="12">
        <f>SUM(M8:M14)</f>
        <v>738138652.02963448</v>
      </c>
      <c r="N15" s="20"/>
      <c r="O15" s="90" t="s">
        <v>7</v>
      </c>
      <c r="P15" s="12">
        <f>SUM(P8:P14)</f>
        <v>738138652.02963448</v>
      </c>
      <c r="Q15" s="105" t="s">
        <v>153</v>
      </c>
    </row>
    <row r="16" spans="1:18" ht="16.2" thickTop="1" x14ac:dyDescent="0.3">
      <c r="A16" s="7" t="s">
        <v>53</v>
      </c>
      <c r="B16" s="7">
        <f>SUM(B14:B15)</f>
        <v>536923065</v>
      </c>
      <c r="D16" s="7">
        <f>+D14+D15</f>
        <v>7615930</v>
      </c>
      <c r="H16" s="13" t="s">
        <v>186</v>
      </c>
      <c r="I16" s="40">
        <f>-'Cash-Int-Trans'!B117</f>
        <v>-44484120.508923821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3">
      <c r="A17" s="7" t="s">
        <v>55</v>
      </c>
      <c r="B17" s="7">
        <f>-B16+350000000</f>
        <v>-186923065</v>
      </c>
      <c r="C17" s="31" t="s">
        <v>56</v>
      </c>
      <c r="D17" s="32">
        <f>1-B18/B16</f>
        <v>0.34813752134116271</v>
      </c>
      <c r="H17" s="318"/>
      <c r="I17" s="7">
        <f>SUM(I12:I16)</f>
        <v>132220251.96941024</v>
      </c>
    </row>
    <row r="18" spans="1:20" ht="16.2" thickBot="1" x14ac:dyDescent="0.35">
      <c r="A18" s="7" t="s">
        <v>58</v>
      </c>
      <c r="B18" s="12">
        <f>B16+B17</f>
        <v>350000000</v>
      </c>
      <c r="C18" s="18" t="s">
        <v>42</v>
      </c>
      <c r="H18" s="318"/>
      <c r="L18" s="230" t="s">
        <v>50</v>
      </c>
      <c r="M18" s="229"/>
      <c r="N18" s="229"/>
      <c r="O18" s="229"/>
      <c r="P18" s="229"/>
    </row>
    <row r="19" spans="1:20" ht="16.2" thickTop="1" x14ac:dyDescent="0.3">
      <c r="H19" s="7" t="s">
        <v>437</v>
      </c>
      <c r="I19" s="7">
        <f>IF(I5&lt;81,IF(I5&lt;20,23228587*I5,(81-I5)*(D14+D15)),IF(I5&gt;116,(116-I5)*(+D14+D15),0))</f>
        <v>424588097.5</v>
      </c>
      <c r="J19" s="13"/>
      <c r="L19" s="231" t="s">
        <v>461</v>
      </c>
      <c r="M19" s="7">
        <f>+E9+I35</f>
        <v>36000000</v>
      </c>
      <c r="N19" s="7" t="s">
        <v>462</v>
      </c>
      <c r="P19" s="7">
        <f>+M19/0.0302</f>
        <v>1192052980.1324503</v>
      </c>
      <c r="T19" s="232"/>
    </row>
    <row r="20" spans="1:20" ht="16.2" thickBot="1" x14ac:dyDescent="0.35">
      <c r="A20" s="333" t="s">
        <v>62</v>
      </c>
      <c r="B20" s="333"/>
      <c r="C20" s="333"/>
      <c r="D20" s="333"/>
      <c r="E20" s="333"/>
      <c r="H20" s="7" t="s">
        <v>511</v>
      </c>
      <c r="I20" s="14">
        <f>-Shares!D30</f>
        <v>-226054355.94869959</v>
      </c>
      <c r="M20" s="91"/>
      <c r="N20" s="102" t="s">
        <v>463</v>
      </c>
      <c r="O20" s="91"/>
      <c r="P20" s="27">
        <f>-B11-I35</f>
        <v>-477001000</v>
      </c>
    </row>
    <row r="21" spans="1:20" x14ac:dyDescent="0.3">
      <c r="A21" s="334" t="s">
        <v>52</v>
      </c>
      <c r="B21" s="334"/>
      <c r="E21" s="7">
        <f>B11</f>
        <v>471001000</v>
      </c>
      <c r="F21" s="34" t="s">
        <v>46</v>
      </c>
      <c r="H21" s="7" t="s">
        <v>117</v>
      </c>
      <c r="I21" s="7">
        <f>+'Daily Position'!P78</f>
        <v>-412597959.98999971</v>
      </c>
      <c r="K21" s="7"/>
      <c r="M21" s="91"/>
      <c r="N21" s="102" t="s">
        <v>464</v>
      </c>
      <c r="O21" s="91"/>
      <c r="P21" s="13">
        <f>+P19+P20</f>
        <v>715051980.13245034</v>
      </c>
    </row>
    <row r="22" spans="1:20" x14ac:dyDescent="0.3">
      <c r="A22" s="7" t="s">
        <v>64</v>
      </c>
      <c r="B22" s="7" t="s">
        <v>16</v>
      </c>
      <c r="D22" s="7">
        <v>7171418</v>
      </c>
      <c r="H22" s="7" t="s">
        <v>118</v>
      </c>
      <c r="I22" s="27">
        <f>+'Daily Position'!Q78</f>
        <v>-126932303.76306601</v>
      </c>
      <c r="J22" s="13"/>
      <c r="K22" s="7"/>
      <c r="N22" s="7" t="s">
        <v>465</v>
      </c>
      <c r="P22" s="7">
        <f>-'Daily Position'!I84</f>
        <v>-549554983.84283423</v>
      </c>
    </row>
    <row r="23" spans="1:20" x14ac:dyDescent="0.3">
      <c r="A23" s="7" t="s">
        <v>67</v>
      </c>
      <c r="B23" s="7" t="s">
        <v>68</v>
      </c>
      <c r="D23" s="26">
        <v>57.5</v>
      </c>
      <c r="E23" s="27">
        <f>D22*D23</f>
        <v>412356535</v>
      </c>
      <c r="H23"/>
      <c r="I23" s="36">
        <f>SUM(I19:I22)</f>
        <v>-340996522.2017653</v>
      </c>
      <c r="J23" s="13"/>
      <c r="N23" s="7" t="s">
        <v>458</v>
      </c>
      <c r="P23" s="273">
        <f>+'Daily Position'!Q80</f>
        <v>-127896192.89656602</v>
      </c>
    </row>
    <row r="24" spans="1:20" ht="16.2" thickBot="1" x14ac:dyDescent="0.35">
      <c r="A24" s="7" t="s">
        <v>70</v>
      </c>
      <c r="E24" s="7">
        <f>SUM(E21:E23)</f>
        <v>883357535</v>
      </c>
      <c r="H24" s="37" t="s">
        <v>65</v>
      </c>
      <c r="I24" s="100">
        <f>I23+I17</f>
        <v>-208776270.23235506</v>
      </c>
      <c r="J24" s="39" t="s">
        <v>66</v>
      </c>
      <c r="P24" s="13"/>
    </row>
    <row r="25" spans="1:20" ht="16.2" thickTop="1" x14ac:dyDescent="0.3">
      <c r="A25" s="7" t="s">
        <v>71</v>
      </c>
      <c r="E25" s="27">
        <f>E6</f>
        <v>41000000</v>
      </c>
      <c r="F25" s="15" t="s">
        <v>37</v>
      </c>
      <c r="H25" s="13"/>
      <c r="I25" s="16"/>
      <c r="J25" s="13"/>
      <c r="N25" s="7" t="s">
        <v>466</v>
      </c>
      <c r="P25" s="7">
        <f>+P21+P22+P23</f>
        <v>37600803.393050089</v>
      </c>
    </row>
    <row r="26" spans="1:20" x14ac:dyDescent="0.3">
      <c r="E26" s="7">
        <f>E24-E25</f>
        <v>842357535</v>
      </c>
      <c r="H26" s="229" t="s">
        <v>104</v>
      </c>
      <c r="I26" s="229"/>
      <c r="J26" s="13"/>
      <c r="K26" s="7"/>
      <c r="L26" s="13"/>
      <c r="M26" s="13"/>
      <c r="N26" s="13"/>
      <c r="O26" s="13"/>
      <c r="P26" s="13"/>
    </row>
    <row r="27" spans="1:20" x14ac:dyDescent="0.3">
      <c r="A27" s="7" t="s">
        <v>54</v>
      </c>
      <c r="E27" s="30">
        <v>3.0200000000000001E-2</v>
      </c>
      <c r="H27" s="13" t="s">
        <v>72</v>
      </c>
      <c r="I27" s="16"/>
      <c r="J27" s="13"/>
    </row>
    <row r="28" spans="1:20" x14ac:dyDescent="0.3">
      <c r="A28" s="7" t="s">
        <v>57</v>
      </c>
      <c r="E28" s="7">
        <f>E26*E27</f>
        <v>25439197.557</v>
      </c>
      <c r="H28" s="13" t="s">
        <v>74</v>
      </c>
      <c r="I28" s="16">
        <f>E9</f>
        <v>30000000</v>
      </c>
      <c r="J28" s="19" t="s">
        <v>44</v>
      </c>
    </row>
    <row r="29" spans="1:20" x14ac:dyDescent="0.3">
      <c r="A29" s="7" t="s">
        <v>60</v>
      </c>
      <c r="E29" s="7">
        <f>E9</f>
        <v>30000000</v>
      </c>
      <c r="F29" s="19" t="s">
        <v>44</v>
      </c>
      <c r="H29" s="13" t="s">
        <v>76</v>
      </c>
      <c r="I29" s="40">
        <f>-B17</f>
        <v>186923065</v>
      </c>
      <c r="J29" s="41" t="s">
        <v>56</v>
      </c>
      <c r="L29" s="53" t="s">
        <v>69</v>
      </c>
      <c r="M29" s="53"/>
    </row>
    <row r="30" spans="1:20" x14ac:dyDescent="0.3">
      <c r="A30" s="35" t="s">
        <v>61</v>
      </c>
      <c r="B30" s="36"/>
      <c r="C30" s="36"/>
      <c r="D30" s="36"/>
      <c r="E30" s="107" t="str">
        <f>IF(E29&gt;=E28,"Test Passed","Test Failed")</f>
        <v>Test Passed</v>
      </c>
      <c r="H30" s="13" t="s">
        <v>77</v>
      </c>
      <c r="I30" s="16">
        <f>SUM(I28:I29)</f>
        <v>216923065</v>
      </c>
      <c r="J30" s="13"/>
      <c r="L30" s="7" t="s">
        <v>163</v>
      </c>
    </row>
    <row r="31" spans="1:20" x14ac:dyDescent="0.3">
      <c r="H31" s="13"/>
      <c r="I31" s="16"/>
      <c r="J31" s="13"/>
      <c r="L31" s="7" t="s">
        <v>73</v>
      </c>
      <c r="M31" s="7">
        <f>E9+'Cash-Int-Trans'!B17</f>
        <v>36000000</v>
      </c>
    </row>
    <row r="32" spans="1:20" ht="16.2" thickBot="1" x14ac:dyDescent="0.35">
      <c r="A32" s="44" t="s">
        <v>147</v>
      </c>
      <c r="B32" s="45"/>
      <c r="H32" s="13" t="s">
        <v>441</v>
      </c>
      <c r="I32" s="16">
        <f>I24</f>
        <v>-208776270.23235506</v>
      </c>
      <c r="J32" s="39" t="s">
        <v>66</v>
      </c>
      <c r="L32" s="7" t="s">
        <v>75</v>
      </c>
      <c r="M32" s="27">
        <f>E10</f>
        <v>1000</v>
      </c>
    </row>
    <row r="33" spans="1:17" x14ac:dyDescent="0.3">
      <c r="A33" s="46">
        <v>36634</v>
      </c>
      <c r="B33" s="13" t="s">
        <v>82</v>
      </c>
      <c r="C33"/>
      <c r="D33" s="46">
        <v>37681</v>
      </c>
      <c r="E33"/>
      <c r="H33" s="13" t="s">
        <v>440</v>
      </c>
      <c r="I33" s="16">
        <f>(D14+D15-Shares!B30)*(I5-E14)</f>
        <v>-169197668.75</v>
      </c>
      <c r="J33" s="39"/>
      <c r="M33" s="7">
        <f>SUM(M31:M32)</f>
        <v>36001000</v>
      </c>
    </row>
    <row r="34" spans="1:17" x14ac:dyDescent="0.3">
      <c r="A34" s="49">
        <f>+Summary!C5</f>
        <v>37161</v>
      </c>
      <c r="B34" s="13" t="s">
        <v>83</v>
      </c>
      <c r="C34"/>
      <c r="D34"/>
      <c r="E34"/>
      <c r="H34" s="13" t="s">
        <v>522</v>
      </c>
      <c r="I34" s="14">
        <f>+Shares!C39*Financials!I5</f>
        <v>0</v>
      </c>
      <c r="L34" s="7" t="s">
        <v>78</v>
      </c>
      <c r="M34" s="7">
        <f>I24</f>
        <v>-208776270.23235506</v>
      </c>
    </row>
    <row r="35" spans="1:17" ht="16.2" thickBot="1" x14ac:dyDescent="0.35">
      <c r="A35" s="50">
        <f>MIN(A37:A38)</f>
        <v>527</v>
      </c>
      <c r="B35" s="13" t="s">
        <v>84</v>
      </c>
      <c r="C35"/>
      <c r="D35"/>
      <c r="E35"/>
      <c r="H35" s="7" t="s">
        <v>162</v>
      </c>
      <c r="I35" s="14">
        <f>+'Cash-Int-Trans'!B17</f>
        <v>6000000</v>
      </c>
      <c r="L35" s="7" t="s">
        <v>79</v>
      </c>
      <c r="M35" s="27">
        <f>I38</f>
        <v>-41000000</v>
      </c>
    </row>
    <row r="36" spans="1:17" x14ac:dyDescent="0.3">
      <c r="A36"/>
      <c r="B36"/>
      <c r="C36"/>
      <c r="D36"/>
      <c r="E36"/>
      <c r="H36" s="13" t="s">
        <v>148</v>
      </c>
      <c r="I36" s="16">
        <f>-I29-Shares!D24-Shares!D26</f>
        <v>-141343266.25521636</v>
      </c>
      <c r="J36" s="33" t="s">
        <v>59</v>
      </c>
      <c r="L36" s="7" t="s">
        <v>80</v>
      </c>
      <c r="M36" s="7">
        <f>SUM(M33:M35)</f>
        <v>-213775270.23235506</v>
      </c>
    </row>
    <row r="37" spans="1:17" ht="16.5" customHeight="1" x14ac:dyDescent="0.3">
      <c r="A37" s="3">
        <f>+A34-A33</f>
        <v>527</v>
      </c>
      <c r="B37"/>
      <c r="C37"/>
      <c r="D37"/>
      <c r="E37"/>
      <c r="H37" s="13" t="s">
        <v>514</v>
      </c>
      <c r="I37" s="14">
        <f>-'Cash-Int-Trans'!B167</f>
        <v>0</v>
      </c>
      <c r="J37" s="42"/>
      <c r="K37" s="7"/>
      <c r="L37" s="7" t="s">
        <v>155</v>
      </c>
      <c r="M37" s="7">
        <f>P13</f>
        <v>0</v>
      </c>
    </row>
    <row r="38" spans="1:17" ht="15.75" customHeight="1" x14ac:dyDescent="0.3">
      <c r="A38" s="3">
        <f>+D33-A33</f>
        <v>1047</v>
      </c>
      <c r="B38"/>
      <c r="C38"/>
      <c r="D38"/>
      <c r="E38"/>
      <c r="H38" s="13" t="s">
        <v>149</v>
      </c>
      <c r="I38" s="16">
        <f>+'Cash-Int-Trans'!B16</f>
        <v>-41000000</v>
      </c>
      <c r="J38" s="13"/>
      <c r="K38" s="7"/>
      <c r="L38" s="7" t="s">
        <v>156</v>
      </c>
      <c r="M38" s="27">
        <f>P14</f>
        <v>-213775270.23235512</v>
      </c>
    </row>
    <row r="39" spans="1:17" ht="15.75" customHeight="1" thickBot="1" x14ac:dyDescent="0.35">
      <c r="A39"/>
      <c r="B39"/>
      <c r="C39"/>
      <c r="D39"/>
      <c r="E39"/>
      <c r="H39" s="37" t="s">
        <v>105</v>
      </c>
      <c r="I39" s="38">
        <f>SUM(I30:I38)</f>
        <v>-337394140.23757142</v>
      </c>
      <c r="K39" s="7"/>
      <c r="M39" s="7">
        <f>M36-M37-M38</f>
        <v>0</v>
      </c>
      <c r="N39" s="43" t="str">
        <f>IF(ROUND(M39,0)=0,"OK","Not OK")</f>
        <v>OK</v>
      </c>
    </row>
    <row r="40" spans="1:17" ht="16.5" customHeight="1" thickTop="1" x14ac:dyDescent="0.3">
      <c r="A40"/>
      <c r="B40"/>
      <c r="C40"/>
      <c r="D40"/>
      <c r="E40"/>
      <c r="H40" s="7" t="s">
        <v>436</v>
      </c>
      <c r="L40" s="7" t="s">
        <v>150</v>
      </c>
      <c r="M40" s="7">
        <f>ROUND(M36-SUM(M37:M38),0)</f>
        <v>0</v>
      </c>
      <c r="N40" s="104" t="str">
        <f>IF(M40=0,"OK","Not OK")</f>
        <v>OK</v>
      </c>
    </row>
    <row r="41" spans="1:17" x14ac:dyDescent="0.3">
      <c r="A41"/>
      <c r="B41"/>
      <c r="C41"/>
      <c r="D41"/>
      <c r="E41"/>
    </row>
    <row r="42" spans="1:17" x14ac:dyDescent="0.3">
      <c r="A42"/>
      <c r="B42"/>
      <c r="C42"/>
      <c r="D42"/>
      <c r="E42"/>
      <c r="I42" s="7"/>
    </row>
    <row r="43" spans="1:17" x14ac:dyDescent="0.3">
      <c r="A43"/>
      <c r="B43"/>
      <c r="C43"/>
      <c r="D43"/>
      <c r="E43"/>
      <c r="I43" s="7"/>
      <c r="L43" s="230" t="s">
        <v>50</v>
      </c>
      <c r="M43" s="229"/>
      <c r="N43" s="229"/>
      <c r="O43" s="229"/>
      <c r="P43" s="229"/>
      <c r="Q43" s="16"/>
    </row>
    <row r="44" spans="1:17" x14ac:dyDescent="0.3">
      <c r="A44"/>
      <c r="B44"/>
      <c r="C44"/>
      <c r="D44"/>
      <c r="E44"/>
      <c r="F44" s="7"/>
      <c r="H44" s="8"/>
      <c r="L44" s="231" t="s">
        <v>52</v>
      </c>
      <c r="M44" s="231"/>
      <c r="P44" s="7">
        <f>M15</f>
        <v>738138652.02963448</v>
      </c>
      <c r="Q44" s="105" t="s">
        <v>153</v>
      </c>
    </row>
    <row r="45" spans="1:17" x14ac:dyDescent="0.3">
      <c r="A45"/>
      <c r="B45"/>
      <c r="C45"/>
      <c r="D45"/>
      <c r="E45"/>
      <c r="F45" s="7"/>
      <c r="I45" s="7"/>
      <c r="L45" s="7" t="s">
        <v>420</v>
      </c>
      <c r="M45" s="91">
        <f>+'Daily Position'!I65</f>
        <v>63109023.640000001</v>
      </c>
      <c r="N45" s="91"/>
      <c r="O45" s="91">
        <f>-P9</f>
        <v>0</v>
      </c>
      <c r="P45" s="7">
        <f>+M45+O45</f>
        <v>63109023.640000001</v>
      </c>
    </row>
    <row r="46" spans="1:17" x14ac:dyDescent="0.3">
      <c r="A46"/>
      <c r="B46"/>
      <c r="C46"/>
      <c r="D46"/>
      <c r="E46"/>
      <c r="F46" s="7"/>
      <c r="I46" s="7"/>
      <c r="L46" s="7" t="s">
        <v>152</v>
      </c>
      <c r="M46" s="91">
        <f>+'Daily Position'!I78-M45</f>
        <v>670572652.43000007</v>
      </c>
      <c r="N46" s="91"/>
      <c r="O46" s="91">
        <f>-P10</f>
        <v>-412597959.98999971</v>
      </c>
      <c r="P46" s="27">
        <f>+M46+O46</f>
        <v>257974692.44000036</v>
      </c>
    </row>
    <row r="47" spans="1:17" x14ac:dyDescent="0.3">
      <c r="A47"/>
      <c r="B47"/>
      <c r="C47"/>
      <c r="D47"/>
      <c r="E47"/>
      <c r="F47" s="7"/>
      <c r="I47" s="7"/>
      <c r="L47" s="7" t="s">
        <v>151</v>
      </c>
      <c r="P47" s="7">
        <f>+P44+P45+P46</f>
        <v>1059222368.1096349</v>
      </c>
    </row>
    <row r="48" spans="1:17" x14ac:dyDescent="0.3">
      <c r="A48"/>
      <c r="B48"/>
      <c r="C48"/>
      <c r="D48"/>
      <c r="E48"/>
      <c r="F48" s="7"/>
      <c r="I48" s="7"/>
      <c r="L48" s="7" t="s">
        <v>54</v>
      </c>
      <c r="P48" s="30">
        <f>E27</f>
        <v>3.0200000000000001E-2</v>
      </c>
    </row>
    <row r="49" spans="1:17" x14ac:dyDescent="0.3">
      <c r="A49"/>
      <c r="B49"/>
      <c r="C49"/>
      <c r="D49"/>
      <c r="E49"/>
      <c r="F49" s="7"/>
      <c r="I49" s="7"/>
      <c r="L49" s="7" t="s">
        <v>57</v>
      </c>
      <c r="P49" s="7">
        <f>P47*P48</f>
        <v>31988515.516910974</v>
      </c>
    </row>
    <row r="50" spans="1:17" x14ac:dyDescent="0.3">
      <c r="A50"/>
      <c r="B50"/>
      <c r="C50"/>
      <c r="D50"/>
      <c r="E50"/>
      <c r="F50" s="7"/>
      <c r="I50" s="7"/>
      <c r="L50" s="7" t="s">
        <v>60</v>
      </c>
      <c r="P50" s="7">
        <f>P13</f>
        <v>0</v>
      </c>
      <c r="Q50" s="106" t="s">
        <v>154</v>
      </c>
    </row>
    <row r="51" spans="1:17" x14ac:dyDescent="0.3">
      <c r="A51"/>
      <c r="B51"/>
      <c r="C51"/>
      <c r="D51"/>
      <c r="E51"/>
      <c r="F51" s="7"/>
      <c r="I51" s="7"/>
      <c r="L51" s="35" t="s">
        <v>61</v>
      </c>
      <c r="M51" s="36"/>
      <c r="N51" s="36"/>
      <c r="O51" s="36"/>
      <c r="P51" s="107" t="str">
        <f>IF(P50&gt;=P49,"Test Passed","Test Failed")</f>
        <v>Test Failed</v>
      </c>
      <c r="Q51" s="106"/>
    </row>
    <row r="52" spans="1:17" x14ac:dyDescent="0.3">
      <c r="A52"/>
      <c r="B52"/>
      <c r="C52"/>
      <c r="D52"/>
      <c r="E52"/>
      <c r="F52" s="7"/>
      <c r="I52" s="7"/>
      <c r="L52" s="13" t="s">
        <v>63</v>
      </c>
      <c r="M52" s="13"/>
      <c r="N52" s="13"/>
      <c r="O52" s="13"/>
      <c r="P52" s="13">
        <f>P50-P49</f>
        <v>-31988515.516910974</v>
      </c>
    </row>
    <row r="53" spans="1:17" x14ac:dyDescent="0.3">
      <c r="A53"/>
      <c r="B53"/>
      <c r="C53"/>
      <c r="D53"/>
      <c r="E53"/>
      <c r="F53" s="7"/>
      <c r="I53" s="7"/>
      <c r="L53" s="37" t="s">
        <v>114</v>
      </c>
      <c r="M53" s="37"/>
      <c r="N53" s="37"/>
      <c r="O53" s="37"/>
      <c r="P53" s="37">
        <f>IF(P52&lt;0,0,P52/P48)</f>
        <v>0</v>
      </c>
    </row>
    <row r="54" spans="1:17" x14ac:dyDescent="0.3">
      <c r="A54"/>
      <c r="B54"/>
      <c r="C54"/>
      <c r="D54"/>
      <c r="E54"/>
      <c r="F54" s="7"/>
      <c r="I54" s="7"/>
    </row>
    <row r="55" spans="1:17" x14ac:dyDescent="0.3">
      <c r="A55"/>
      <c r="B55"/>
      <c r="C55"/>
      <c r="D55"/>
      <c r="E55"/>
      <c r="I55" s="7"/>
    </row>
    <row r="56" spans="1:17" x14ac:dyDescent="0.3">
      <c r="A56"/>
      <c r="B56"/>
      <c r="C56"/>
      <c r="D56"/>
      <c r="E56"/>
    </row>
    <row r="57" spans="1:17" x14ac:dyDescent="0.3">
      <c r="A57"/>
      <c r="B57"/>
      <c r="C57"/>
      <c r="D57"/>
      <c r="E57"/>
    </row>
    <row r="58" spans="1:17" x14ac:dyDescent="0.3">
      <c r="A58"/>
      <c r="B58"/>
      <c r="C58"/>
      <c r="D58"/>
      <c r="E58"/>
    </row>
    <row r="59" spans="1:17" x14ac:dyDescent="0.3">
      <c r="A59"/>
      <c r="B59"/>
      <c r="C59"/>
      <c r="D59"/>
      <c r="E59"/>
    </row>
    <row r="60" spans="1:17" x14ac:dyDescent="0.3">
      <c r="A60"/>
      <c r="B60"/>
      <c r="C60"/>
      <c r="D60"/>
      <c r="E60"/>
    </row>
    <row r="61" spans="1:17" x14ac:dyDescent="0.3">
      <c r="A61"/>
      <c r="B61"/>
      <c r="C61"/>
    </row>
  </sheetData>
  <mergeCells count="15">
    <mergeCell ref="L7:M7"/>
    <mergeCell ref="O7:P7"/>
    <mergeCell ref="H10:I10"/>
    <mergeCell ref="H7:I7"/>
    <mergeCell ref="H2:I2"/>
    <mergeCell ref="H3:I3"/>
    <mergeCell ref="L5:P5"/>
    <mergeCell ref="L2:P2"/>
    <mergeCell ref="L3:P3"/>
    <mergeCell ref="A3:B3"/>
    <mergeCell ref="A4:F4"/>
    <mergeCell ref="A5:B5"/>
    <mergeCell ref="D5:E5"/>
    <mergeCell ref="A20:E20"/>
    <mergeCell ref="A21:B21"/>
  </mergeCells>
  <phoneticPr fontId="0" type="noConversion"/>
  <printOptions horizontalCentered="1"/>
  <pageMargins left="0.75" right="0.75" top="1" bottom="1" header="0.5" footer="0.5"/>
  <pageSetup scale="79" orientation="portrait" r:id="rId1"/>
  <headerFooter alignWithMargins="0"/>
  <colBreaks count="1" manualBreakCount="1">
    <brk id="10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5"/>
  <sheetViews>
    <sheetView workbookViewId="0">
      <selection activeCell="B1" sqref="B1"/>
    </sheetView>
  </sheetViews>
  <sheetFormatPr defaultRowHeight="15.6" x14ac:dyDescent="0.3"/>
  <cols>
    <col min="1" max="1" width="30.59765625" style="7" customWidth="1"/>
    <col min="2" max="2" width="16.69921875" style="14" bestFit="1" customWidth="1"/>
    <col min="4" max="4" width="30.59765625" style="7" customWidth="1"/>
    <col min="5" max="5" width="16.69921875" style="14" bestFit="1" customWidth="1"/>
    <col min="7" max="7" width="30.59765625" style="7" customWidth="1"/>
    <col min="8" max="8" width="16.69921875" style="14" bestFit="1" customWidth="1"/>
  </cols>
  <sheetData>
    <row r="1" spans="1:256" x14ac:dyDescent="0.3">
      <c r="A1" s="13"/>
      <c r="B1" s="16"/>
      <c r="D1" s="13"/>
      <c r="E1" s="16"/>
      <c r="G1" s="13"/>
      <c r="H1" s="16"/>
    </row>
    <row r="2" spans="1:256" x14ac:dyDescent="0.3">
      <c r="A2" s="335" t="s">
        <v>103</v>
      </c>
      <c r="B2" s="335"/>
      <c r="D2" s="335" t="s">
        <v>103</v>
      </c>
      <c r="E2" s="335"/>
      <c r="G2" s="229" t="s">
        <v>103</v>
      </c>
      <c r="H2" s="308">
        <f>+B3</f>
        <v>37072</v>
      </c>
    </row>
    <row r="3" spans="1:256" x14ac:dyDescent="0.3">
      <c r="A3" s="92" t="s">
        <v>536</v>
      </c>
      <c r="B3" s="308">
        <v>37072</v>
      </c>
      <c r="D3" s="92" t="s">
        <v>536</v>
      </c>
      <c r="E3" s="308">
        <f>+Financials!I11</f>
        <v>37161</v>
      </c>
      <c r="G3" s="92" t="s">
        <v>537</v>
      </c>
      <c r="H3" s="308">
        <f>+E3</f>
        <v>37161</v>
      </c>
    </row>
    <row r="4" spans="1:256" x14ac:dyDescent="0.3">
      <c r="A4" s="13" t="s">
        <v>115</v>
      </c>
      <c r="B4" s="16">
        <v>73100462</v>
      </c>
      <c r="D4" s="13" t="s">
        <v>115</v>
      </c>
      <c r="E4" s="16">
        <f>+Financials!I12</f>
        <v>73100462</v>
      </c>
      <c r="G4" s="13" t="s">
        <v>115</v>
      </c>
      <c r="H4" s="16">
        <f t="shared" ref="H4:H9" si="0">+E4-B4</f>
        <v>0</v>
      </c>
    </row>
    <row r="5" spans="1:256" x14ac:dyDescent="0.3">
      <c r="A5" s="13" t="s">
        <v>116</v>
      </c>
      <c r="B5" s="16">
        <v>3936105.5259383339</v>
      </c>
      <c r="D5" s="13" t="s">
        <v>116</v>
      </c>
      <c r="E5" s="16">
        <f>+Financials!I13</f>
        <v>4393904.6633070139</v>
      </c>
      <c r="G5" s="13" t="s">
        <v>116</v>
      </c>
      <c r="H5" s="16">
        <f t="shared" si="0"/>
        <v>457799.13736867998</v>
      </c>
    </row>
    <row r="6" spans="1:256" x14ac:dyDescent="0.3">
      <c r="A6" s="13" t="s">
        <v>538</v>
      </c>
      <c r="B6" s="16">
        <v>4258333.333333334</v>
      </c>
      <c r="D6" s="13" t="s">
        <v>538</v>
      </c>
      <c r="E6" s="16">
        <f>+Financials!I14</f>
        <v>5123611.1111111119</v>
      </c>
      <c r="G6" s="13" t="s">
        <v>538</v>
      </c>
      <c r="H6" s="16">
        <f t="shared" si="0"/>
        <v>865277.77777777798</v>
      </c>
    </row>
    <row r="7" spans="1:256" x14ac:dyDescent="0.3">
      <c r="A7" s="13" t="s">
        <v>424</v>
      </c>
      <c r="B7" s="16">
        <v>78197041.518624648</v>
      </c>
      <c r="D7" s="13" t="s">
        <v>424</v>
      </c>
      <c r="E7" s="16">
        <f>+Financials!I15</f>
        <v>94086394.703915954</v>
      </c>
      <c r="G7" s="13" t="s">
        <v>424</v>
      </c>
      <c r="H7" s="16">
        <f t="shared" si="0"/>
        <v>15889353.185291305</v>
      </c>
    </row>
    <row r="8" spans="1:256" x14ac:dyDescent="0.3">
      <c r="A8" s="13" t="s">
        <v>539</v>
      </c>
      <c r="B8" s="14">
        <v>0</v>
      </c>
      <c r="D8" s="13" t="s">
        <v>539</v>
      </c>
      <c r="E8" s="14">
        <v>0</v>
      </c>
      <c r="G8" s="13" t="s">
        <v>539</v>
      </c>
      <c r="H8" s="16">
        <f t="shared" si="0"/>
        <v>0</v>
      </c>
    </row>
    <row r="9" spans="1:256" x14ac:dyDescent="0.3">
      <c r="A9" s="13" t="s">
        <v>186</v>
      </c>
      <c r="B9" s="40">
        <v>-35484147.580185436</v>
      </c>
      <c r="D9" s="13" t="s">
        <v>186</v>
      </c>
      <c r="E9" s="40">
        <f>+Financials!I16</f>
        <v>-44484120.508923821</v>
      </c>
      <c r="G9" s="13" t="s">
        <v>186</v>
      </c>
      <c r="H9" s="40">
        <f t="shared" si="0"/>
        <v>-8999972.9287383854</v>
      </c>
    </row>
    <row r="10" spans="1:256" x14ac:dyDescent="0.3">
      <c r="B10" s="7">
        <v>124007794.79771087</v>
      </c>
      <c r="E10" s="7">
        <f>SUM(E4:E9)</f>
        <v>132220251.96941024</v>
      </c>
      <c r="H10" s="7">
        <f>SUM(H4:H9)</f>
        <v>8212457.1716993786</v>
      </c>
    </row>
    <row r="11" spans="1:256" x14ac:dyDescent="0.3">
      <c r="B11" s="7"/>
      <c r="E11" s="7"/>
      <c r="H11" s="7"/>
    </row>
    <row r="12" spans="1:256" x14ac:dyDescent="0.3">
      <c r="A12" s="7" t="s">
        <v>437</v>
      </c>
      <c r="B12" s="7">
        <v>242948167</v>
      </c>
      <c r="D12" s="7" t="s">
        <v>437</v>
      </c>
      <c r="E12" s="16">
        <f>+Financials!I19</f>
        <v>424588097.5</v>
      </c>
      <c r="G12" s="7" t="s">
        <v>437</v>
      </c>
      <c r="H12" s="16">
        <f t="shared" ref="H12:H17" si="1">+E12-B12</f>
        <v>181639930.5</v>
      </c>
    </row>
    <row r="13" spans="1:256" x14ac:dyDescent="0.3">
      <c r="A13" s="7" t="s">
        <v>540</v>
      </c>
      <c r="B13" s="14">
        <v>0</v>
      </c>
      <c r="D13" s="7" t="s">
        <v>540</v>
      </c>
      <c r="E13" s="16">
        <v>0</v>
      </c>
      <c r="G13" s="7" t="s">
        <v>540</v>
      </c>
      <c r="H13" s="16">
        <f t="shared" si="1"/>
        <v>0</v>
      </c>
    </row>
    <row r="14" spans="1:256" x14ac:dyDescent="0.3">
      <c r="A14" s="7" t="s">
        <v>511</v>
      </c>
      <c r="B14" s="14">
        <v>-217966160.62549627</v>
      </c>
      <c r="D14" s="7" t="s">
        <v>511</v>
      </c>
      <c r="E14" s="16">
        <f>+Financials!I20</f>
        <v>-226054355.94869959</v>
      </c>
      <c r="G14" s="7" t="s">
        <v>511</v>
      </c>
      <c r="H14" s="16">
        <f t="shared" si="1"/>
        <v>-8088195.3232033253</v>
      </c>
    </row>
    <row r="15" spans="1:256" x14ac:dyDescent="0.3">
      <c r="A15" s="7" t="s">
        <v>541</v>
      </c>
      <c r="B15" s="7">
        <v>0</v>
      </c>
      <c r="C15" s="7"/>
      <c r="D15" s="7" t="s">
        <v>541</v>
      </c>
      <c r="E15" s="16">
        <v>0</v>
      </c>
      <c r="F15" s="7"/>
      <c r="G15" s="7" t="s">
        <v>541</v>
      </c>
      <c r="H15" s="16">
        <f t="shared" si="1"/>
        <v>0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</row>
    <row r="16" spans="1:256" x14ac:dyDescent="0.3">
      <c r="A16" s="7" t="s">
        <v>117</v>
      </c>
      <c r="B16" s="7">
        <v>-383495854.86999971</v>
      </c>
      <c r="D16" s="7" t="s">
        <v>117</v>
      </c>
      <c r="E16" s="16">
        <f>+Financials!I21</f>
        <v>-412597959.98999971</v>
      </c>
      <c r="G16" s="7" t="s">
        <v>117</v>
      </c>
      <c r="H16" s="16">
        <f t="shared" si="1"/>
        <v>-29102105.120000005</v>
      </c>
    </row>
    <row r="17" spans="1:8" x14ac:dyDescent="0.3">
      <c r="A17" s="7" t="s">
        <v>118</v>
      </c>
      <c r="B17" s="27">
        <v>-125572303.76306601</v>
      </c>
      <c r="D17" s="7" t="s">
        <v>118</v>
      </c>
      <c r="E17" s="40">
        <f>+Financials!I22</f>
        <v>-126932303.76306601</v>
      </c>
      <c r="G17" s="7" t="s">
        <v>118</v>
      </c>
      <c r="H17" s="40">
        <f t="shared" si="1"/>
        <v>-1360000</v>
      </c>
    </row>
    <row r="18" spans="1:8" x14ac:dyDescent="0.3">
      <c r="A18"/>
      <c r="B18" s="36">
        <v>-484086152.25856197</v>
      </c>
      <c r="D18"/>
      <c r="E18" s="36">
        <f>SUM(E12:E17)</f>
        <v>-340996522.2017653</v>
      </c>
      <c r="G18"/>
      <c r="H18" s="36">
        <f>SUM(H12:H17)</f>
        <v>143089630.05679667</v>
      </c>
    </row>
    <row r="19" spans="1:8" x14ac:dyDescent="0.3">
      <c r="A19" s="309"/>
      <c r="B19" s="310"/>
      <c r="D19" s="309"/>
      <c r="E19" s="310"/>
      <c r="G19" s="309"/>
      <c r="H19" s="310"/>
    </row>
    <row r="20" spans="1:8" ht="16.2" thickBot="1" x14ac:dyDescent="0.35">
      <c r="A20" s="37" t="s">
        <v>65</v>
      </c>
      <c r="B20" s="100">
        <v>-360078357.46085107</v>
      </c>
      <c r="D20" s="37" t="s">
        <v>65</v>
      </c>
      <c r="E20" s="100">
        <f>E18+E10</f>
        <v>-208776270.23235506</v>
      </c>
      <c r="G20" s="37" t="s">
        <v>65</v>
      </c>
      <c r="H20" s="100">
        <f>H18+H10</f>
        <v>151302087.22849604</v>
      </c>
    </row>
    <row r="21" spans="1:8" ht="16.2" thickTop="1" x14ac:dyDescent="0.3"/>
    <row r="23" spans="1:8" x14ac:dyDescent="0.3">
      <c r="A23" s="301" t="s">
        <v>121</v>
      </c>
      <c r="B23" s="301"/>
      <c r="D23" s="301" t="s">
        <v>121</v>
      </c>
      <c r="E23" s="301"/>
      <c r="G23" s="301" t="s">
        <v>121</v>
      </c>
      <c r="H23" s="97">
        <f>+B24</f>
        <v>37072</v>
      </c>
    </row>
    <row r="24" spans="1:8" x14ac:dyDescent="0.3">
      <c r="A24" s="92" t="s">
        <v>145</v>
      </c>
      <c r="B24" s="97">
        <v>37072</v>
      </c>
      <c r="D24" s="92" t="s">
        <v>145</v>
      </c>
      <c r="E24" s="97">
        <f>+Financials!M6</f>
        <v>37161</v>
      </c>
      <c r="G24" s="92" t="s">
        <v>542</v>
      </c>
      <c r="H24" s="97">
        <f>+E24</f>
        <v>37161</v>
      </c>
    </row>
    <row r="25" spans="1:8" ht="16.2" thickBot="1" x14ac:dyDescent="0.35">
      <c r="A25" s="302" t="s">
        <v>33</v>
      </c>
      <c r="B25" s="302"/>
      <c r="C25" s="7"/>
      <c r="D25" s="302" t="s">
        <v>33</v>
      </c>
      <c r="E25" s="302"/>
      <c r="G25" s="302" t="s">
        <v>33</v>
      </c>
      <c r="H25" s="302"/>
    </row>
    <row r="26" spans="1:8" x14ac:dyDescent="0.3">
      <c r="A26" s="7" t="s">
        <v>40</v>
      </c>
      <c r="B26" s="7">
        <v>43330161.081493869</v>
      </c>
      <c r="C26" s="7"/>
      <c r="D26" s="7" t="s">
        <v>40</v>
      </c>
      <c r="E26" s="7">
        <f>+Financials!M8</f>
        <v>43787960.218862563</v>
      </c>
      <c r="G26" s="7" t="s">
        <v>40</v>
      </c>
      <c r="H26" s="7">
        <f t="shared" ref="H26:H33" si="2">+E26-B26</f>
        <v>457799.13736869395</v>
      </c>
    </row>
    <row r="27" spans="1:8" x14ac:dyDescent="0.3">
      <c r="A27" s="7" t="s">
        <v>38</v>
      </c>
      <c r="B27" s="7">
        <v>50000000</v>
      </c>
      <c r="C27" s="7"/>
      <c r="D27" s="7" t="s">
        <v>38</v>
      </c>
      <c r="E27" s="7">
        <f>+Financials!M9</f>
        <v>50000000</v>
      </c>
      <c r="G27" s="7" t="s">
        <v>38</v>
      </c>
      <c r="H27" s="7">
        <f t="shared" si="2"/>
        <v>0</v>
      </c>
    </row>
    <row r="28" spans="1:8" x14ac:dyDescent="0.3">
      <c r="A28" s="7" t="s">
        <v>45</v>
      </c>
      <c r="B28" s="7">
        <v>865277.77777777775</v>
      </c>
      <c r="C28" s="7"/>
      <c r="D28" s="7" t="s">
        <v>45</v>
      </c>
      <c r="E28" s="7">
        <f>+Financials!M10</f>
        <v>1730555.5555555555</v>
      </c>
      <c r="G28" s="7" t="s">
        <v>45</v>
      </c>
      <c r="H28" s="7">
        <f t="shared" si="2"/>
        <v>865277.77777777775</v>
      </c>
    </row>
    <row r="29" spans="1:8" x14ac:dyDescent="0.3">
      <c r="A29" s="7" t="s">
        <v>41</v>
      </c>
      <c r="B29" s="7">
        <v>210230880.8931284</v>
      </c>
      <c r="C29" s="18"/>
      <c r="D29" s="7" t="s">
        <v>41</v>
      </c>
      <c r="E29" s="7">
        <f>+Financials!M11</f>
        <v>218032038.75521636</v>
      </c>
      <c r="G29" s="7" t="s">
        <v>41</v>
      </c>
      <c r="H29" s="7">
        <f t="shared" si="2"/>
        <v>7801157.862087965</v>
      </c>
    </row>
    <row r="30" spans="1:8" x14ac:dyDescent="0.3">
      <c r="A30" s="7" t="s">
        <v>543</v>
      </c>
      <c r="B30" s="14">
        <v>0</v>
      </c>
      <c r="D30" s="7" t="s">
        <v>543</v>
      </c>
      <c r="E30" s="7">
        <v>0</v>
      </c>
      <c r="G30" s="7" t="s">
        <v>543</v>
      </c>
      <c r="H30" s="7">
        <f t="shared" si="2"/>
        <v>0</v>
      </c>
    </row>
    <row r="31" spans="1:8" x14ac:dyDescent="0.3">
      <c r="A31" s="7" t="s">
        <v>544</v>
      </c>
      <c r="B31" s="7">
        <v>0</v>
      </c>
      <c r="C31" s="7"/>
      <c r="D31" s="7" t="s">
        <v>544</v>
      </c>
      <c r="E31" s="7">
        <v>0</v>
      </c>
      <c r="G31" s="7" t="s">
        <v>544</v>
      </c>
      <c r="H31" s="7">
        <f t="shared" si="2"/>
        <v>0</v>
      </c>
    </row>
    <row r="32" spans="1:8" x14ac:dyDescent="0.3">
      <c r="A32" s="7" t="s">
        <v>439</v>
      </c>
      <c r="B32" s="7">
        <v>242948167</v>
      </c>
      <c r="C32" s="7"/>
      <c r="D32" s="7" t="s">
        <v>439</v>
      </c>
      <c r="E32" s="7">
        <f>+Financials!M13</f>
        <v>424588097.5</v>
      </c>
      <c r="G32" s="7" t="s">
        <v>439</v>
      </c>
      <c r="H32" s="7">
        <f t="shared" si="2"/>
        <v>181639930.5</v>
      </c>
    </row>
    <row r="33" spans="1:8" x14ac:dyDescent="0.3">
      <c r="A33" s="7" t="s">
        <v>124</v>
      </c>
      <c r="B33" s="7">
        <v>0</v>
      </c>
      <c r="C33" s="7"/>
      <c r="D33" s="7" t="s">
        <v>124</v>
      </c>
      <c r="E33" s="7">
        <f>+Financials!M14</f>
        <v>0</v>
      </c>
      <c r="G33" s="7" t="s">
        <v>124</v>
      </c>
      <c r="H33" s="7">
        <f t="shared" si="2"/>
        <v>0</v>
      </c>
    </row>
    <row r="34" spans="1:8" ht="16.2" thickBot="1" x14ac:dyDescent="0.35">
      <c r="A34" s="90" t="s">
        <v>7</v>
      </c>
      <c r="B34" s="12">
        <v>547374486.75240004</v>
      </c>
      <c r="C34" s="20"/>
      <c r="D34" s="90" t="s">
        <v>7</v>
      </c>
      <c r="E34" s="12">
        <f>SUM(E26:E33)</f>
        <v>738138652.02963448</v>
      </c>
      <c r="G34" s="90" t="s">
        <v>7</v>
      </c>
      <c r="H34" s="12">
        <f>SUM(H26:H33)</f>
        <v>190764165.27723444</v>
      </c>
    </row>
    <row r="35" spans="1:8" ht="16.2" thickTop="1" x14ac:dyDescent="0.3"/>
    <row r="36" spans="1:8" ht="16.2" thickBot="1" x14ac:dyDescent="0.35">
      <c r="A36" s="302" t="s">
        <v>34</v>
      </c>
      <c r="B36" s="302"/>
      <c r="D36" s="302" t="s">
        <v>34</v>
      </c>
      <c r="E36" s="302"/>
      <c r="G36" s="302" t="s">
        <v>34</v>
      </c>
      <c r="H36" s="302"/>
    </row>
    <row r="37" spans="1:8" x14ac:dyDescent="0.3">
      <c r="A37" s="7" t="s">
        <v>109</v>
      </c>
      <c r="B37" s="7">
        <v>0</v>
      </c>
      <c r="D37" s="7" t="s">
        <v>109</v>
      </c>
      <c r="E37" s="7">
        <f>+Financials!P8</f>
        <v>0</v>
      </c>
      <c r="G37" s="7" t="s">
        <v>109</v>
      </c>
      <c r="H37" s="7">
        <f t="shared" ref="H37:H42" si="3">+E37-B37</f>
        <v>0</v>
      </c>
    </row>
    <row r="38" spans="1:8" x14ac:dyDescent="0.3">
      <c r="A38" s="7" t="s">
        <v>36</v>
      </c>
      <c r="B38" s="7">
        <v>0</v>
      </c>
      <c r="D38" s="7" t="s">
        <v>36</v>
      </c>
      <c r="E38" s="7">
        <f>+Financials!P9</f>
        <v>0</v>
      </c>
      <c r="G38" s="7" t="s">
        <v>36</v>
      </c>
      <c r="H38" s="7">
        <f t="shared" si="3"/>
        <v>0</v>
      </c>
    </row>
    <row r="39" spans="1:8" x14ac:dyDescent="0.3">
      <c r="A39" s="7" t="s">
        <v>119</v>
      </c>
      <c r="B39" s="7">
        <v>383495854.86999971</v>
      </c>
      <c r="D39" s="7" t="s">
        <v>119</v>
      </c>
      <c r="E39" s="7">
        <f>+Financials!P10</f>
        <v>412597959.98999971</v>
      </c>
      <c r="G39" s="7" t="s">
        <v>119</v>
      </c>
      <c r="H39" s="7">
        <f t="shared" si="3"/>
        <v>29102105.120000005</v>
      </c>
    </row>
    <row r="40" spans="1:8" x14ac:dyDescent="0.3">
      <c r="A40" s="7" t="s">
        <v>438</v>
      </c>
      <c r="B40" s="7">
        <v>0</v>
      </c>
      <c r="D40" s="7" t="s">
        <v>438</v>
      </c>
      <c r="E40" s="7">
        <f>+Financials!P11</f>
        <v>0</v>
      </c>
      <c r="G40" s="7" t="s">
        <v>438</v>
      </c>
      <c r="H40" s="7">
        <f t="shared" si="3"/>
        <v>0</v>
      </c>
    </row>
    <row r="41" spans="1:8" x14ac:dyDescent="0.3">
      <c r="A41" s="7" t="s">
        <v>39</v>
      </c>
      <c r="B41" s="7">
        <v>528955989.34325141</v>
      </c>
      <c r="D41" s="7" t="s">
        <v>39</v>
      </c>
      <c r="E41" s="7">
        <f>+Financials!P12</f>
        <v>539315962.27198982</v>
      </c>
      <c r="G41" s="7" t="s">
        <v>39</v>
      </c>
      <c r="H41" s="7">
        <f t="shared" si="3"/>
        <v>10359972.928738415</v>
      </c>
    </row>
    <row r="42" spans="1:8" x14ac:dyDescent="0.3">
      <c r="A42" s="7" t="s">
        <v>43</v>
      </c>
      <c r="B42" s="7">
        <v>0</v>
      </c>
      <c r="D42" s="7" t="s">
        <v>43</v>
      </c>
      <c r="E42" s="7">
        <f>+Financials!P13</f>
        <v>0</v>
      </c>
      <c r="G42" s="7" t="s">
        <v>43</v>
      </c>
      <c r="H42" s="7">
        <f t="shared" si="3"/>
        <v>0</v>
      </c>
    </row>
    <row r="43" spans="1:8" x14ac:dyDescent="0.3">
      <c r="A43" s="7" t="s">
        <v>4</v>
      </c>
      <c r="B43" s="7">
        <v>-365077357.46085107</v>
      </c>
      <c r="D43" s="7" t="s">
        <v>4</v>
      </c>
      <c r="E43" s="7">
        <f>+Financials!P14</f>
        <v>-213775270.23235512</v>
      </c>
      <c r="G43" s="7" t="s">
        <v>4</v>
      </c>
      <c r="H43" s="7">
        <f>+E43-B43</f>
        <v>151302087.22849596</v>
      </c>
    </row>
    <row r="44" spans="1:8" ht="16.2" thickBot="1" x14ac:dyDescent="0.35">
      <c r="A44" s="90" t="s">
        <v>7</v>
      </c>
      <c r="B44" s="12">
        <v>547374486.75240004</v>
      </c>
      <c r="D44" s="90" t="s">
        <v>7</v>
      </c>
      <c r="E44" s="12">
        <f>SUM(E37:E43)</f>
        <v>738138652.02963448</v>
      </c>
      <c r="G44" s="90" t="s">
        <v>7</v>
      </c>
      <c r="H44" s="12">
        <f>SUM(H37:H43)</f>
        <v>190764165.27723438</v>
      </c>
    </row>
    <row r="45" spans="1:8" ht="16.2" thickTop="1" x14ac:dyDescent="0.3"/>
  </sheetData>
  <mergeCells count="2">
    <mergeCell ref="A2:B2"/>
    <mergeCell ref="D2:E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44"/>
  <sheetViews>
    <sheetView showGridLines="0" topLeftCell="A110" zoomScaleNormal="100" workbookViewId="0">
      <selection activeCell="B110" sqref="B110"/>
    </sheetView>
  </sheetViews>
  <sheetFormatPr defaultRowHeight="15.6" x14ac:dyDescent="0.3"/>
  <cols>
    <col min="1" max="1" width="32.69921875" customWidth="1"/>
    <col min="2" max="2" width="12.59765625" bestFit="1" customWidth="1"/>
    <col min="3" max="3" width="1.69921875" bestFit="1" customWidth="1"/>
    <col min="4" max="4" width="21.3984375" bestFit="1" customWidth="1"/>
    <col min="5" max="5" width="10.5" bestFit="1" customWidth="1"/>
    <col min="7" max="7" width="10.5" customWidth="1"/>
  </cols>
  <sheetData>
    <row r="1" spans="1:4" ht="16.2" thickBot="1" x14ac:dyDescent="0.35">
      <c r="A1" s="341" t="s">
        <v>111</v>
      </c>
      <c r="B1" s="341"/>
    </row>
    <row r="3" spans="1:4" x14ac:dyDescent="0.3">
      <c r="A3" s="13" t="s">
        <v>123</v>
      </c>
      <c r="B3" s="14"/>
      <c r="C3" s="7"/>
    </row>
    <row r="4" spans="1:4" x14ac:dyDescent="0.3">
      <c r="A4" s="8" t="s">
        <v>87</v>
      </c>
      <c r="B4" s="16">
        <f>IF(Summary!C5&lt;'Cash-Int-Trans'!D4,0,37034148)</f>
        <v>37034148</v>
      </c>
      <c r="C4" s="7"/>
      <c r="D4" s="1">
        <v>36741</v>
      </c>
    </row>
    <row r="5" spans="1:4" x14ac:dyDescent="0.3">
      <c r="A5" s="8" t="s">
        <v>488</v>
      </c>
      <c r="B5" s="16">
        <f>IF(Summary!C5&lt;'Cash-Int-Trans'!D5,0,36066314-30637565.04)</f>
        <v>5428748.9600000009</v>
      </c>
      <c r="C5" s="7"/>
      <c r="D5" s="1">
        <v>36910</v>
      </c>
    </row>
    <row r="6" spans="1:4" x14ac:dyDescent="0.3">
      <c r="A6" s="8" t="s">
        <v>488</v>
      </c>
      <c r="B6" s="16">
        <f>IF(Summary!C5&lt;'Cash-Int-Trans'!D6,0,36066314-B5)</f>
        <v>30637565.039999999</v>
      </c>
      <c r="C6" s="7"/>
      <c r="D6" s="1">
        <v>37071</v>
      </c>
    </row>
    <row r="7" spans="1:4" ht="16.2" thickBot="1" x14ac:dyDescent="0.35">
      <c r="A7" s="7" t="s">
        <v>88</v>
      </c>
      <c r="B7" s="264">
        <f>SUM(B3:B6)</f>
        <v>73100462</v>
      </c>
      <c r="C7" s="29" t="s">
        <v>89</v>
      </c>
    </row>
    <row r="8" spans="1:4" ht="16.2" thickTop="1" x14ac:dyDescent="0.3">
      <c r="A8" s="7"/>
      <c r="B8" s="14"/>
      <c r="C8" s="7"/>
    </row>
    <row r="9" spans="1:4" x14ac:dyDescent="0.3">
      <c r="A9" s="7" t="s">
        <v>97</v>
      </c>
      <c r="B9" s="14">
        <f>IF(Summary!C5&lt;'Cash-Int-Trans'!D9,0,-Financials!E6+B4)</f>
        <v>-3965852</v>
      </c>
      <c r="C9" s="7"/>
      <c r="D9" s="1">
        <v>36741</v>
      </c>
    </row>
    <row r="10" spans="1:4" x14ac:dyDescent="0.3">
      <c r="A10" s="7" t="s">
        <v>425</v>
      </c>
      <c r="B10" s="14">
        <f>-B9</f>
        <v>3965852</v>
      </c>
      <c r="C10" s="7"/>
      <c r="D10" s="1">
        <f>+D9</f>
        <v>36741</v>
      </c>
    </row>
    <row r="11" spans="1:4" x14ac:dyDescent="0.3">
      <c r="A11" s="7"/>
      <c r="B11" s="7"/>
      <c r="C11" s="7"/>
    </row>
    <row r="12" spans="1:4" x14ac:dyDescent="0.3">
      <c r="A12" s="7" t="s">
        <v>421</v>
      </c>
      <c r="B12" s="14">
        <f>IF(Summary!C5&lt;'Cash-Int-Trans'!D12,0,36066314)</f>
        <v>36066314</v>
      </c>
      <c r="C12" s="7"/>
      <c r="D12" s="1">
        <v>36741</v>
      </c>
    </row>
    <row r="13" spans="1:4" x14ac:dyDescent="0.3">
      <c r="A13" s="7" t="s">
        <v>423</v>
      </c>
      <c r="B13" s="14">
        <f>-B12</f>
        <v>-36066314</v>
      </c>
      <c r="C13" s="7"/>
      <c r="D13" s="1">
        <f>+D12</f>
        <v>36741</v>
      </c>
    </row>
    <row r="14" spans="1:4" x14ac:dyDescent="0.3">
      <c r="A14" s="7"/>
      <c r="B14" s="7"/>
      <c r="C14" s="7"/>
    </row>
    <row r="15" spans="1:4" x14ac:dyDescent="0.3">
      <c r="A15" s="7" t="s">
        <v>98</v>
      </c>
      <c r="B15" s="14"/>
      <c r="C15" s="7"/>
    </row>
    <row r="16" spans="1:4" x14ac:dyDescent="0.3">
      <c r="A16" s="7" t="s">
        <v>426</v>
      </c>
      <c r="B16" s="14">
        <f>IF(Summary!C5&lt;'Cash-Int-Trans'!D16,0,-41000000)</f>
        <v>-41000000</v>
      </c>
      <c r="C16" s="7"/>
      <c r="D16" s="1">
        <v>36741</v>
      </c>
    </row>
    <row r="17" spans="1:7" x14ac:dyDescent="0.3">
      <c r="A17" s="7" t="s">
        <v>427</v>
      </c>
      <c r="B17" s="14">
        <f>IF(Summary!$C$5&lt;'Cash-Int-Trans'!D17,0,6000000)</f>
        <v>6000000</v>
      </c>
      <c r="C17" s="7"/>
      <c r="D17" s="1">
        <v>36741</v>
      </c>
    </row>
    <row r="18" spans="1:7" x14ac:dyDescent="0.3">
      <c r="A18" s="7"/>
      <c r="B18" s="14"/>
      <c r="C18" s="7"/>
      <c r="D18" s="1"/>
    </row>
    <row r="19" spans="1:7" x14ac:dyDescent="0.3">
      <c r="A19" s="7" t="s">
        <v>431</v>
      </c>
      <c r="B19" s="14">
        <f>IF(Summary!$C$5&lt;'Cash-Int-Trans'!D19,0,-Amort!D11)</f>
        <v>-1623611.1111111112</v>
      </c>
      <c r="C19" s="7"/>
      <c r="D19" s="1">
        <f>+Amort!A11</f>
        <v>36801</v>
      </c>
    </row>
    <row r="20" spans="1:7" x14ac:dyDescent="0.3">
      <c r="A20" s="7" t="s">
        <v>430</v>
      </c>
      <c r="B20" s="14">
        <f>-B19</f>
        <v>1623611.1111111112</v>
      </c>
      <c r="C20" s="7"/>
      <c r="D20" s="1">
        <f>+D19</f>
        <v>36801</v>
      </c>
    </row>
    <row r="21" spans="1:7" x14ac:dyDescent="0.3">
      <c r="A21" s="7"/>
      <c r="B21" s="14"/>
      <c r="C21" s="7"/>
    </row>
    <row r="22" spans="1:7" x14ac:dyDescent="0.3">
      <c r="A22" s="7" t="s">
        <v>431</v>
      </c>
      <c r="B22" s="14">
        <f>IF(Summary!$C$5&lt;'Cash-Int-Trans'!D22,0,-Amort!D12)</f>
        <v>-1769444.4444444445</v>
      </c>
      <c r="C22" s="7"/>
      <c r="D22" s="1">
        <f>+Amort!A12</f>
        <v>36983</v>
      </c>
    </row>
    <row r="23" spans="1:7" x14ac:dyDescent="0.3">
      <c r="A23" s="7" t="s">
        <v>430</v>
      </c>
      <c r="B23" s="14">
        <f>-B22</f>
        <v>1769444.4444444445</v>
      </c>
      <c r="C23" s="7"/>
      <c r="D23" s="1">
        <f>+D22</f>
        <v>36983</v>
      </c>
    </row>
    <row r="24" spans="1:7" ht="16.2" thickBot="1" x14ac:dyDescent="0.35">
      <c r="A24" s="341" t="s">
        <v>396</v>
      </c>
      <c r="B24" s="341"/>
      <c r="C24" s="303"/>
      <c r="D24" s="303"/>
      <c r="E24" s="303"/>
      <c r="F24" s="303"/>
      <c r="G24" s="62"/>
    </row>
    <row r="26" spans="1:7" x14ac:dyDescent="0.3">
      <c r="A26" t="s">
        <v>127</v>
      </c>
      <c r="B26" s="1">
        <f>+Summary!C5</f>
        <v>37161</v>
      </c>
    </row>
    <row r="27" spans="1:7" x14ac:dyDescent="0.3">
      <c r="A27" t="s">
        <v>397</v>
      </c>
      <c r="B27" s="1">
        <v>36634</v>
      </c>
      <c r="D27" s="4">
        <f>IF(B26&gt;(B27-1),30000000,0)</f>
        <v>30000000</v>
      </c>
    </row>
    <row r="28" spans="1:7" x14ac:dyDescent="0.3">
      <c r="A28" t="s">
        <v>398</v>
      </c>
      <c r="B28" s="1">
        <v>36741</v>
      </c>
      <c r="D28" s="4">
        <f>IF(B26&gt;(B28-1),6000000,0)</f>
        <v>6000000</v>
      </c>
    </row>
    <row r="29" spans="1:7" ht="17.399999999999999" x14ac:dyDescent="0.45">
      <c r="A29" t="s">
        <v>399</v>
      </c>
      <c r="B29" s="1">
        <f>+Summary!C5</f>
        <v>37161</v>
      </c>
      <c r="D29" s="215">
        <f>IF(B29&gt;B28,+(+B29-B28)/365*0.12*D28,0)</f>
        <v>828493.15068493143</v>
      </c>
    </row>
    <row r="30" spans="1:7" x14ac:dyDescent="0.3">
      <c r="A30" t="s">
        <v>400</v>
      </c>
      <c r="D30" s="5">
        <f>SUM(D27:D29)</f>
        <v>36828493.15068493</v>
      </c>
    </row>
    <row r="31" spans="1:7" x14ac:dyDescent="0.3">
      <c r="A31" s="7"/>
      <c r="B31" s="14"/>
      <c r="C31" s="7"/>
    </row>
    <row r="32" spans="1:7" ht="16.2" thickBot="1" x14ac:dyDescent="0.35">
      <c r="A32" s="341" t="s">
        <v>106</v>
      </c>
      <c r="B32" s="341"/>
    </row>
    <row r="34" spans="1:5" x14ac:dyDescent="0.3">
      <c r="A34" t="s">
        <v>27</v>
      </c>
      <c r="B34" s="7">
        <f>+Financials!B6</f>
        <v>71001000</v>
      </c>
      <c r="D34" s="1">
        <v>36634</v>
      </c>
    </row>
    <row r="36" spans="1:5" x14ac:dyDescent="0.3">
      <c r="A36" t="s">
        <v>107</v>
      </c>
      <c r="B36" s="7">
        <f>+Financials!I24</f>
        <v>-208776270.23235506</v>
      </c>
    </row>
    <row r="37" spans="1:5" x14ac:dyDescent="0.3">
      <c r="A37" t="s">
        <v>108</v>
      </c>
      <c r="B37" s="7">
        <f>-Financials!I15</f>
        <v>-94086394.703915954</v>
      </c>
    </row>
    <row r="38" spans="1:5" x14ac:dyDescent="0.3">
      <c r="A38" s="7" t="str">
        <f>+Financials!H21</f>
        <v>Unrealized Gains / (Losses)</v>
      </c>
      <c r="B38" s="7">
        <f>-Financials!I21-Financials!I19-Financials!I20</f>
        <v>214064218.43869931</v>
      </c>
    </row>
    <row r="40" spans="1:5" x14ac:dyDescent="0.3">
      <c r="A40" t="s">
        <v>110</v>
      </c>
    </row>
    <row r="41" spans="1:5" x14ac:dyDescent="0.3">
      <c r="A41" t="s">
        <v>112</v>
      </c>
      <c r="B41" s="7">
        <f>+Financials!B7-Financials!M9</f>
        <v>0</v>
      </c>
    </row>
    <row r="42" spans="1:5" x14ac:dyDescent="0.3">
      <c r="A42" t="s">
        <v>45</v>
      </c>
      <c r="B42" s="7">
        <f>0-Financials!M10</f>
        <v>-1730555.5555555555</v>
      </c>
    </row>
    <row r="43" spans="1:5" x14ac:dyDescent="0.3">
      <c r="A43" t="s">
        <v>113</v>
      </c>
      <c r="B43" s="7">
        <f>-Financials!E7+Financials!P12</f>
        <v>139315962.27198982</v>
      </c>
    </row>
    <row r="44" spans="1:5" x14ac:dyDescent="0.3">
      <c r="A44" t="s">
        <v>429</v>
      </c>
      <c r="B44" s="7">
        <f>-Financials!E6+Financials!P8+Financials!P9</f>
        <v>-41000000</v>
      </c>
      <c r="E44" s="7"/>
    </row>
    <row r="46" spans="1:5" x14ac:dyDescent="0.3">
      <c r="A46" t="s">
        <v>98</v>
      </c>
      <c r="B46" s="7">
        <f>+B16</f>
        <v>-41000000</v>
      </c>
    </row>
    <row r="47" spans="1:5" x14ac:dyDescent="0.3">
      <c r="A47" t="s">
        <v>122</v>
      </c>
      <c r="B47" s="7">
        <f>+B17</f>
        <v>6000000</v>
      </c>
    </row>
    <row r="49" spans="1:6" ht="16.2" thickBot="1" x14ac:dyDescent="0.35">
      <c r="A49" t="s">
        <v>29</v>
      </c>
      <c r="B49" s="12">
        <f>SUM(B34:B48)</f>
        <v>43787960.218862563</v>
      </c>
      <c r="D49" s="7">
        <f>+B34+B16+B17+B52+B20+B23</f>
        <v>43787960.218862571</v>
      </c>
      <c r="E49" s="7">
        <f>+B49-D49</f>
        <v>0</v>
      </c>
    </row>
    <row r="50" spans="1:6" ht="16.2" thickTop="1" x14ac:dyDescent="0.3"/>
    <row r="51" spans="1:6" ht="16.2" thickBot="1" x14ac:dyDescent="0.35">
      <c r="A51" s="341" t="s">
        <v>157</v>
      </c>
      <c r="B51" s="341"/>
      <c r="C51" s="303"/>
      <c r="D51" s="303"/>
      <c r="E51" s="303"/>
      <c r="F51" s="303"/>
    </row>
    <row r="52" spans="1:6" x14ac:dyDescent="0.3">
      <c r="A52" s="108" t="s">
        <v>116</v>
      </c>
      <c r="B52" s="109">
        <f>+B57+B62+B67+B72+B77+B82+B92+B97+B102+B107+B112</f>
        <v>4393904.6633070139</v>
      </c>
    </row>
    <row r="53" spans="1:6" x14ac:dyDescent="0.3">
      <c r="A53" s="51"/>
    </row>
    <row r="54" spans="1:6" x14ac:dyDescent="0.3">
      <c r="A54" t="s">
        <v>1</v>
      </c>
      <c r="B54" s="1">
        <v>36634</v>
      </c>
      <c r="D54" t="s">
        <v>534</v>
      </c>
      <c r="E54" s="1">
        <v>36725</v>
      </c>
    </row>
    <row r="55" spans="1:6" x14ac:dyDescent="0.3">
      <c r="A55" t="s">
        <v>27</v>
      </c>
      <c r="B55" s="7">
        <v>71001000</v>
      </c>
      <c r="D55" t="s">
        <v>81</v>
      </c>
      <c r="E55" s="3">
        <f>+B56-B54</f>
        <v>91</v>
      </c>
    </row>
    <row r="56" spans="1:6" x14ac:dyDescent="0.3">
      <c r="A56" t="s">
        <v>1</v>
      </c>
      <c r="B56" s="1">
        <f>IF(Summary!$C$5&lt;'Cash-Int-Trans'!B54,+'Cash-Int-Trans'!B54,IF(Summary!$C$5&gt;'Cash-Int-Trans'!E54,'Cash-Int-Trans'!E54,Summary!$C$5))</f>
        <v>36725</v>
      </c>
      <c r="D56" t="s">
        <v>535</v>
      </c>
      <c r="E56" s="304">
        <v>6.2812499999999993E-2</v>
      </c>
    </row>
    <row r="57" spans="1:6" x14ac:dyDescent="0.3">
      <c r="A57" t="s">
        <v>28</v>
      </c>
      <c r="B57" s="52">
        <f>+B55*(E56+0.0045)/360*E55</f>
        <v>1208089.4109375</v>
      </c>
    </row>
    <row r="59" spans="1:6" x14ac:dyDescent="0.3">
      <c r="A59" t="s">
        <v>1</v>
      </c>
      <c r="B59" s="1">
        <f>+B56</f>
        <v>36725</v>
      </c>
      <c r="D59" t="s">
        <v>534</v>
      </c>
      <c r="E59" s="1">
        <v>36742</v>
      </c>
    </row>
    <row r="60" spans="1:6" x14ac:dyDescent="0.3">
      <c r="A60" t="s">
        <v>27</v>
      </c>
      <c r="B60" s="7">
        <f>+B55+B57</f>
        <v>72209089.410937503</v>
      </c>
      <c r="D60" t="s">
        <v>81</v>
      </c>
      <c r="E60" s="3">
        <f>+B61-B59</f>
        <v>17</v>
      </c>
    </row>
    <row r="61" spans="1:6" x14ac:dyDescent="0.3">
      <c r="A61" t="s">
        <v>1</v>
      </c>
      <c r="B61" s="1">
        <f>IF(Summary!$C$5&lt;'Cash-Int-Trans'!B59,+'Cash-Int-Trans'!B59,IF(Summary!$C$5&gt;'Cash-Int-Trans'!E59,'Cash-Int-Trans'!E59,Summary!$C$5))</f>
        <v>36742</v>
      </c>
      <c r="D61" t="s">
        <v>535</v>
      </c>
      <c r="E61" s="304">
        <v>6.6275000000000001E-2</v>
      </c>
    </row>
    <row r="62" spans="1:6" x14ac:dyDescent="0.3">
      <c r="A62" t="s">
        <v>28</v>
      </c>
      <c r="B62" s="52">
        <f>+B60*(E61+0.0045)/360*E60</f>
        <v>241333.80875556872</v>
      </c>
    </row>
    <row r="64" spans="1:6" x14ac:dyDescent="0.3">
      <c r="A64" t="s">
        <v>1</v>
      </c>
      <c r="B64" s="1">
        <f>+B61</f>
        <v>36742</v>
      </c>
      <c r="D64" t="s">
        <v>534</v>
      </c>
      <c r="E64" s="1">
        <v>36746</v>
      </c>
    </row>
    <row r="65" spans="1:5" x14ac:dyDescent="0.3">
      <c r="A65" t="s">
        <v>27</v>
      </c>
      <c r="B65" s="7">
        <f>+B60+B16+B62</f>
        <v>31450423.219693072</v>
      </c>
      <c r="D65" t="s">
        <v>81</v>
      </c>
      <c r="E65" s="3">
        <f>+B66-B64</f>
        <v>4</v>
      </c>
    </row>
    <row r="66" spans="1:5" x14ac:dyDescent="0.3">
      <c r="A66" t="s">
        <v>1</v>
      </c>
      <c r="B66" s="1">
        <f>IF(Summary!$C$5&lt;'Cash-Int-Trans'!B64,+'Cash-Int-Trans'!B64,IF(Summary!$C$5&gt;'Cash-Int-Trans'!E64,'Cash-Int-Trans'!E64,Summary!$C$5))</f>
        <v>36746</v>
      </c>
      <c r="D66" t="s">
        <v>535</v>
      </c>
      <c r="E66" s="304">
        <v>6.6199999999999995E-2</v>
      </c>
    </row>
    <row r="67" spans="1:5" x14ac:dyDescent="0.3">
      <c r="A67" t="s">
        <v>28</v>
      </c>
      <c r="B67" s="52">
        <f>+B65*(E66+0.0045)/360*E65</f>
        <v>24706.054684803334</v>
      </c>
    </row>
    <row r="68" spans="1:5" x14ac:dyDescent="0.3">
      <c r="B68" s="52"/>
    </row>
    <row r="69" spans="1:5" x14ac:dyDescent="0.3">
      <c r="A69" t="s">
        <v>1</v>
      </c>
      <c r="B69" s="1">
        <f>+B66</f>
        <v>36746</v>
      </c>
      <c r="D69" t="s">
        <v>534</v>
      </c>
      <c r="E69" s="1">
        <v>36773</v>
      </c>
    </row>
    <row r="70" spans="1:5" x14ac:dyDescent="0.3">
      <c r="A70" t="s">
        <v>27</v>
      </c>
      <c r="B70" s="7">
        <f>+B65+B67-B16</f>
        <v>72475129.274377882</v>
      </c>
      <c r="D70" t="s">
        <v>81</v>
      </c>
      <c r="E70" s="3">
        <f>+B71-B69</f>
        <v>27</v>
      </c>
    </row>
    <row r="71" spans="1:5" x14ac:dyDescent="0.3">
      <c r="A71" t="s">
        <v>1</v>
      </c>
      <c r="B71" s="1">
        <f>IF(Summary!$C$5&lt;'Cash-Int-Trans'!B69,+'Cash-Int-Trans'!B69,IF(Summary!$C$5&gt;'Cash-Int-Trans'!E69,'Cash-Int-Trans'!E69,Summary!$C$5))</f>
        <v>36773</v>
      </c>
      <c r="D71" t="s">
        <v>535</v>
      </c>
      <c r="E71" s="304">
        <v>6.6199999999999995E-2</v>
      </c>
    </row>
    <row r="72" spans="1:5" x14ac:dyDescent="0.3">
      <c r="A72" t="s">
        <v>28</v>
      </c>
      <c r="B72" s="52">
        <f>+B70*(E71+0.0045)/360*E70</f>
        <v>384299.37297738873</v>
      </c>
    </row>
    <row r="73" spans="1:5" x14ac:dyDescent="0.3">
      <c r="B73" s="52"/>
    </row>
    <row r="74" spans="1:5" x14ac:dyDescent="0.3">
      <c r="A74" t="s">
        <v>1</v>
      </c>
      <c r="B74" s="1">
        <f>+B71</f>
        <v>36773</v>
      </c>
      <c r="D74" t="s">
        <v>534</v>
      </c>
      <c r="E74" s="1">
        <v>36776</v>
      </c>
    </row>
    <row r="75" spans="1:5" x14ac:dyDescent="0.3">
      <c r="A75" t="s">
        <v>27</v>
      </c>
      <c r="B75" s="7">
        <f>+B70+B72</f>
        <v>72859428.647355273</v>
      </c>
      <c r="D75" t="s">
        <v>81</v>
      </c>
      <c r="E75" s="3">
        <f>+B76-B74</f>
        <v>3</v>
      </c>
    </row>
    <row r="76" spans="1:5" x14ac:dyDescent="0.3">
      <c r="A76" t="s">
        <v>1</v>
      </c>
      <c r="B76" s="1">
        <f>IF(Summary!$C$5&lt;'Cash-Int-Trans'!B74,+'Cash-Int-Trans'!B74,IF(Summary!$C$5&gt;'Cash-Int-Trans'!E74,'Cash-Int-Trans'!E74,Summary!$C$5))</f>
        <v>36776</v>
      </c>
      <c r="D76" t="s">
        <v>535</v>
      </c>
      <c r="E76" s="304">
        <v>6.6299999999999998E-2</v>
      </c>
    </row>
    <row r="77" spans="1:5" x14ac:dyDescent="0.3">
      <c r="A77" t="s">
        <v>28</v>
      </c>
      <c r="B77" s="52">
        <f>+B75*(E76+0.0045)/360*E75</f>
        <v>42987.062901939615</v>
      </c>
    </row>
    <row r="78" spans="1:5" x14ac:dyDescent="0.3">
      <c r="B78" s="52"/>
    </row>
    <row r="79" spans="1:5" x14ac:dyDescent="0.3">
      <c r="A79" t="s">
        <v>1</v>
      </c>
      <c r="B79" s="1">
        <f>+B76</f>
        <v>36776</v>
      </c>
      <c r="D79" t="s">
        <v>534</v>
      </c>
      <c r="E79" s="1">
        <v>36788</v>
      </c>
    </row>
    <row r="80" spans="1:5" x14ac:dyDescent="0.3">
      <c r="A80" t="s">
        <v>27</v>
      </c>
      <c r="B80" s="7">
        <f>+B75+B77+B16</f>
        <v>31902415.710257217</v>
      </c>
      <c r="D80" t="s">
        <v>81</v>
      </c>
      <c r="E80" s="3">
        <f>+B81-B79</f>
        <v>12</v>
      </c>
    </row>
    <row r="81" spans="1:5" x14ac:dyDescent="0.3">
      <c r="A81" t="s">
        <v>1</v>
      </c>
      <c r="B81" s="1">
        <f>IF(Summary!$C$5&lt;'Cash-Int-Trans'!B79,+'Cash-Int-Trans'!B79,IF(Summary!$C$5&gt;'Cash-Int-Trans'!E79,'Cash-Int-Trans'!E79,Summary!$C$5))</f>
        <v>36788</v>
      </c>
      <c r="D81" t="s">
        <v>535</v>
      </c>
      <c r="E81" s="304">
        <v>6.6531300000000002E-2</v>
      </c>
    </row>
    <row r="82" spans="1:5" x14ac:dyDescent="0.3">
      <c r="A82" t="s">
        <v>28</v>
      </c>
      <c r="B82" s="52">
        <f>+B80*(E81+0.0045)/360*E80</f>
        <v>75535.66870133311</v>
      </c>
    </row>
    <row r="83" spans="1:5" x14ac:dyDescent="0.3">
      <c r="B83" s="52"/>
    </row>
    <row r="84" spans="1:5" x14ac:dyDescent="0.3">
      <c r="A84" t="s">
        <v>1</v>
      </c>
      <c r="B84" s="1">
        <f>+B81</f>
        <v>36788</v>
      </c>
      <c r="D84" t="s">
        <v>534</v>
      </c>
      <c r="E84" s="1">
        <v>36801</v>
      </c>
    </row>
    <row r="85" spans="1:5" x14ac:dyDescent="0.3">
      <c r="A85" t="s">
        <v>27</v>
      </c>
      <c r="B85" s="7">
        <f>+B80+B17</f>
        <v>37902415.710257217</v>
      </c>
      <c r="D85" t="s">
        <v>81</v>
      </c>
      <c r="E85" s="3">
        <f>+B86-B84</f>
        <v>13</v>
      </c>
    </row>
    <row r="86" spans="1:5" x14ac:dyDescent="0.3">
      <c r="A86" t="s">
        <v>1</v>
      </c>
      <c r="B86" s="1">
        <f>IF(Summary!$C$5&lt;'Cash-Int-Trans'!B84,+'Cash-Int-Trans'!B84,IF(Summary!$C$5&gt;'Cash-Int-Trans'!E84,'Cash-Int-Trans'!E84,Summary!$C$5))</f>
        <v>36801</v>
      </c>
      <c r="D86" t="s">
        <v>535</v>
      </c>
      <c r="E86" s="304">
        <v>6.6531300000000002E-2</v>
      </c>
    </row>
    <row r="87" spans="1:5" x14ac:dyDescent="0.3">
      <c r="A87" t="s">
        <v>28</v>
      </c>
      <c r="B87" s="52">
        <f>+B85*(E86+0.0045)/360*E85</f>
        <v>97220.422759777561</v>
      </c>
    </row>
    <row r="88" spans="1:5" x14ac:dyDescent="0.3">
      <c r="B88" s="52"/>
    </row>
    <row r="89" spans="1:5" x14ac:dyDescent="0.3">
      <c r="A89" t="s">
        <v>1</v>
      </c>
      <c r="B89" s="1">
        <f>+B86</f>
        <v>36801</v>
      </c>
      <c r="D89" t="s">
        <v>534</v>
      </c>
      <c r="E89" s="1">
        <v>36867</v>
      </c>
    </row>
    <row r="90" spans="1:5" x14ac:dyDescent="0.3">
      <c r="A90" t="s">
        <v>27</v>
      </c>
      <c r="B90" s="7">
        <f>+B85+B20</f>
        <v>39526026.821368329</v>
      </c>
      <c r="D90" t="s">
        <v>81</v>
      </c>
      <c r="E90" s="3">
        <f>+B91-B89</f>
        <v>66</v>
      </c>
    </row>
    <row r="91" spans="1:5" x14ac:dyDescent="0.3">
      <c r="A91" t="s">
        <v>1</v>
      </c>
      <c r="B91" s="1">
        <f>IF(Summary!$C$5&lt;'Cash-Int-Trans'!B89,+'Cash-Int-Trans'!B89,IF(Summary!$C$5&gt;'Cash-Int-Trans'!E89,'Cash-Int-Trans'!E89,Summary!$C$5))</f>
        <v>36867</v>
      </c>
      <c r="D91" t="s">
        <v>535</v>
      </c>
      <c r="E91" s="304">
        <v>6.6531300000000002E-2</v>
      </c>
    </row>
    <row r="92" spans="1:5" x14ac:dyDescent="0.3">
      <c r="A92" t="s">
        <v>28</v>
      </c>
      <c r="B92" s="52">
        <f>+B90*(E91+0.0045)/360*E90</f>
        <v>514723.9293087211</v>
      </c>
    </row>
    <row r="93" spans="1:5" x14ac:dyDescent="0.3">
      <c r="B93" s="52"/>
    </row>
    <row r="94" spans="1:5" x14ac:dyDescent="0.3">
      <c r="A94" t="s">
        <v>1</v>
      </c>
      <c r="B94" s="1">
        <f>+B91</f>
        <v>36867</v>
      </c>
      <c r="D94" t="s">
        <v>534</v>
      </c>
      <c r="E94" s="1">
        <v>36957</v>
      </c>
    </row>
    <row r="95" spans="1:5" x14ac:dyDescent="0.3">
      <c r="A95" t="s">
        <v>27</v>
      </c>
      <c r="B95" s="7">
        <f>+B90+B92+B87+B82</f>
        <v>40213506.842138164</v>
      </c>
      <c r="D95" t="s">
        <v>81</v>
      </c>
      <c r="E95" s="3">
        <f>+B96-B94</f>
        <v>90</v>
      </c>
    </row>
    <row r="96" spans="1:5" x14ac:dyDescent="0.3">
      <c r="A96" t="s">
        <v>1</v>
      </c>
      <c r="B96" s="1">
        <f>IF(Summary!$C$5&lt;'Cash-Int-Trans'!B94,+'Cash-Int-Trans'!B94,IF(Summary!$C$5&gt;'Cash-Int-Trans'!E94,'Cash-Int-Trans'!E94,Summary!$C$5))</f>
        <v>36957</v>
      </c>
      <c r="D96" t="s">
        <v>535</v>
      </c>
      <c r="E96" s="304">
        <v>6.6775000000000001E-2</v>
      </c>
    </row>
    <row r="97" spans="1:5" x14ac:dyDescent="0.3">
      <c r="A97" t="s">
        <v>28</v>
      </c>
      <c r="B97" s="52">
        <f>+B95*(E96+0.0045)/360*E95</f>
        <v>716554.4250433495</v>
      </c>
    </row>
    <row r="98" spans="1:5" x14ac:dyDescent="0.3">
      <c r="B98" s="52"/>
    </row>
    <row r="99" spans="1:5" x14ac:dyDescent="0.3">
      <c r="A99" t="s">
        <v>1</v>
      </c>
      <c r="B99" s="1">
        <f>+B96</f>
        <v>36957</v>
      </c>
      <c r="D99" t="s">
        <v>534</v>
      </c>
      <c r="E99" s="1">
        <v>36983</v>
      </c>
    </row>
    <row r="100" spans="1:5" x14ac:dyDescent="0.3">
      <c r="A100" t="s">
        <v>27</v>
      </c>
      <c r="B100" s="7">
        <f>+B95+B97</f>
        <v>40930061.267181516</v>
      </c>
      <c r="D100" t="s">
        <v>81</v>
      </c>
      <c r="E100" s="3">
        <f>+B101-B99</f>
        <v>26</v>
      </c>
    </row>
    <row r="101" spans="1:5" x14ac:dyDescent="0.3">
      <c r="A101" t="s">
        <v>1</v>
      </c>
      <c r="B101" s="1">
        <f>IF(Summary!$C$5&lt;'Cash-Int-Trans'!B99,+'Cash-Int-Trans'!B99,IF(Summary!$C$5&gt;'Cash-Int-Trans'!E99,'Cash-Int-Trans'!E99,Summary!$C$5))</f>
        <v>36983</v>
      </c>
      <c r="D101" t="s">
        <v>535</v>
      </c>
      <c r="E101" s="304">
        <v>5.0799999999999998E-2</v>
      </c>
    </row>
    <row r="102" spans="1:5" x14ac:dyDescent="0.3">
      <c r="A102" t="s">
        <v>28</v>
      </c>
      <c r="B102" s="52">
        <f>+B100*(E101+0.0045)/360*E100</f>
        <v>163470.11691653772</v>
      </c>
    </row>
    <row r="103" spans="1:5" x14ac:dyDescent="0.3">
      <c r="B103" s="52"/>
    </row>
    <row r="104" spans="1:5" x14ac:dyDescent="0.3">
      <c r="A104" t="s">
        <v>1</v>
      </c>
      <c r="B104" s="1">
        <f>+B101</f>
        <v>36983</v>
      </c>
      <c r="D104" t="s">
        <v>534</v>
      </c>
      <c r="E104" s="1">
        <v>37074</v>
      </c>
    </row>
    <row r="105" spans="1:5" x14ac:dyDescent="0.3">
      <c r="A105" t="s">
        <v>27</v>
      </c>
      <c r="B105" s="7">
        <f>+B100+B102+B23</f>
        <v>42862975.828542501</v>
      </c>
      <c r="D105" t="s">
        <v>81</v>
      </c>
      <c r="E105" s="3">
        <f>+B106-B104</f>
        <v>91</v>
      </c>
    </row>
    <row r="106" spans="1:5" x14ac:dyDescent="0.3">
      <c r="A106" t="s">
        <v>1</v>
      </c>
      <c r="B106" s="1">
        <f>IF(Summary!$C$5&lt;'Cash-Int-Trans'!B104,+'Cash-Int-Trans'!B104,IF(Summary!$C$5&gt;'Cash-Int-Trans'!E104,'Cash-Int-Trans'!E104,Summary!$C$5))</f>
        <v>37074</v>
      </c>
      <c r="D106" t="s">
        <v>535</v>
      </c>
      <c r="E106" s="304">
        <v>4.87625E-2</v>
      </c>
    </row>
    <row r="107" spans="1:5" x14ac:dyDescent="0.3">
      <c r="A107" t="s">
        <v>28</v>
      </c>
      <c r="B107" s="52">
        <f>+B105*(E106+0.0045)/360*E105</f>
        <v>577088.94932268001</v>
      </c>
      <c r="D107" s="52"/>
    </row>
    <row r="108" spans="1:5" x14ac:dyDescent="0.3">
      <c r="B108" s="52"/>
    </row>
    <row r="109" spans="1:5" x14ac:dyDescent="0.3">
      <c r="A109" t="s">
        <v>1</v>
      </c>
      <c r="B109" s="1">
        <f>+B106</f>
        <v>37074</v>
      </c>
      <c r="D109" t="s">
        <v>534</v>
      </c>
      <c r="E109" s="1">
        <v>38460</v>
      </c>
    </row>
    <row r="110" spans="1:5" x14ac:dyDescent="0.3">
      <c r="A110" t="s">
        <v>27</v>
      </c>
      <c r="B110" s="7">
        <f>+B105+B107</f>
        <v>43440064.777865179</v>
      </c>
      <c r="D110" t="s">
        <v>81</v>
      </c>
      <c r="E110" s="3">
        <f>+B111-B109</f>
        <v>87</v>
      </c>
    </row>
    <row r="111" spans="1:5" x14ac:dyDescent="0.3">
      <c r="A111" t="s">
        <v>1</v>
      </c>
      <c r="B111" s="1">
        <f>IF(Summary!$C$5&lt;'Cash-Int-Trans'!B109,+'Cash-Int-Trans'!B109,IF(Summary!$C$5&gt;'Cash-Int-Trans'!E109,'Cash-Int-Trans'!E109,Summary!$C$5))</f>
        <v>37161</v>
      </c>
      <c r="D111" t="s">
        <v>535</v>
      </c>
      <c r="E111" s="304">
        <v>3.7900000000000003E-2</v>
      </c>
    </row>
    <row r="112" spans="1:5" x14ac:dyDescent="0.3">
      <c r="A112" t="s">
        <v>28</v>
      </c>
      <c r="B112" s="52">
        <f>+B110*(E111+0.0045)/360*E110</f>
        <v>445115.86375719192</v>
      </c>
    </row>
    <row r="113" spans="1:6" x14ac:dyDescent="0.3">
      <c r="B113" s="52"/>
    </row>
    <row r="116" spans="1:6" ht="16.2" thickBot="1" x14ac:dyDescent="0.35">
      <c r="A116" s="341" t="s">
        <v>189</v>
      </c>
      <c r="B116" s="341"/>
      <c r="C116" s="341"/>
      <c r="D116" s="341"/>
      <c r="E116" s="341"/>
      <c r="F116" s="341"/>
    </row>
    <row r="117" spans="1:6" x14ac:dyDescent="0.3">
      <c r="A117" s="108" t="s">
        <v>186</v>
      </c>
      <c r="B117" s="109">
        <f>+B119+E124+E128+E132+E136+E140+E144+E148+E152+E156+E160+E164+E168+E172+E176+E180+E184+E188+E192+E196+E200+E204+E208+E212+E216+E220+E224+E228+E232+E236+E240+E244</f>
        <v>44484120.508923821</v>
      </c>
    </row>
    <row r="118" spans="1:6" x14ac:dyDescent="0.3">
      <c r="A118" s="51"/>
      <c r="D118" s="295" t="s">
        <v>182</v>
      </c>
    </row>
    <row r="119" spans="1:6" x14ac:dyDescent="0.3">
      <c r="A119" t="s">
        <v>190</v>
      </c>
      <c r="B119" s="3">
        <f>+Amort!B61</f>
        <v>42682838.263563365</v>
      </c>
      <c r="D119" s="137">
        <f>+B117-B119-Amort!E65-Amort!E67-Amort!E80-Amort!E102</f>
        <v>-1.0943040251731873E-8</v>
      </c>
      <c r="E119" s="339"/>
      <c r="F119" s="340"/>
    </row>
    <row r="120" spans="1:6" x14ac:dyDescent="0.3">
      <c r="B120" s="3"/>
      <c r="E120" s="213"/>
      <c r="F120" s="214"/>
    </row>
    <row r="121" spans="1:6" x14ac:dyDescent="0.3">
      <c r="A121" t="s">
        <v>393</v>
      </c>
      <c r="B121" s="7"/>
      <c r="E121" s="47"/>
      <c r="F121" s="48"/>
    </row>
    <row r="122" spans="1:6" x14ac:dyDescent="0.3">
      <c r="A122" t="s">
        <v>191</v>
      </c>
      <c r="B122" s="1">
        <v>36741</v>
      </c>
      <c r="D122" t="s">
        <v>1</v>
      </c>
      <c r="E122" s="1">
        <f>IF(Summary!C5&gt;Amort!A43,Amort!A43,Summary!C5)</f>
        <v>36801</v>
      </c>
      <c r="F122" s="48"/>
    </row>
    <row r="123" spans="1:6" x14ac:dyDescent="0.3">
      <c r="A123" t="s">
        <v>192</v>
      </c>
      <c r="B123" s="3">
        <f>+B10</f>
        <v>3965852</v>
      </c>
      <c r="D123" t="s">
        <v>81</v>
      </c>
      <c r="E123" s="3">
        <f>IF(E122&gt;B122,+E122-B122,0)</f>
        <v>60</v>
      </c>
      <c r="F123" s="48"/>
    </row>
    <row r="124" spans="1:6" x14ac:dyDescent="0.3">
      <c r="A124" s="7" t="str">
        <f>+A9</f>
        <v>Cash Settlement on Put</v>
      </c>
      <c r="B124" s="1">
        <v>36741</v>
      </c>
      <c r="D124" t="s">
        <v>392</v>
      </c>
      <c r="E124" s="52">
        <f>+B123*0.07/360*E123</f>
        <v>46268.273333333338</v>
      </c>
    </row>
    <row r="125" spans="1:6" x14ac:dyDescent="0.3">
      <c r="A125" s="7"/>
      <c r="E125" s="52"/>
    </row>
    <row r="126" spans="1:6" x14ac:dyDescent="0.3">
      <c r="A126" t="s">
        <v>191</v>
      </c>
      <c r="B126" s="1">
        <f>+D13</f>
        <v>36741</v>
      </c>
      <c r="D126" t="s">
        <v>1</v>
      </c>
      <c r="E126" s="1">
        <f>IF(Summary!C5&gt;Amort!A43,Amort!A43,Summary!C5)</f>
        <v>36801</v>
      </c>
    </row>
    <row r="127" spans="1:6" x14ac:dyDescent="0.3">
      <c r="A127" t="s">
        <v>192</v>
      </c>
      <c r="B127" s="3">
        <f>+B13</f>
        <v>-36066314</v>
      </c>
      <c r="D127" t="s">
        <v>81</v>
      </c>
      <c r="E127" s="3">
        <f>IF(E126&gt;B126,+E126-B126,0)</f>
        <v>60</v>
      </c>
    </row>
    <row r="128" spans="1:6" x14ac:dyDescent="0.3">
      <c r="A128" s="7" t="str">
        <f>+A12</f>
        <v>Merlin Credit Derivative Put Premium</v>
      </c>
      <c r="B128" s="1">
        <f>+B126</f>
        <v>36741</v>
      </c>
      <c r="D128" t="s">
        <v>392</v>
      </c>
      <c r="E128" s="52">
        <f>+B127*0.07/360*E127</f>
        <v>-420773.66333333339</v>
      </c>
    </row>
    <row r="129" spans="1:5" x14ac:dyDescent="0.3">
      <c r="A129" s="7"/>
      <c r="E129" s="52"/>
    </row>
    <row r="130" spans="1:5" x14ac:dyDescent="0.3">
      <c r="A130" t="s">
        <v>191</v>
      </c>
      <c r="B130" s="1">
        <f>+B132</f>
        <v>36831</v>
      </c>
      <c r="D130" t="s">
        <v>1</v>
      </c>
      <c r="E130" s="1">
        <f>IF(Summary!$C$5&gt;Amort!$A$44,Amort!$A$44,Summary!$C$5)</f>
        <v>36983</v>
      </c>
    </row>
    <row r="131" spans="1:5" x14ac:dyDescent="0.3">
      <c r="A131" t="s">
        <v>192</v>
      </c>
      <c r="B131" s="3">
        <f>-'Daily Position'!Q38</f>
        <v>-65511</v>
      </c>
      <c r="D131" t="s">
        <v>81</v>
      </c>
      <c r="E131" s="3">
        <f>IF(E130&gt;B130,+E130-B130,0)</f>
        <v>152</v>
      </c>
    </row>
    <row r="132" spans="1:5" x14ac:dyDescent="0.3">
      <c r="A132" t="s">
        <v>490</v>
      </c>
      <c r="B132" s="1">
        <f>+'Daily Position'!J38</f>
        <v>36831</v>
      </c>
      <c r="D132" t="s">
        <v>392</v>
      </c>
      <c r="E132" s="52">
        <f>+B131*0.07/360*E131</f>
        <v>-1936.2140000000002</v>
      </c>
    </row>
    <row r="133" spans="1:5" x14ac:dyDescent="0.3">
      <c r="A133" s="7"/>
      <c r="E133" s="52"/>
    </row>
    <row r="134" spans="1:5" x14ac:dyDescent="0.3">
      <c r="A134" t="s">
        <v>191</v>
      </c>
      <c r="B134" s="1">
        <v>36844</v>
      </c>
      <c r="D134" t="s">
        <v>1</v>
      </c>
      <c r="E134" s="1">
        <f>IF(Summary!$C$5&gt;Amort!$A$44,Amort!$A$44,Summary!$C$5)</f>
        <v>36983</v>
      </c>
    </row>
    <row r="135" spans="1:5" x14ac:dyDescent="0.3">
      <c r="A135" t="s">
        <v>192</v>
      </c>
      <c r="B135" s="3">
        <f>-(+'Daily Position'!Q28+'Daily Position'!Q70)</f>
        <v>-299117.99349999952</v>
      </c>
      <c r="D135" t="s">
        <v>81</v>
      </c>
      <c r="E135" s="3">
        <f>IF(E134&gt;B134,+E134-B134,0)</f>
        <v>139</v>
      </c>
    </row>
    <row r="136" spans="1:5" x14ac:dyDescent="0.3">
      <c r="A136" t="s">
        <v>469</v>
      </c>
      <c r="B136" s="1">
        <f>+'Daily Position'!J28</f>
        <v>36839</v>
      </c>
      <c r="D136" t="s">
        <v>392</v>
      </c>
      <c r="E136" s="52">
        <f>+B135*0.07/360*E135</f>
        <v>-8084.4946576527655</v>
      </c>
    </row>
    <row r="137" spans="1:5" x14ac:dyDescent="0.3">
      <c r="B137" s="1"/>
      <c r="E137" s="52"/>
    </row>
    <row r="138" spans="1:5" x14ac:dyDescent="0.3">
      <c r="A138" t="s">
        <v>191</v>
      </c>
      <c r="B138" s="1">
        <v>36873</v>
      </c>
      <c r="D138" t="s">
        <v>1</v>
      </c>
      <c r="E138" s="1">
        <f>IF(Summary!$C$5&gt;Amort!$A$44,Amort!$A$44,Summary!$C$5)</f>
        <v>36983</v>
      </c>
    </row>
    <row r="139" spans="1:5" x14ac:dyDescent="0.3">
      <c r="A139" t="s">
        <v>192</v>
      </c>
      <c r="B139" s="3">
        <f>-(+'Daily Position'!Q31+'Daily Position'!Q73)</f>
        <v>1166000.1255500002</v>
      </c>
      <c r="D139" t="s">
        <v>81</v>
      </c>
      <c r="E139" s="3">
        <f>IF(E138&gt;B138,+E138-B138,0)</f>
        <v>110</v>
      </c>
    </row>
    <row r="140" spans="1:5" x14ac:dyDescent="0.3">
      <c r="A140" t="s">
        <v>470</v>
      </c>
      <c r="B140" s="1">
        <f>+'Daily Position'!J31</f>
        <v>36868</v>
      </c>
      <c r="D140" t="s">
        <v>392</v>
      </c>
      <c r="E140" s="52">
        <f>+B139*0.07/360*E139</f>
        <v>24939.447129819451</v>
      </c>
    </row>
    <row r="142" spans="1:5" x14ac:dyDescent="0.3">
      <c r="A142" t="s">
        <v>191</v>
      </c>
      <c r="B142" s="1">
        <v>36879</v>
      </c>
      <c r="D142" t="s">
        <v>1</v>
      </c>
      <c r="E142" s="1">
        <f>IF(Summary!$C$5&gt;Amort!$A$44,Amort!$A$44,Summary!$C$5)</f>
        <v>36983</v>
      </c>
    </row>
    <row r="143" spans="1:5" x14ac:dyDescent="0.3">
      <c r="A143" t="s">
        <v>192</v>
      </c>
      <c r="B143" s="3">
        <f>-(+'Daily Position'!Q30+'Daily Position'!Q72)</f>
        <v>-599260.14000000013</v>
      </c>
      <c r="D143" t="s">
        <v>81</v>
      </c>
      <c r="E143" s="3">
        <f>IF(E142&gt;B142,+E142-B142,0)</f>
        <v>104</v>
      </c>
    </row>
    <row r="144" spans="1:5" x14ac:dyDescent="0.3">
      <c r="A144" t="s">
        <v>471</v>
      </c>
      <c r="B144" s="1">
        <v>36874</v>
      </c>
      <c r="D144" t="s">
        <v>392</v>
      </c>
      <c r="E144" s="52">
        <f>+B143*0.07/360*E143</f>
        <v>-12118.371720000003</v>
      </c>
    </row>
    <row r="145" spans="1:5" x14ac:dyDescent="0.3">
      <c r="B145" s="3"/>
    </row>
    <row r="146" spans="1:5" x14ac:dyDescent="0.3">
      <c r="A146" t="s">
        <v>191</v>
      </c>
      <c r="B146" s="1">
        <v>36893</v>
      </c>
      <c r="D146" t="s">
        <v>1</v>
      </c>
      <c r="E146" s="1">
        <f>IF(Summary!$C$5&gt;Amort!$A$44,Amort!$A$44,Summary!$C$5)</f>
        <v>36983</v>
      </c>
    </row>
    <row r="147" spans="1:5" x14ac:dyDescent="0.3">
      <c r="A147" t="s">
        <v>192</v>
      </c>
      <c r="B147" s="3">
        <f>-'Daily Position'!Q37-'Daily Position'!Q54</f>
        <v>2417178.9900000002</v>
      </c>
      <c r="D147" t="s">
        <v>81</v>
      </c>
      <c r="E147" s="3">
        <f>IF(E146&gt;B146,+E146-B146,0)</f>
        <v>90</v>
      </c>
    </row>
    <row r="148" spans="1:5" x14ac:dyDescent="0.3">
      <c r="A148" t="s">
        <v>472</v>
      </c>
      <c r="B148" s="1">
        <v>36888</v>
      </c>
      <c r="D148" t="s">
        <v>392</v>
      </c>
      <c r="E148" s="52">
        <f>+B147*0.07/360*E147</f>
        <v>42300.632325000006</v>
      </c>
    </row>
    <row r="150" spans="1:5" x14ac:dyDescent="0.3">
      <c r="A150" t="s">
        <v>191</v>
      </c>
      <c r="B150" s="1">
        <v>36894</v>
      </c>
      <c r="D150" t="s">
        <v>1</v>
      </c>
      <c r="E150" s="1">
        <f>IF(Summary!$C$5&gt;Amort!$A$44,Amort!$A$44,Summary!$C$5)</f>
        <v>36983</v>
      </c>
    </row>
    <row r="151" spans="1:5" x14ac:dyDescent="0.3">
      <c r="A151" t="s">
        <v>192</v>
      </c>
      <c r="B151" s="3">
        <f>-'Daily Position'!Q42</f>
        <v>887500</v>
      </c>
      <c r="D151" t="s">
        <v>81</v>
      </c>
      <c r="E151" s="3">
        <f>IF(E150&gt;B150,+E150-B150,0)</f>
        <v>89</v>
      </c>
    </row>
    <row r="152" spans="1:5" x14ac:dyDescent="0.3">
      <c r="A152" t="s">
        <v>473</v>
      </c>
      <c r="B152" s="1">
        <v>36889</v>
      </c>
      <c r="D152" t="s">
        <v>392</v>
      </c>
      <c r="E152" s="52">
        <f>+B151*0.07/360*E151</f>
        <v>15358.680555555557</v>
      </c>
    </row>
    <row r="154" spans="1:5" x14ac:dyDescent="0.3">
      <c r="A154" t="s">
        <v>191</v>
      </c>
      <c r="B154" s="1">
        <v>36907</v>
      </c>
      <c r="D154" t="s">
        <v>1</v>
      </c>
      <c r="E154" s="1">
        <f>IF(Summary!$C$5&gt;Amort!$A$44,Amort!$A$44,Summary!$C$5)</f>
        <v>36983</v>
      </c>
    </row>
    <row r="155" spans="1:5" x14ac:dyDescent="0.3">
      <c r="A155" t="s">
        <v>192</v>
      </c>
      <c r="B155" s="3">
        <f>-'Daily Position'!Q13</f>
        <v>132061.01999999999</v>
      </c>
      <c r="D155" t="s">
        <v>81</v>
      </c>
      <c r="E155" s="3">
        <f>IF(E154&gt;B154,+E154-B154,0)</f>
        <v>76</v>
      </c>
    </row>
    <row r="156" spans="1:5" x14ac:dyDescent="0.3">
      <c r="A156" t="s">
        <v>474</v>
      </c>
      <c r="B156" s="1">
        <v>36902</v>
      </c>
      <c r="D156" t="s">
        <v>392</v>
      </c>
      <c r="E156" s="52">
        <f>+B155*0.07/360*E155</f>
        <v>1951.5684066666665</v>
      </c>
    </row>
    <row r="158" spans="1:5" x14ac:dyDescent="0.3">
      <c r="A158" t="s">
        <v>191</v>
      </c>
      <c r="B158" s="1">
        <v>36910</v>
      </c>
      <c r="D158" t="s">
        <v>1</v>
      </c>
      <c r="E158" s="1">
        <f>IF(Summary!$C$5&gt;Amort!$A$44,Amort!$A$44,Summary!$C$5)</f>
        <v>36983</v>
      </c>
    </row>
    <row r="159" spans="1:5" x14ac:dyDescent="0.3">
      <c r="A159" t="s">
        <v>192</v>
      </c>
      <c r="B159" s="3">
        <f>-'Daily Position'!Q6</f>
        <v>7079860.9400000004</v>
      </c>
      <c r="D159" t="s">
        <v>81</v>
      </c>
      <c r="E159" s="3">
        <f>IF(E158&gt;B158,+E158-B158,0)</f>
        <v>73</v>
      </c>
    </row>
    <row r="160" spans="1:5" x14ac:dyDescent="0.3">
      <c r="A160" t="s">
        <v>475</v>
      </c>
      <c r="B160" s="1">
        <v>36907</v>
      </c>
      <c r="D160" t="s">
        <v>392</v>
      </c>
      <c r="E160" s="52">
        <f>+B159*0.07/360*E159</f>
        <v>100494.69278722223</v>
      </c>
    </row>
    <row r="162" spans="1:5" x14ac:dyDescent="0.3">
      <c r="A162" t="s">
        <v>191</v>
      </c>
      <c r="B162" s="1">
        <v>36910</v>
      </c>
      <c r="D162" t="s">
        <v>1</v>
      </c>
      <c r="E162" s="1">
        <f>IF(Summary!$C$5&gt;Amort!$A$44,Amort!$A$44,Summary!$C$5)</f>
        <v>36983</v>
      </c>
    </row>
    <row r="163" spans="1:5" x14ac:dyDescent="0.3">
      <c r="A163" t="s">
        <v>192</v>
      </c>
      <c r="B163" s="3">
        <f>-'Daily Position'!Q65</f>
        <v>63109023.640000001</v>
      </c>
      <c r="D163" t="s">
        <v>81</v>
      </c>
      <c r="E163" s="3">
        <f>IF(E162&gt;B162,+E162-B162,0)</f>
        <v>73</v>
      </c>
    </row>
    <row r="164" spans="1:5" x14ac:dyDescent="0.3">
      <c r="A164" t="s">
        <v>489</v>
      </c>
      <c r="B164" s="1">
        <f>+B162</f>
        <v>36910</v>
      </c>
      <c r="D164" t="s">
        <v>392</v>
      </c>
      <c r="E164" s="52">
        <f>+B163*0.07/360*E163</f>
        <v>895797.53000111121</v>
      </c>
    </row>
    <row r="166" spans="1:5" x14ac:dyDescent="0.3">
      <c r="A166" t="s">
        <v>191</v>
      </c>
      <c r="B166" s="1">
        <f>+[1]Table!$I$2</f>
        <v>36976</v>
      </c>
      <c r="D166" t="s">
        <v>1</v>
      </c>
      <c r="E166" s="1">
        <f>IF(Summary!$C$5&gt;Amort!$A$44,Amort!$A$44,Summary!$C$5)</f>
        <v>36983</v>
      </c>
    </row>
    <row r="167" spans="1:5" x14ac:dyDescent="0.3">
      <c r="A167" t="s">
        <v>192</v>
      </c>
      <c r="B167" s="3">
        <f>IF([1]Table!$C$3=1,[1]Table!$H$3,0)+Shares!D39</f>
        <v>0</v>
      </c>
      <c r="D167" t="s">
        <v>81</v>
      </c>
      <c r="E167" s="3">
        <f>IF(E166&gt;B166,+E166-B166,0)</f>
        <v>7</v>
      </c>
    </row>
    <row r="168" spans="1:5" x14ac:dyDescent="0.3">
      <c r="A168" t="s">
        <v>513</v>
      </c>
      <c r="B168" s="1">
        <f>+B166</f>
        <v>36976</v>
      </c>
      <c r="D168" t="s">
        <v>392</v>
      </c>
      <c r="E168" s="52">
        <f>+B167*0.07/360*E167</f>
        <v>0</v>
      </c>
    </row>
    <row r="170" spans="1:5" x14ac:dyDescent="0.3">
      <c r="A170" t="s">
        <v>191</v>
      </c>
      <c r="B170" s="1">
        <v>36984</v>
      </c>
      <c r="D170" t="s">
        <v>1</v>
      </c>
      <c r="E170" s="1">
        <f>IF(Summary!$C$5&gt;Amort!$A$45,Amort!$A$45,Summary!$C$5)</f>
        <v>37161</v>
      </c>
    </row>
    <row r="171" spans="1:5" x14ac:dyDescent="0.3">
      <c r="A171" t="s">
        <v>192</v>
      </c>
      <c r="B171" s="3">
        <f>-'Daily Position'!Q29-'Daily Position'!Q51-'Daily Position'!Q71</f>
        <v>98071.411015999998</v>
      </c>
      <c r="D171" t="s">
        <v>81</v>
      </c>
      <c r="E171" s="3">
        <f>IF(E170&gt;B170,+E170-B170,0)</f>
        <v>177</v>
      </c>
    </row>
    <row r="172" spans="1:5" x14ac:dyDescent="0.3">
      <c r="A172" t="s">
        <v>524</v>
      </c>
      <c r="B172" s="1">
        <f>+'Daily Position'!J29</f>
        <v>36980</v>
      </c>
      <c r="D172" t="s">
        <v>392</v>
      </c>
      <c r="E172" s="52">
        <f>+B171*0.07/360*E171</f>
        <v>3375.2910624673332</v>
      </c>
    </row>
    <row r="174" spans="1:5" x14ac:dyDescent="0.3">
      <c r="A174" t="s">
        <v>191</v>
      </c>
      <c r="B174" s="1">
        <v>37006</v>
      </c>
      <c r="D174" t="s">
        <v>1</v>
      </c>
      <c r="E174" s="1">
        <f>IF(Summary!$C$5&gt;Amort!$A$45,Amort!$A$45,Summary!$C$5)</f>
        <v>37161</v>
      </c>
    </row>
    <row r="175" spans="1:5" x14ac:dyDescent="0.3">
      <c r="A175" t="s">
        <v>192</v>
      </c>
      <c r="B175" s="3">
        <f>-'Daily Position'!Q7</f>
        <v>5168955.03</v>
      </c>
      <c r="D175" t="s">
        <v>81</v>
      </c>
      <c r="E175" s="3">
        <f>IF(E174&gt;B174,+E174-B174,0)</f>
        <v>155</v>
      </c>
    </row>
    <row r="176" spans="1:5" x14ac:dyDescent="0.3">
      <c r="A176" t="s">
        <v>475</v>
      </c>
      <c r="B176" s="1">
        <f>+'Daily Position'!J7</f>
        <v>37001</v>
      </c>
      <c r="D176" t="s">
        <v>392</v>
      </c>
      <c r="E176" s="52">
        <f>+B175*0.07/360*E175</f>
        <v>155786.56132083337</v>
      </c>
    </row>
    <row r="178" spans="1:5" x14ac:dyDescent="0.3">
      <c r="A178" t="s">
        <v>191</v>
      </c>
      <c r="B178" s="1">
        <v>37007</v>
      </c>
      <c r="D178" t="s">
        <v>1</v>
      </c>
      <c r="E178" s="1">
        <f>IF(Summary!$C$5&gt;Amort!$A$45,Amort!$A$45,Summary!$C$5)</f>
        <v>37161</v>
      </c>
    </row>
    <row r="179" spans="1:5" x14ac:dyDescent="0.3">
      <c r="A179" t="s">
        <v>192</v>
      </c>
      <c r="B179" s="3">
        <f>-'Daily Position'!Q8</f>
        <v>3238750.02</v>
      </c>
      <c r="D179" t="s">
        <v>81</v>
      </c>
      <c r="E179" s="3">
        <f>IF(E178&gt;B178,+E178-B178,0)</f>
        <v>154</v>
      </c>
    </row>
    <row r="180" spans="1:5" x14ac:dyDescent="0.3">
      <c r="A180" t="str">
        <f>+A176</f>
        <v>Active Power Termination</v>
      </c>
      <c r="B180" s="1">
        <f>+'Daily Position'!J8</f>
        <v>37004</v>
      </c>
      <c r="D180" t="s">
        <v>392</v>
      </c>
      <c r="E180" s="52">
        <f>+B179*0.07/360*E179</f>
        <v>96982.57004333334</v>
      </c>
    </row>
    <row r="182" spans="1:5" x14ac:dyDescent="0.3">
      <c r="A182" t="s">
        <v>191</v>
      </c>
      <c r="B182" s="1">
        <v>37008</v>
      </c>
      <c r="D182" t="s">
        <v>1</v>
      </c>
      <c r="E182" s="1">
        <f>IF(Summary!$C$5&gt;Amort!$A$45,Amort!$A$45,Summary!$C$5)</f>
        <v>37161</v>
      </c>
    </row>
    <row r="183" spans="1:5" x14ac:dyDescent="0.3">
      <c r="A183" t="s">
        <v>192</v>
      </c>
      <c r="B183" s="3">
        <f>-'Daily Position'!Q9</f>
        <v>1140849.51</v>
      </c>
      <c r="D183" t="s">
        <v>81</v>
      </c>
      <c r="E183" s="3">
        <f>IF(E182&gt;B182,+E182-B182,0)</f>
        <v>153</v>
      </c>
    </row>
    <row r="184" spans="1:5" x14ac:dyDescent="0.3">
      <c r="A184" t="str">
        <f>+A180</f>
        <v>Active Power Termination</v>
      </c>
      <c r="B184" s="1">
        <f>+'Daily Position'!J9</f>
        <v>37005</v>
      </c>
      <c r="D184" t="s">
        <v>392</v>
      </c>
      <c r="E184" s="52">
        <f>+B183*0.07/360*E183</f>
        <v>33940.272922500008</v>
      </c>
    </row>
    <row r="186" spans="1:5" x14ac:dyDescent="0.3">
      <c r="A186" t="s">
        <v>191</v>
      </c>
      <c r="B186" s="1">
        <v>37014</v>
      </c>
      <c r="D186" t="s">
        <v>1</v>
      </c>
      <c r="E186" s="1">
        <f>IF(Summary!$C$5&gt;Amort!$A$45,Amort!$A$45,Summary!$C$5)</f>
        <v>37161</v>
      </c>
    </row>
    <row r="187" spans="1:5" x14ac:dyDescent="0.3">
      <c r="A187" t="s">
        <v>192</v>
      </c>
      <c r="B187" s="3">
        <f>-'Daily Position'!Q17</f>
        <v>1306.0999999999999</v>
      </c>
      <c r="D187" t="s">
        <v>81</v>
      </c>
      <c r="E187" s="3">
        <f>IF(E186&gt;B186,+E186-B186,0)</f>
        <v>147</v>
      </c>
    </row>
    <row r="188" spans="1:5" x14ac:dyDescent="0.3">
      <c r="A188" t="str">
        <f>+'Daily Position'!A16</f>
        <v>Paradigm</v>
      </c>
      <c r="B188" s="1">
        <f>+'Daily Position'!J17</f>
        <v>37011</v>
      </c>
      <c r="D188" t="s">
        <v>392</v>
      </c>
      <c r="E188" s="52">
        <f>+B187*0.07/360*E187</f>
        <v>37.332691666666676</v>
      </c>
    </row>
    <row r="190" spans="1:5" x14ac:dyDescent="0.3">
      <c r="A190" t="s">
        <v>191</v>
      </c>
      <c r="B190" s="1">
        <v>37015</v>
      </c>
      <c r="D190" t="s">
        <v>1</v>
      </c>
      <c r="E190" s="1">
        <f>IF(Summary!$C$5&gt;Amort!$A$45,Amort!$A$45,Summary!$C$5)</f>
        <v>37161</v>
      </c>
    </row>
    <row r="191" spans="1:5" x14ac:dyDescent="0.3">
      <c r="A191" t="s">
        <v>192</v>
      </c>
      <c r="B191" s="3">
        <f>-'Daily Position'!Q18</f>
        <v>1441.36</v>
      </c>
      <c r="D191" t="s">
        <v>81</v>
      </c>
      <c r="E191" s="3">
        <f>IF(E190&gt;B190,+E190-B190,0)</f>
        <v>146</v>
      </c>
    </row>
    <row r="192" spans="1:5" x14ac:dyDescent="0.3">
      <c r="A192" t="str">
        <f>+A188</f>
        <v>Paradigm</v>
      </c>
      <c r="B192" s="1">
        <f>+'Daily Position'!J18</f>
        <v>37012</v>
      </c>
      <c r="D192" t="s">
        <v>392</v>
      </c>
      <c r="E192" s="52">
        <f>+B191*0.07/360*E191</f>
        <v>40.918608888888883</v>
      </c>
    </row>
    <row r="194" spans="1:5" x14ac:dyDescent="0.3">
      <c r="A194" t="s">
        <v>191</v>
      </c>
      <c r="B194" s="1">
        <v>37018</v>
      </c>
      <c r="D194" t="s">
        <v>1</v>
      </c>
      <c r="E194" s="1">
        <f>IF(Summary!$C$5&gt;Amort!$A$45,Amort!$A$45,Summary!$C$5)</f>
        <v>37161</v>
      </c>
    </row>
    <row r="195" spans="1:5" x14ac:dyDescent="0.3">
      <c r="A195" t="s">
        <v>192</v>
      </c>
      <c r="B195" s="3">
        <f>-'Daily Position'!Q19</f>
        <v>475.19</v>
      </c>
      <c r="D195" t="s">
        <v>81</v>
      </c>
      <c r="E195" s="3">
        <f>IF(E194&gt;B194,+E194-B194,0)</f>
        <v>143</v>
      </c>
    </row>
    <row r="196" spans="1:5" x14ac:dyDescent="0.3">
      <c r="A196" t="str">
        <f>+A192</f>
        <v>Paradigm</v>
      </c>
      <c r="B196" s="1">
        <f>+'Daily Position'!J19</f>
        <v>37013</v>
      </c>
      <c r="D196" t="s">
        <v>392</v>
      </c>
      <c r="E196" s="52">
        <f>+B195*0.07/360*E195</f>
        <v>13.212921944444444</v>
      </c>
    </row>
    <row r="198" spans="1:5" x14ac:dyDescent="0.3">
      <c r="A198" t="s">
        <v>191</v>
      </c>
      <c r="B198" s="1">
        <v>37021</v>
      </c>
      <c r="D198" t="s">
        <v>1</v>
      </c>
      <c r="E198" s="1">
        <f>IF(Summary!$C$5&gt;Amort!$A$45,Amort!$A$45,Summary!$C$5)</f>
        <v>37161</v>
      </c>
    </row>
    <row r="199" spans="1:5" x14ac:dyDescent="0.3">
      <c r="A199" t="s">
        <v>192</v>
      </c>
      <c r="B199" s="3">
        <f>-'Daily Position'!Q10-'Daily Position'!Q20</f>
        <v>2836219.65</v>
      </c>
      <c r="D199" t="s">
        <v>81</v>
      </c>
      <c r="E199" s="3">
        <f>IF(E198&gt;B198,+E198-B198,0)</f>
        <v>140</v>
      </c>
    </row>
    <row r="200" spans="1:5" x14ac:dyDescent="0.3">
      <c r="A200" t="s">
        <v>525</v>
      </c>
      <c r="B200" s="1">
        <f>+'Daily Position'!J10</f>
        <v>37018</v>
      </c>
      <c r="D200" t="s">
        <v>392</v>
      </c>
      <c r="E200" s="52">
        <f>+B199*0.07/360*E199</f>
        <v>77208.201583333343</v>
      </c>
    </row>
    <row r="202" spans="1:5" x14ac:dyDescent="0.3">
      <c r="A202" t="s">
        <v>191</v>
      </c>
      <c r="B202" s="1">
        <v>37022</v>
      </c>
      <c r="D202" t="s">
        <v>1</v>
      </c>
      <c r="E202" s="1">
        <f>IF(Summary!$C$5&gt;Amort!$A$45,Amort!$A$45,Summary!$C$5)</f>
        <v>37161</v>
      </c>
    </row>
    <row r="203" spans="1:5" x14ac:dyDescent="0.3">
      <c r="A203" t="s">
        <v>192</v>
      </c>
      <c r="B203" s="3">
        <f>-'Daily Position'!Q11-'Daily Position'!Q21</f>
        <v>4333790.07</v>
      </c>
      <c r="D203" t="s">
        <v>81</v>
      </c>
      <c r="E203" s="3">
        <f>IF(E202&gt;B202,+E202-B202,0)</f>
        <v>139</v>
      </c>
    </row>
    <row r="204" spans="1:5" x14ac:dyDescent="0.3">
      <c r="A204" t="s">
        <v>525</v>
      </c>
      <c r="B204" s="1">
        <f>+'Daily Position'!J11</f>
        <v>37019</v>
      </c>
      <c r="D204" t="s">
        <v>392</v>
      </c>
      <c r="E204" s="52">
        <f>+B203*0.07/360*E203</f>
        <v>117132.71494750002</v>
      </c>
    </row>
    <row r="206" spans="1:5" x14ac:dyDescent="0.3">
      <c r="A206" t="s">
        <v>191</v>
      </c>
      <c r="B206" s="1">
        <v>37025</v>
      </c>
      <c r="D206" t="s">
        <v>1</v>
      </c>
      <c r="E206" s="1">
        <f>IF(Summary!$C$5&gt;Amort!$A$45,Amort!$A$45,Summary!$C$5)</f>
        <v>37161</v>
      </c>
    </row>
    <row r="207" spans="1:5" x14ac:dyDescent="0.3">
      <c r="A207" t="s">
        <v>192</v>
      </c>
      <c r="B207" s="3">
        <f>-'Daily Position'!Q12</f>
        <v>4111671.57</v>
      </c>
      <c r="D207" t="s">
        <v>81</v>
      </c>
      <c r="E207" s="3">
        <f>IF(E206&gt;B206,+E206-B206,0)</f>
        <v>136</v>
      </c>
    </row>
    <row r="208" spans="1:5" x14ac:dyDescent="0.3">
      <c r="A208" t="s">
        <v>526</v>
      </c>
      <c r="B208" s="1">
        <f>+'Daily Position'!J12</f>
        <v>37020</v>
      </c>
      <c r="D208" t="s">
        <v>392</v>
      </c>
      <c r="E208" s="52">
        <f>+B207*0.07/360*E207</f>
        <v>108730.87040666667</v>
      </c>
    </row>
    <row r="210" spans="1:5" x14ac:dyDescent="0.3">
      <c r="A210" t="s">
        <v>191</v>
      </c>
      <c r="B210" s="1">
        <v>37027</v>
      </c>
      <c r="D210" t="s">
        <v>1</v>
      </c>
      <c r="E210" s="1">
        <f>IF(Summary!$C$5&gt;Amort!$A$45,Amort!$A$45,Summary!$C$5)</f>
        <v>37161</v>
      </c>
    </row>
    <row r="211" spans="1:5" x14ac:dyDescent="0.3">
      <c r="A211" t="s">
        <v>192</v>
      </c>
      <c r="B211" s="3">
        <f>-'Daily Position'!Q22</f>
        <v>487.5</v>
      </c>
      <c r="D211" t="s">
        <v>81</v>
      </c>
      <c r="E211" s="3">
        <f>IF(E210&gt;B210,+E210-B210,0)</f>
        <v>134</v>
      </c>
    </row>
    <row r="212" spans="1:5" x14ac:dyDescent="0.3">
      <c r="A212" t="str">
        <f>+'Daily Position'!A22</f>
        <v>Paradigm</v>
      </c>
      <c r="B212" s="1">
        <f>+'Daily Position'!J22</f>
        <v>37022</v>
      </c>
      <c r="D212" t="s">
        <v>392</v>
      </c>
      <c r="E212" s="52">
        <f>+B211*0.07/360*E211</f>
        <v>12.702083333333333</v>
      </c>
    </row>
    <row r="214" spans="1:5" x14ac:dyDescent="0.3">
      <c r="A214" t="s">
        <v>191</v>
      </c>
      <c r="B214" s="1">
        <v>37033</v>
      </c>
      <c r="D214" t="s">
        <v>1</v>
      </c>
      <c r="E214" s="1">
        <f>IF(Summary!$C$5&gt;Amort!$A$45,Amort!$A$45,Summary!$C$5)</f>
        <v>37161</v>
      </c>
    </row>
    <row r="215" spans="1:5" x14ac:dyDescent="0.3">
      <c r="A215" t="s">
        <v>192</v>
      </c>
      <c r="B215" s="3">
        <f>-'Daily Position'!Q23</f>
        <v>254.03</v>
      </c>
      <c r="D215" t="s">
        <v>81</v>
      </c>
      <c r="E215" s="3">
        <f>IF(E214&gt;B214,+E214-B214,0)</f>
        <v>128</v>
      </c>
    </row>
    <row r="216" spans="1:5" x14ac:dyDescent="0.3">
      <c r="A216" t="str">
        <f>+'Daily Position'!A23</f>
        <v>Paradigm</v>
      </c>
      <c r="B216" s="1">
        <f>+'Daily Position'!J23</f>
        <v>37028</v>
      </c>
      <c r="D216" t="s">
        <v>392</v>
      </c>
      <c r="E216" s="52">
        <f>+B215*0.07/360*E215</f>
        <v>6.3225244444444453</v>
      </c>
    </row>
    <row r="218" spans="1:5" x14ac:dyDescent="0.3">
      <c r="A218" t="s">
        <v>191</v>
      </c>
      <c r="B218" s="1">
        <v>37034</v>
      </c>
      <c r="D218" t="s">
        <v>1</v>
      </c>
      <c r="E218" s="1">
        <f>IF(Summary!$C$5&gt;Amort!$A$45,Amort!$A$45,Summary!$C$5)</f>
        <v>37161</v>
      </c>
    </row>
    <row r="219" spans="1:5" x14ac:dyDescent="0.3">
      <c r="A219" t="s">
        <v>192</v>
      </c>
      <c r="B219" s="3">
        <f>-'Daily Position'!Q24</f>
        <v>3191.18</v>
      </c>
      <c r="D219" t="s">
        <v>81</v>
      </c>
      <c r="E219" s="3">
        <f>IF(E218&gt;B218,+E218-B218,0)</f>
        <v>127</v>
      </c>
    </row>
    <row r="220" spans="1:5" x14ac:dyDescent="0.3">
      <c r="A220" t="str">
        <f>+'Daily Position'!A24</f>
        <v>Paradigm</v>
      </c>
      <c r="B220" s="1">
        <f>+'Daily Position'!J24</f>
        <v>37029</v>
      </c>
      <c r="D220" t="s">
        <v>392</v>
      </c>
      <c r="E220" s="52">
        <f>+B219*0.07/360*E219</f>
        <v>78.804417222222227</v>
      </c>
    </row>
    <row r="222" spans="1:5" x14ac:dyDescent="0.3">
      <c r="A222" t="s">
        <v>191</v>
      </c>
      <c r="B222" s="1">
        <v>37035</v>
      </c>
      <c r="D222" t="s">
        <v>1</v>
      </c>
      <c r="E222" s="1">
        <f>IF(Summary!$C$5&gt;Amort!$A$45,Amort!$A$45,Summary!$C$5)</f>
        <v>37161</v>
      </c>
    </row>
    <row r="223" spans="1:5" x14ac:dyDescent="0.3">
      <c r="A223" t="s">
        <v>192</v>
      </c>
      <c r="B223" s="3">
        <f>-'Daily Position'!Q25</f>
        <v>1757.87</v>
      </c>
      <c r="D223" t="s">
        <v>81</v>
      </c>
      <c r="E223" s="3">
        <f>IF(E222&gt;B222,+E222-B222,0)</f>
        <v>126</v>
      </c>
    </row>
    <row r="224" spans="1:5" x14ac:dyDescent="0.3">
      <c r="A224" t="str">
        <f>+'Daily Position'!A25</f>
        <v>Paradigm</v>
      </c>
      <c r="B224" s="1">
        <f>+'Daily Position'!J25</f>
        <v>37032</v>
      </c>
      <c r="D224" t="s">
        <v>392</v>
      </c>
      <c r="E224" s="52">
        <f>+B223*0.07/360*E223</f>
        <v>43.067814999999996</v>
      </c>
    </row>
    <row r="226" spans="1:5" x14ac:dyDescent="0.3">
      <c r="A226" t="s">
        <v>191</v>
      </c>
      <c r="B226" s="1">
        <v>37036</v>
      </c>
      <c r="D226" t="s">
        <v>1</v>
      </c>
      <c r="E226" s="1">
        <f>IF(Summary!$C$5&gt;Amort!$A$45,Amort!$A$45,Summary!$C$5)</f>
        <v>37161</v>
      </c>
    </row>
    <row r="227" spans="1:5" x14ac:dyDescent="0.3">
      <c r="A227" t="s">
        <v>192</v>
      </c>
      <c r="B227" s="3">
        <f>-'Daily Position'!Q26</f>
        <v>5990.3</v>
      </c>
      <c r="D227" t="s">
        <v>81</v>
      </c>
      <c r="E227" s="3">
        <f>IF(E226&gt;B226,+E226-B226,0)</f>
        <v>125</v>
      </c>
    </row>
    <row r="228" spans="1:5" x14ac:dyDescent="0.3">
      <c r="A228" t="str">
        <f>+'Daily Position'!A26</f>
        <v>Paradigm</v>
      </c>
      <c r="B228" s="1">
        <f>+'Daily Position'!J26</f>
        <v>37033</v>
      </c>
      <c r="D228" t="s">
        <v>392</v>
      </c>
      <c r="E228" s="52">
        <f>+B227*0.07/360*E227</f>
        <v>145.59756944444447</v>
      </c>
    </row>
    <row r="230" spans="1:5" x14ac:dyDescent="0.3">
      <c r="A230" t="s">
        <v>191</v>
      </c>
      <c r="B230" s="1">
        <v>37040</v>
      </c>
      <c r="D230" t="s">
        <v>1</v>
      </c>
      <c r="E230" s="1">
        <f>IF(Summary!$C$5&gt;Amort!$A$45,Amort!$A$45,Summary!$C$5)</f>
        <v>37161</v>
      </c>
    </row>
    <row r="231" spans="1:5" x14ac:dyDescent="0.3">
      <c r="A231" t="s">
        <v>192</v>
      </c>
      <c r="B231" s="3">
        <f>-'Daily Position'!Q27</f>
        <v>471.82</v>
      </c>
      <c r="D231" t="s">
        <v>81</v>
      </c>
      <c r="E231" s="3">
        <f>IF(E230&gt;B230,+E230-B230,0)</f>
        <v>121</v>
      </c>
    </row>
    <row r="232" spans="1:5" x14ac:dyDescent="0.3">
      <c r="A232" t="str">
        <f>+'Daily Position'!A27</f>
        <v>Paradigm</v>
      </c>
      <c r="B232" s="1">
        <f>+'Daily Position'!J27</f>
        <v>37034</v>
      </c>
      <c r="D232" t="s">
        <v>392</v>
      </c>
      <c r="E232" s="52">
        <f>+B231*0.07/360*E231</f>
        <v>11.100876111111113</v>
      </c>
    </row>
    <row r="234" spans="1:5" x14ac:dyDescent="0.3">
      <c r="A234" t="s">
        <v>191</v>
      </c>
      <c r="B234" s="1">
        <v>37074</v>
      </c>
      <c r="D234" t="s">
        <v>1</v>
      </c>
      <c r="E234" s="1">
        <f>IF(Summary!$C$5&gt;Amort!$A$45,Amort!$A$45,Summary!$C$5)</f>
        <v>37161</v>
      </c>
    </row>
    <row r="235" spans="1:5" x14ac:dyDescent="0.3">
      <c r="A235" t="s">
        <v>192</v>
      </c>
      <c r="B235" s="3">
        <f>-'Daily Position'!Q4-'Daily Position'!Q14-'Daily Position'!Q69</f>
        <v>163319.21000000002</v>
      </c>
      <c r="D235" t="s">
        <v>81</v>
      </c>
      <c r="E235" s="3">
        <f>IF(E234&gt;B234,+E234-B234,0)</f>
        <v>87</v>
      </c>
    </row>
    <row r="236" spans="1:5" x14ac:dyDescent="0.3">
      <c r="A236" s="300" t="s">
        <v>533</v>
      </c>
      <c r="B236" s="1">
        <v>37069</v>
      </c>
      <c r="D236" t="s">
        <v>392</v>
      </c>
      <c r="E236" s="52">
        <f>+B235*0.07/360*E235</f>
        <v>2762.8166358333342</v>
      </c>
    </row>
    <row r="238" spans="1:5" x14ac:dyDescent="0.3">
      <c r="A238" t="s">
        <v>191</v>
      </c>
      <c r="B238" s="1">
        <v>37077</v>
      </c>
      <c r="D238" t="s">
        <v>1</v>
      </c>
      <c r="E238" s="1">
        <f>IF(Summary!$C$5&gt;Amort!$A$45,Amort!$A$45,Summary!$C$5)</f>
        <v>37161</v>
      </c>
    </row>
    <row r="239" spans="1:5" x14ac:dyDescent="0.3">
      <c r="A239" t="s">
        <v>192</v>
      </c>
      <c r="B239" s="3">
        <f>-'Daily Position'!Q66</f>
        <v>30637566.359999999</v>
      </c>
      <c r="D239" t="s">
        <v>81</v>
      </c>
      <c r="E239" s="3">
        <f>IF(E238&gt;B238,+E238-B238,0)</f>
        <v>84</v>
      </c>
    </row>
    <row r="240" spans="1:5" x14ac:dyDescent="0.3">
      <c r="A240" s="300" t="str">
        <f>+'Daily Position'!A66</f>
        <v>Merlin Credit Derivative</v>
      </c>
      <c r="B240" s="1">
        <v>37071</v>
      </c>
      <c r="D240" t="s">
        <v>392</v>
      </c>
      <c r="E240" s="52">
        <f>+B239*0.07/360*E239</f>
        <v>500413.58388000005</v>
      </c>
    </row>
    <row r="242" spans="1:5" x14ac:dyDescent="0.3">
      <c r="A242" t="s">
        <v>191</v>
      </c>
      <c r="B242" s="1">
        <v>37084</v>
      </c>
      <c r="D242" t="s">
        <v>1</v>
      </c>
      <c r="E242" s="1">
        <f>IF(Summary!$C$5&gt;Amort!$A$45,Amort!$A$45,Summary!$C$5)</f>
        <v>37161</v>
      </c>
    </row>
    <row r="243" spans="1:5" x14ac:dyDescent="0.3">
      <c r="A243" t="s">
        <v>192</v>
      </c>
      <c r="B243" s="3">
        <f>-'Daily Position'!Q64</f>
        <v>1360000</v>
      </c>
      <c r="D243" t="s">
        <v>81</v>
      </c>
      <c r="E243" s="3">
        <f>IF(E242&gt;B242,+E242-B242,0)</f>
        <v>77</v>
      </c>
    </row>
    <row r="244" spans="1:5" x14ac:dyDescent="0.3">
      <c r="A244" s="300" t="str">
        <f>+'Daily Position'!A64</f>
        <v>WB Oil &amp; Gas</v>
      </c>
      <c r="B244" s="1">
        <v>37078</v>
      </c>
      <c r="D244" t="s">
        <v>392</v>
      </c>
      <c r="E244" s="52">
        <f>+B243*0.07/360*E243</f>
        <v>20362.222222222223</v>
      </c>
    </row>
  </sheetData>
  <mergeCells count="6">
    <mergeCell ref="E119:F119"/>
    <mergeCell ref="A32:B32"/>
    <mergeCell ref="A1:B1"/>
    <mergeCell ref="A116:F116"/>
    <mergeCell ref="A24:B24"/>
    <mergeCell ref="A51:B51"/>
  </mergeCells>
  <phoneticPr fontId="0" type="noConversion"/>
  <printOptions horizontalCentered="1"/>
  <pageMargins left="0.75" right="0.75" top="1" bottom="1" header="0.5" footer="0.5"/>
  <pageSetup scale="86" orientation="portrait" r:id="rId1"/>
  <headerFooter alignWithMargins="0"/>
  <rowBreaks count="2" manualBreakCount="2">
    <brk id="31" max="16383" man="1"/>
    <brk id="115" max="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103"/>
  <sheetViews>
    <sheetView topLeftCell="A36" zoomScaleNormal="100" workbookViewId="0">
      <selection activeCell="E102" sqref="E102"/>
    </sheetView>
  </sheetViews>
  <sheetFormatPr defaultColWidth="9" defaultRowHeight="15.6" x14ac:dyDescent="0.3"/>
  <cols>
    <col min="1" max="1" width="17.09765625" style="7" customWidth="1"/>
    <col min="2" max="3" width="12.19921875" style="7" bestFit="1" customWidth="1"/>
    <col min="4" max="4" width="12.5" style="7" customWidth="1"/>
    <col min="5" max="5" width="14.3984375" style="7" bestFit="1" customWidth="1"/>
    <col min="6" max="6" width="11.59765625" style="7" bestFit="1" customWidth="1"/>
    <col min="7" max="7" width="12.19921875" style="7" bestFit="1" customWidth="1"/>
    <col min="8" max="8" width="11.59765625" style="7" bestFit="1" customWidth="1"/>
    <col min="9" max="9" width="9.5" style="7" bestFit="1" customWidth="1"/>
    <col min="10" max="16384" width="9" style="7"/>
  </cols>
  <sheetData>
    <row r="1" spans="1:9" x14ac:dyDescent="0.3">
      <c r="A1" s="6" t="s">
        <v>183</v>
      </c>
      <c r="B1" s="6"/>
      <c r="G1" s="8"/>
      <c r="H1" s="8"/>
    </row>
    <row r="2" spans="1:9" x14ac:dyDescent="0.3">
      <c r="B2" s="110" t="s">
        <v>158</v>
      </c>
    </row>
    <row r="3" spans="1:9" x14ac:dyDescent="0.3">
      <c r="A3" s="7" t="s">
        <v>22</v>
      </c>
      <c r="B3" s="111">
        <v>50000000</v>
      </c>
    </row>
    <row r="4" spans="1:9" x14ac:dyDescent="0.3">
      <c r="A4" s="7" t="s">
        <v>23</v>
      </c>
      <c r="B4" s="112">
        <v>7.0000000000000007E-2</v>
      </c>
    </row>
    <row r="5" spans="1:9" x14ac:dyDescent="0.3">
      <c r="A5" s="7" t="s">
        <v>24</v>
      </c>
      <c r="B5" s="113">
        <f>5*12</f>
        <v>60</v>
      </c>
    </row>
    <row r="6" spans="1:9" x14ac:dyDescent="0.3">
      <c r="A6" s="7" t="s">
        <v>25</v>
      </c>
      <c r="B6" s="114">
        <v>2</v>
      </c>
    </row>
    <row r="7" spans="1:9" x14ac:dyDescent="0.3">
      <c r="A7" s="7" t="s">
        <v>26</v>
      </c>
      <c r="B7" s="7">
        <v>0</v>
      </c>
    </row>
    <row r="9" spans="1:9" s="9" customFormat="1" ht="26.4" x14ac:dyDescent="0.25">
      <c r="B9" s="11" t="s">
        <v>93</v>
      </c>
      <c r="C9" s="10" t="s">
        <v>27</v>
      </c>
      <c r="D9" s="10" t="s">
        <v>26</v>
      </c>
      <c r="E9" s="10" t="s">
        <v>22</v>
      </c>
      <c r="F9" s="10" t="s">
        <v>28</v>
      </c>
      <c r="G9" s="10" t="s">
        <v>29</v>
      </c>
      <c r="H9" s="10" t="s">
        <v>187</v>
      </c>
    </row>
    <row r="10" spans="1:9" x14ac:dyDescent="0.3">
      <c r="A10" s="1">
        <v>36634</v>
      </c>
      <c r="B10" s="103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36634</v>
      </c>
    </row>
    <row r="11" spans="1:9" x14ac:dyDescent="0.3">
      <c r="A11" s="1">
        <v>36801</v>
      </c>
      <c r="B11" s="103">
        <f t="shared" ref="B11:B20" si="3">+B10+1</f>
        <v>1</v>
      </c>
      <c r="C11" s="7">
        <f t="shared" ref="C11:C20" si="4">G10</f>
        <v>50000000</v>
      </c>
      <c r="D11" s="7">
        <f>+F11</f>
        <v>1623611.1111111112</v>
      </c>
      <c r="E11" s="7">
        <f t="shared" si="0"/>
        <v>0</v>
      </c>
      <c r="F11" s="7">
        <f>C11*$B$4/360*(A11-A10)</f>
        <v>1623611.1111111112</v>
      </c>
      <c r="G11" s="7">
        <f t="shared" si="1"/>
        <v>50000000</v>
      </c>
      <c r="H11" s="7">
        <f t="shared" ref="H11:H20" si="5">+H10+F11</f>
        <v>1623611.1111111112</v>
      </c>
      <c r="I11" s="1">
        <f t="shared" si="2"/>
        <v>36801</v>
      </c>
    </row>
    <row r="12" spans="1:9" x14ac:dyDescent="0.3">
      <c r="A12" s="1">
        <v>36983</v>
      </c>
      <c r="B12" s="103">
        <f t="shared" si="3"/>
        <v>2</v>
      </c>
      <c r="C12" s="7">
        <f t="shared" si="4"/>
        <v>50000000</v>
      </c>
      <c r="D12" s="7">
        <f>+F12</f>
        <v>1769444.4444444445</v>
      </c>
      <c r="E12" s="7">
        <f t="shared" si="0"/>
        <v>0</v>
      </c>
      <c r="F12" s="7">
        <f t="shared" ref="F12:F20" si="6">C12*$B$4/360*(A12-A11)</f>
        <v>1769444.4444444445</v>
      </c>
      <c r="G12" s="7">
        <f t="shared" si="1"/>
        <v>50000000</v>
      </c>
      <c r="H12" s="7">
        <f t="shared" si="5"/>
        <v>3393055.555555556</v>
      </c>
      <c r="I12" s="1">
        <f t="shared" si="2"/>
        <v>36983</v>
      </c>
    </row>
    <row r="13" spans="1:9" x14ac:dyDescent="0.3">
      <c r="A13" s="1">
        <v>37165</v>
      </c>
      <c r="B13" s="103">
        <f t="shared" si="3"/>
        <v>3</v>
      </c>
      <c r="C13" s="7">
        <f t="shared" si="4"/>
        <v>50000000</v>
      </c>
      <c r="D13" s="7">
        <f t="shared" ref="D13:D20" si="7">+F13</f>
        <v>1769444.4444444445</v>
      </c>
      <c r="E13" s="7">
        <f t="shared" si="0"/>
        <v>0</v>
      </c>
      <c r="F13" s="7">
        <f t="shared" si="6"/>
        <v>1769444.4444444445</v>
      </c>
      <c r="G13" s="7">
        <f t="shared" si="1"/>
        <v>50000000</v>
      </c>
      <c r="H13" s="7">
        <f t="shared" si="5"/>
        <v>5162500</v>
      </c>
      <c r="I13" s="1">
        <f t="shared" si="2"/>
        <v>37165</v>
      </c>
    </row>
    <row r="14" spans="1:9" x14ac:dyDescent="0.3">
      <c r="A14" s="1">
        <v>37347</v>
      </c>
      <c r="B14" s="103">
        <f t="shared" si="3"/>
        <v>4</v>
      </c>
      <c r="C14" s="7">
        <f t="shared" si="4"/>
        <v>50000000</v>
      </c>
      <c r="D14" s="7">
        <f t="shared" si="7"/>
        <v>1769444.4444444445</v>
      </c>
      <c r="E14" s="7">
        <f t="shared" si="0"/>
        <v>0</v>
      </c>
      <c r="F14" s="7">
        <f t="shared" si="6"/>
        <v>1769444.4444444445</v>
      </c>
      <c r="G14" s="7">
        <f t="shared" si="1"/>
        <v>50000000</v>
      </c>
      <c r="H14" s="7">
        <f t="shared" si="5"/>
        <v>6931944.444444444</v>
      </c>
      <c r="I14" s="1">
        <f t="shared" si="2"/>
        <v>37347</v>
      </c>
    </row>
    <row r="15" spans="1:9" x14ac:dyDescent="0.3">
      <c r="A15" s="1">
        <v>37530</v>
      </c>
      <c r="B15" s="103">
        <f t="shared" si="3"/>
        <v>5</v>
      </c>
      <c r="C15" s="7">
        <f t="shared" si="4"/>
        <v>50000000</v>
      </c>
      <c r="D15" s="7">
        <f t="shared" si="7"/>
        <v>1779166.6666666667</v>
      </c>
      <c r="E15" s="7">
        <f t="shared" si="0"/>
        <v>0</v>
      </c>
      <c r="F15" s="7">
        <f t="shared" si="6"/>
        <v>1779166.6666666667</v>
      </c>
      <c r="G15" s="7">
        <f t="shared" si="1"/>
        <v>50000000</v>
      </c>
      <c r="H15" s="7">
        <f t="shared" si="5"/>
        <v>8711111.1111111101</v>
      </c>
      <c r="I15" s="1">
        <f t="shared" si="2"/>
        <v>37530</v>
      </c>
    </row>
    <row r="16" spans="1:9" x14ac:dyDescent="0.3">
      <c r="A16" s="1">
        <v>37712</v>
      </c>
      <c r="B16" s="103">
        <f t="shared" si="3"/>
        <v>6</v>
      </c>
      <c r="C16" s="7">
        <f t="shared" si="4"/>
        <v>50000000</v>
      </c>
      <c r="D16" s="7">
        <f t="shared" si="7"/>
        <v>1769444.4444444445</v>
      </c>
      <c r="E16" s="7">
        <f>D16-F16</f>
        <v>0</v>
      </c>
      <c r="F16" s="7">
        <f t="shared" si="6"/>
        <v>1769444.4444444445</v>
      </c>
      <c r="G16" s="7">
        <f>C16-E16</f>
        <v>50000000</v>
      </c>
      <c r="H16" s="7">
        <f t="shared" si="5"/>
        <v>10480555.555555554</v>
      </c>
      <c r="I16" s="1">
        <f t="shared" si="2"/>
        <v>37712</v>
      </c>
    </row>
    <row r="17" spans="1:9" x14ac:dyDescent="0.3">
      <c r="A17" s="1">
        <v>37895</v>
      </c>
      <c r="B17" s="103">
        <f t="shared" si="3"/>
        <v>7</v>
      </c>
      <c r="C17" s="7">
        <f t="shared" si="4"/>
        <v>50000000</v>
      </c>
      <c r="D17" s="7">
        <f t="shared" si="7"/>
        <v>1779166.6666666667</v>
      </c>
      <c r="E17" s="7">
        <f>D17-F17</f>
        <v>0</v>
      </c>
      <c r="F17" s="7">
        <f t="shared" si="6"/>
        <v>1779166.6666666667</v>
      </c>
      <c r="G17" s="7">
        <f>C17-E17</f>
        <v>50000000</v>
      </c>
      <c r="H17" s="7">
        <f t="shared" si="5"/>
        <v>12259722.22222222</v>
      </c>
      <c r="I17" s="1">
        <f t="shared" si="2"/>
        <v>37895</v>
      </c>
    </row>
    <row r="18" spans="1:9" x14ac:dyDescent="0.3">
      <c r="A18" s="1">
        <v>38078</v>
      </c>
      <c r="B18" s="103">
        <f t="shared" si="3"/>
        <v>8</v>
      </c>
      <c r="C18" s="7">
        <f t="shared" si="4"/>
        <v>50000000</v>
      </c>
      <c r="D18" s="7">
        <f t="shared" si="7"/>
        <v>1779166.6666666667</v>
      </c>
      <c r="E18" s="7">
        <f>D18-F18</f>
        <v>0</v>
      </c>
      <c r="F18" s="7">
        <f t="shared" si="6"/>
        <v>1779166.6666666667</v>
      </c>
      <c r="G18" s="7">
        <f>C18-E18</f>
        <v>50000000</v>
      </c>
      <c r="H18" s="7">
        <f t="shared" si="5"/>
        <v>14038888.888888886</v>
      </c>
      <c r="I18" s="1">
        <f t="shared" si="2"/>
        <v>38078</v>
      </c>
    </row>
    <row r="19" spans="1:9" x14ac:dyDescent="0.3">
      <c r="A19" s="1">
        <v>38261</v>
      </c>
      <c r="B19" s="103">
        <f t="shared" si="3"/>
        <v>9</v>
      </c>
      <c r="C19" s="7">
        <f t="shared" si="4"/>
        <v>50000000</v>
      </c>
      <c r="D19" s="7">
        <f t="shared" si="7"/>
        <v>1779166.6666666667</v>
      </c>
      <c r="E19" s="7">
        <f>D19-F19</f>
        <v>0</v>
      </c>
      <c r="F19" s="7">
        <f t="shared" si="6"/>
        <v>1779166.6666666667</v>
      </c>
      <c r="G19" s="7">
        <f>C19-E19</f>
        <v>50000000</v>
      </c>
      <c r="H19" s="7">
        <f t="shared" si="5"/>
        <v>15818055.555555552</v>
      </c>
      <c r="I19" s="1">
        <f t="shared" si="2"/>
        <v>38261</v>
      </c>
    </row>
    <row r="20" spans="1:9" x14ac:dyDescent="0.3">
      <c r="A20" s="1">
        <v>38443</v>
      </c>
      <c r="B20" s="103">
        <f t="shared" si="3"/>
        <v>10</v>
      </c>
      <c r="C20" s="7">
        <f t="shared" si="4"/>
        <v>50000000</v>
      </c>
      <c r="D20" s="7">
        <f t="shared" si="7"/>
        <v>1769444.4444444445</v>
      </c>
      <c r="E20" s="7">
        <f>D20-F20</f>
        <v>0</v>
      </c>
      <c r="F20" s="7">
        <f t="shared" si="6"/>
        <v>1769444.4444444445</v>
      </c>
      <c r="G20" s="7">
        <f>C20-E20</f>
        <v>50000000</v>
      </c>
      <c r="H20" s="7">
        <f t="shared" si="5"/>
        <v>17587499.999999996</v>
      </c>
      <c r="I20" s="1">
        <f t="shared" si="2"/>
        <v>38443</v>
      </c>
    </row>
    <row r="21" spans="1:9" ht="16.2" thickBot="1" x14ac:dyDescent="0.35">
      <c r="A21" s="1"/>
      <c r="B21" s="1"/>
      <c r="D21" s="12">
        <f>SUM(D11:D20)</f>
        <v>17587499.999999996</v>
      </c>
      <c r="E21" s="12">
        <f>SUM(E11:E20)</f>
        <v>0</v>
      </c>
      <c r="F21" s="12">
        <f>SUM(F11:F20)</f>
        <v>17587499.999999996</v>
      </c>
    </row>
    <row r="22" spans="1:9" s="102" customFormat="1" ht="16.2" thickTop="1" x14ac:dyDescent="0.3">
      <c r="A22" s="115"/>
      <c r="B22" s="115"/>
    </row>
    <row r="23" spans="1:9" s="102" customFormat="1" x14ac:dyDescent="0.3">
      <c r="A23" s="342">
        <f>+Summary!C5</f>
        <v>37161</v>
      </c>
      <c r="B23" s="342"/>
      <c r="E23" s="102" t="s">
        <v>93</v>
      </c>
      <c r="F23" s="102">
        <f>VLOOKUP(+A23,Amort,2)</f>
        <v>2</v>
      </c>
    </row>
    <row r="24" spans="1:9" s="102" customFormat="1" x14ac:dyDescent="0.3">
      <c r="A24" s="102" t="s">
        <v>90</v>
      </c>
      <c r="B24" s="102">
        <v>0</v>
      </c>
      <c r="E24" s="102" t="s">
        <v>1</v>
      </c>
      <c r="F24" s="115">
        <f>VLOOKUP(+A23,Amort,1)</f>
        <v>36983</v>
      </c>
    </row>
    <row r="25" spans="1:9" s="102" customFormat="1" x14ac:dyDescent="0.3">
      <c r="A25" s="102" t="s">
        <v>91</v>
      </c>
      <c r="B25" s="133">
        <f>VLOOKUP(+A23,Note,8)</f>
        <v>3393055.555555556</v>
      </c>
      <c r="E25" s="102" t="s">
        <v>94</v>
      </c>
      <c r="F25" s="102">
        <f>VLOOKUP(+F23+1,NotePeriod,5)</f>
        <v>1769444.4444444445</v>
      </c>
    </row>
    <row r="26" spans="1:9" s="102" customFormat="1" x14ac:dyDescent="0.3">
      <c r="A26" s="115" t="s">
        <v>92</v>
      </c>
      <c r="B26" s="102">
        <f>+B24+B25</f>
        <v>3393055.555555556</v>
      </c>
      <c r="E26" s="102" t="s">
        <v>95</v>
      </c>
      <c r="F26" s="115">
        <f>VLOOKUP(+F23+1,NotePeriod,8)</f>
        <v>37165</v>
      </c>
    </row>
    <row r="27" spans="1:9" s="102" customFormat="1" x14ac:dyDescent="0.3">
      <c r="A27" s="115" t="s">
        <v>96</v>
      </c>
      <c r="B27" s="102">
        <f>A23-F24</f>
        <v>178</v>
      </c>
      <c r="E27" s="115"/>
    </row>
    <row r="28" spans="1:9" s="102" customFormat="1" x14ac:dyDescent="0.3">
      <c r="A28" s="115" t="s">
        <v>30</v>
      </c>
      <c r="B28" s="102">
        <f>F25*B27/(F26-F24)</f>
        <v>1730555.5555555555</v>
      </c>
    </row>
    <row r="29" spans="1:9" s="102" customFormat="1" x14ac:dyDescent="0.3">
      <c r="A29" s="115" t="s">
        <v>31</v>
      </c>
      <c r="B29" s="102">
        <f>+B25+B28</f>
        <v>5123611.1111111119</v>
      </c>
    </row>
    <row r="30" spans="1:9" s="102" customFormat="1" x14ac:dyDescent="0.3"/>
    <row r="31" spans="1:9" s="102" customFormat="1" x14ac:dyDescent="0.3"/>
    <row r="32" spans="1:9" s="102" customFormat="1" x14ac:dyDescent="0.3"/>
    <row r="33" spans="1:9" s="102" customFormat="1" x14ac:dyDescent="0.3"/>
    <row r="34" spans="1:9" s="102" customFormat="1" x14ac:dyDescent="0.3"/>
    <row r="35" spans="1:9" s="102" customFormat="1" x14ac:dyDescent="0.3">
      <c r="A35" s="6" t="s">
        <v>184</v>
      </c>
      <c r="B35" s="6"/>
      <c r="C35" s="7"/>
      <c r="D35" s="7"/>
      <c r="E35" s="7"/>
      <c r="F35" s="7"/>
      <c r="G35" s="8"/>
      <c r="H35" s="101"/>
    </row>
    <row r="36" spans="1:9" s="102" customFormat="1" x14ac:dyDescent="0.3">
      <c r="A36" s="7"/>
      <c r="B36" s="110" t="s">
        <v>158</v>
      </c>
      <c r="C36" s="7"/>
      <c r="D36" s="7"/>
      <c r="E36" s="7"/>
      <c r="F36" s="7"/>
      <c r="G36" s="7"/>
      <c r="H36" s="101"/>
    </row>
    <row r="37" spans="1:9" s="102" customFormat="1" x14ac:dyDescent="0.3">
      <c r="A37" s="7" t="s">
        <v>22</v>
      </c>
      <c r="B37" s="111">
        <v>400000000</v>
      </c>
      <c r="C37" s="7"/>
      <c r="D37" s="7"/>
      <c r="E37" s="7"/>
      <c r="F37" s="7"/>
      <c r="G37" s="7"/>
      <c r="H37" s="101"/>
    </row>
    <row r="38" spans="1:9" s="102" customFormat="1" x14ac:dyDescent="0.3">
      <c r="A38" s="7" t="s">
        <v>23</v>
      </c>
      <c r="B38" s="112">
        <v>7.0000000000000007E-2</v>
      </c>
      <c r="C38" s="7"/>
      <c r="D38" s="7"/>
      <c r="E38" s="7"/>
      <c r="F38" s="7"/>
      <c r="G38" s="7"/>
      <c r="H38" s="101"/>
    </row>
    <row r="39" spans="1:9" s="102" customFormat="1" x14ac:dyDescent="0.3">
      <c r="A39" s="7" t="s">
        <v>25</v>
      </c>
      <c r="B39" s="114">
        <v>2</v>
      </c>
      <c r="C39" s="7"/>
      <c r="D39" s="7"/>
      <c r="E39" s="7"/>
      <c r="F39" s="7"/>
      <c r="G39" s="7"/>
      <c r="H39" s="101"/>
    </row>
    <row r="40" spans="1:9" s="102" customFormat="1" x14ac:dyDescent="0.3">
      <c r="A40" s="7"/>
      <c r="B40" s="7"/>
      <c r="C40" s="7"/>
      <c r="D40" s="7"/>
      <c r="E40" s="7"/>
      <c r="F40" s="7"/>
      <c r="G40" s="7"/>
      <c r="H40" s="101"/>
    </row>
    <row r="41" spans="1:9" s="102" customFormat="1" ht="27" x14ac:dyDescent="0.3">
      <c r="A41" s="9"/>
      <c r="B41" s="11" t="s">
        <v>93</v>
      </c>
      <c r="C41" s="10" t="s">
        <v>27</v>
      </c>
      <c r="D41" s="10" t="s">
        <v>390</v>
      </c>
      <c r="E41" s="10" t="s">
        <v>22</v>
      </c>
      <c r="F41" s="10" t="s">
        <v>28</v>
      </c>
      <c r="G41" s="10" t="s">
        <v>29</v>
      </c>
      <c r="H41" s="10" t="s">
        <v>187</v>
      </c>
    </row>
    <row r="42" spans="1:9" s="102" customFormat="1" x14ac:dyDescent="0.3">
      <c r="A42" s="1">
        <v>36634</v>
      </c>
      <c r="B42" s="103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36634</v>
      </c>
    </row>
    <row r="43" spans="1:9" s="102" customFormat="1" x14ac:dyDescent="0.3">
      <c r="A43" s="1">
        <v>36801</v>
      </c>
      <c r="B43" s="103">
        <f t="shared" ref="B43:B52" si="9">+B42+1</f>
        <v>1</v>
      </c>
      <c r="C43" s="7">
        <f t="shared" ref="C43:C52" si="10">G42</f>
        <v>400000000</v>
      </c>
      <c r="D43" s="7">
        <f>+E68</f>
        <v>-32474967.390000001</v>
      </c>
      <c r="E43" s="7">
        <v>0</v>
      </c>
      <c r="F43" s="7">
        <f>C43*$B$38/360*(A43-A42)</f>
        <v>12988888.88888889</v>
      </c>
      <c r="G43" s="7">
        <f>+C43+D43+E43+F43</f>
        <v>380513921.49888891</v>
      </c>
      <c r="H43" s="7">
        <f t="shared" ref="H43:H52" si="11">+H42+F43</f>
        <v>12988888.88888889</v>
      </c>
      <c r="I43" s="1">
        <f t="shared" si="8"/>
        <v>36801</v>
      </c>
    </row>
    <row r="44" spans="1:9" s="102" customFormat="1" x14ac:dyDescent="0.3">
      <c r="A44" s="1">
        <v>36983</v>
      </c>
      <c r="B44" s="103">
        <f t="shared" si="9"/>
        <v>2</v>
      </c>
      <c r="C44" s="7">
        <f t="shared" si="10"/>
        <v>380513921.49888891</v>
      </c>
      <c r="D44" s="7">
        <f>+E81</f>
        <v>74886439.052877724</v>
      </c>
      <c r="E44" s="7">
        <v>0</v>
      </c>
      <c r="F44" s="7">
        <f t="shared" ref="F44:F52" si="12">C44*$B$38/360*(A44-A43)</f>
        <v>13465964.888599571</v>
      </c>
      <c r="G44" s="7">
        <f t="shared" ref="G44:G52" si="13">+C44+D44+E44+F44</f>
        <v>468866325.44036621</v>
      </c>
      <c r="H44" s="7">
        <f t="shared" si="11"/>
        <v>26454853.777488463</v>
      </c>
      <c r="I44" s="1">
        <f t="shared" si="8"/>
        <v>36983</v>
      </c>
    </row>
    <row r="45" spans="1:9" s="102" customFormat="1" x14ac:dyDescent="0.3">
      <c r="A45" s="1">
        <v>37165</v>
      </c>
      <c r="B45" s="103">
        <f t="shared" si="9"/>
        <v>3</v>
      </c>
      <c r="C45" s="7">
        <f t="shared" si="10"/>
        <v>468866325.44036621</v>
      </c>
      <c r="D45" s="7">
        <f>+E103</f>
        <v>54221652.345548749</v>
      </c>
      <c r="E45" s="7">
        <v>0</v>
      </c>
      <c r="F45" s="7">
        <f t="shared" si="12"/>
        <v>16592658.294750741</v>
      </c>
      <c r="G45" s="7">
        <f t="shared" si="13"/>
        <v>539680636.08066571</v>
      </c>
      <c r="H45" s="7">
        <f t="shared" si="11"/>
        <v>43047512.072239205</v>
      </c>
      <c r="I45" s="1">
        <f t="shared" si="8"/>
        <v>37165</v>
      </c>
    </row>
    <row r="46" spans="1:9" s="102" customFormat="1" x14ac:dyDescent="0.3">
      <c r="A46" s="1">
        <v>37347</v>
      </c>
      <c r="B46" s="103">
        <f t="shared" si="9"/>
        <v>4</v>
      </c>
      <c r="C46" s="7">
        <f t="shared" si="10"/>
        <v>539680636.08066571</v>
      </c>
      <c r="D46" s="7">
        <v>0</v>
      </c>
      <c r="E46" s="7">
        <v>0</v>
      </c>
      <c r="F46" s="7">
        <f t="shared" si="12"/>
        <v>19098698.065743562</v>
      </c>
      <c r="G46" s="7">
        <f t="shared" si="13"/>
        <v>558779334.14640927</v>
      </c>
      <c r="H46" s="7">
        <f t="shared" si="11"/>
        <v>62146210.137982771</v>
      </c>
      <c r="I46" s="1">
        <f t="shared" si="8"/>
        <v>37347</v>
      </c>
    </row>
    <row r="47" spans="1:9" s="102" customFormat="1" x14ac:dyDescent="0.3">
      <c r="A47" s="1">
        <v>37530</v>
      </c>
      <c r="B47" s="103">
        <f t="shared" si="9"/>
        <v>5</v>
      </c>
      <c r="C47" s="7">
        <f t="shared" si="10"/>
        <v>558779334.14640927</v>
      </c>
      <c r="D47" s="7">
        <v>0</v>
      </c>
      <c r="E47" s="7">
        <v>0</v>
      </c>
      <c r="F47" s="7">
        <f t="shared" si="12"/>
        <v>19883231.306709733</v>
      </c>
      <c r="G47" s="7">
        <f t="shared" si="13"/>
        <v>578662565.45311904</v>
      </c>
      <c r="H47" s="7">
        <f t="shared" si="11"/>
        <v>82029441.444692507</v>
      </c>
      <c r="I47" s="1">
        <f t="shared" si="8"/>
        <v>37530</v>
      </c>
    </row>
    <row r="48" spans="1:9" s="102" customFormat="1" x14ac:dyDescent="0.3">
      <c r="A48" s="1">
        <v>37712</v>
      </c>
      <c r="B48" s="103">
        <f t="shared" si="9"/>
        <v>6</v>
      </c>
      <c r="C48" s="7">
        <f t="shared" si="10"/>
        <v>578662565.45311904</v>
      </c>
      <c r="D48" s="7">
        <v>0</v>
      </c>
      <c r="E48" s="7">
        <v>0</v>
      </c>
      <c r="F48" s="7">
        <f t="shared" si="12"/>
        <v>20478225.232979827</v>
      </c>
      <c r="G48" s="7">
        <f t="shared" si="13"/>
        <v>599140790.68609881</v>
      </c>
      <c r="H48" s="7">
        <f t="shared" si="11"/>
        <v>102507666.67767233</v>
      </c>
      <c r="I48" s="1">
        <f t="shared" si="8"/>
        <v>37712</v>
      </c>
    </row>
    <row r="49" spans="1:9" s="102" customFormat="1" x14ac:dyDescent="0.3">
      <c r="A49" s="1">
        <v>37895</v>
      </c>
      <c r="B49" s="103">
        <f t="shared" si="9"/>
        <v>7</v>
      </c>
      <c r="C49" s="7">
        <f t="shared" si="10"/>
        <v>599140790.68609881</v>
      </c>
      <c r="D49" s="7">
        <v>0</v>
      </c>
      <c r="E49" s="7">
        <v>0</v>
      </c>
      <c r="F49" s="7">
        <f t="shared" si="12"/>
        <v>21319426.468580354</v>
      </c>
      <c r="G49" s="7">
        <f t="shared" si="13"/>
        <v>620460217.15467918</v>
      </c>
      <c r="H49" s="7">
        <f t="shared" si="11"/>
        <v>123827093.14625268</v>
      </c>
      <c r="I49" s="1">
        <f t="shared" si="8"/>
        <v>37895</v>
      </c>
    </row>
    <row r="50" spans="1:9" s="102" customFormat="1" x14ac:dyDescent="0.3">
      <c r="A50" s="1">
        <v>38078</v>
      </c>
      <c r="B50" s="103">
        <f t="shared" si="9"/>
        <v>8</v>
      </c>
      <c r="C50" s="7">
        <f t="shared" si="10"/>
        <v>620460217.15467918</v>
      </c>
      <c r="D50" s="7">
        <v>0</v>
      </c>
      <c r="E50" s="7">
        <v>0</v>
      </c>
      <c r="F50" s="7">
        <f t="shared" si="12"/>
        <v>22078042.727087338</v>
      </c>
      <c r="G50" s="7">
        <f t="shared" si="13"/>
        <v>642538259.88176656</v>
      </c>
      <c r="H50" s="7">
        <f t="shared" si="11"/>
        <v>145905135.87334001</v>
      </c>
      <c r="I50" s="1">
        <f t="shared" si="8"/>
        <v>38078</v>
      </c>
    </row>
    <row r="51" spans="1:9" s="102" customFormat="1" x14ac:dyDescent="0.3">
      <c r="A51" s="1">
        <v>38261</v>
      </c>
      <c r="B51" s="103">
        <f t="shared" si="9"/>
        <v>9</v>
      </c>
      <c r="C51" s="7">
        <f t="shared" si="10"/>
        <v>642538259.88176656</v>
      </c>
      <c r="D51" s="7">
        <v>0</v>
      </c>
      <c r="E51" s="7">
        <v>0</v>
      </c>
      <c r="F51" s="7">
        <f t="shared" si="12"/>
        <v>22863653.080792859</v>
      </c>
      <c r="G51" s="7">
        <f t="shared" si="13"/>
        <v>665401912.96255946</v>
      </c>
      <c r="H51" s="7">
        <f t="shared" si="11"/>
        <v>168768788.95413285</v>
      </c>
      <c r="I51" s="1">
        <f t="shared" si="8"/>
        <v>38261</v>
      </c>
    </row>
    <row r="52" spans="1:9" s="102" customFormat="1" x14ac:dyDescent="0.3">
      <c r="A52" s="1">
        <v>38443</v>
      </c>
      <c r="B52" s="103">
        <f t="shared" si="9"/>
        <v>10</v>
      </c>
      <c r="C52" s="7">
        <f t="shared" si="10"/>
        <v>665401912.96255946</v>
      </c>
      <c r="D52" s="7">
        <v>0</v>
      </c>
      <c r="E52" s="7">
        <v>0</v>
      </c>
      <c r="F52" s="7">
        <f t="shared" si="12"/>
        <v>23547834.364286132</v>
      </c>
      <c r="G52" s="7">
        <f t="shared" si="13"/>
        <v>688949747.32684565</v>
      </c>
      <c r="H52" s="7">
        <f t="shared" si="11"/>
        <v>192316623.31841898</v>
      </c>
      <c r="I52" s="1">
        <f t="shared" si="8"/>
        <v>38443</v>
      </c>
    </row>
    <row r="53" spans="1:9" s="102" customFormat="1" ht="16.2" thickBot="1" x14ac:dyDescent="0.35">
      <c r="A53" s="1"/>
      <c r="B53" s="1"/>
      <c r="C53" s="7"/>
      <c r="D53" s="12">
        <f>SUM(D43:D52)</f>
        <v>96633124.008426473</v>
      </c>
      <c r="E53" s="12">
        <f>SUM(E43:E52)</f>
        <v>0</v>
      </c>
      <c r="F53" s="12">
        <f>SUM(F43:F52)</f>
        <v>192316623.31841898</v>
      </c>
      <c r="G53" s="7"/>
      <c r="H53" s="13"/>
    </row>
    <row r="54" spans="1:9" s="102" customFormat="1" ht="16.2" thickTop="1" x14ac:dyDescent="0.3">
      <c r="A54" s="115"/>
      <c r="B54" s="115"/>
    </row>
    <row r="55" spans="1:9" s="102" customFormat="1" x14ac:dyDescent="0.3">
      <c r="A55" s="342">
        <f>+Summary!C5</f>
        <v>37161</v>
      </c>
      <c r="B55" s="342"/>
      <c r="E55" s="102" t="s">
        <v>93</v>
      </c>
      <c r="F55" s="102">
        <f>VLOOKUP(+A55,Note,2)</f>
        <v>2</v>
      </c>
    </row>
    <row r="56" spans="1:9" x14ac:dyDescent="0.3">
      <c r="A56" s="102"/>
      <c r="B56" s="102"/>
      <c r="C56" s="102"/>
      <c r="D56" s="102"/>
      <c r="E56" s="102" t="s">
        <v>1</v>
      </c>
      <c r="F56" s="115">
        <f>VLOOKUP(+A55,Note,1)</f>
        <v>36983</v>
      </c>
      <c r="G56" s="102"/>
    </row>
    <row r="57" spans="1:9" x14ac:dyDescent="0.3">
      <c r="A57" s="102" t="s">
        <v>188</v>
      </c>
      <c r="B57" s="133">
        <f>VLOOKUP(+A55,Loan,8)</f>
        <v>26454853.777488463</v>
      </c>
      <c r="C57" s="102"/>
      <c r="D57" s="102"/>
      <c r="E57" s="102" t="s">
        <v>94</v>
      </c>
      <c r="F57" s="102">
        <f>VLOOKUP(+F55+1,LoanPeriod,5)</f>
        <v>16592658.294750741</v>
      </c>
      <c r="G57" s="102"/>
    </row>
    <row r="58" spans="1:9" x14ac:dyDescent="0.3">
      <c r="A58" s="115" t="s">
        <v>7</v>
      </c>
      <c r="B58" s="102">
        <f>+B56+B57</f>
        <v>26454853.777488463</v>
      </c>
      <c r="C58" s="102"/>
      <c r="D58" s="102"/>
      <c r="E58" s="102" t="s">
        <v>95</v>
      </c>
      <c r="F58" s="115">
        <f>VLOOKUP(+F55+1,NotePeriod,8)</f>
        <v>37165</v>
      </c>
      <c r="G58" s="102"/>
    </row>
    <row r="59" spans="1:9" x14ac:dyDescent="0.3">
      <c r="A59" s="115" t="s">
        <v>96</v>
      </c>
      <c r="B59" s="102">
        <f>A55-F56</f>
        <v>178</v>
      </c>
      <c r="C59" s="102"/>
      <c r="D59" s="102"/>
      <c r="E59" s="115"/>
      <c r="F59" s="102"/>
      <c r="G59" s="102"/>
    </row>
    <row r="60" spans="1:9" x14ac:dyDescent="0.3">
      <c r="A60" s="115" t="s">
        <v>185</v>
      </c>
      <c r="B60" s="102">
        <f>F57*B59/(F58-F56)</f>
        <v>16227984.4860749</v>
      </c>
      <c r="C60" s="102"/>
      <c r="D60" s="102"/>
      <c r="E60" s="102"/>
      <c r="F60" s="102"/>
      <c r="G60" s="102"/>
    </row>
    <row r="61" spans="1:9" x14ac:dyDescent="0.3">
      <c r="A61" s="115" t="s">
        <v>186</v>
      </c>
      <c r="B61" s="102">
        <f>+B57+B60</f>
        <v>42682838.263563365</v>
      </c>
      <c r="C61" s="102"/>
      <c r="D61" s="102"/>
      <c r="E61" s="102"/>
      <c r="F61" s="102"/>
      <c r="G61" s="102"/>
    </row>
    <row r="63" spans="1:9" x14ac:dyDescent="0.3">
      <c r="A63" s="7" t="s">
        <v>394</v>
      </c>
    </row>
    <row r="64" spans="1:9" x14ac:dyDescent="0.3">
      <c r="A64" s="1">
        <f>+'Cash-Int-Trans'!B124</f>
        <v>36741</v>
      </c>
      <c r="B64" s="7" t="s">
        <v>391</v>
      </c>
      <c r="E64" s="137">
        <f>+'Cash-Int-Trans'!B123</f>
        <v>3965852</v>
      </c>
    </row>
    <row r="65" spans="1:5" x14ac:dyDescent="0.3">
      <c r="A65" s="1">
        <f>+A64</f>
        <v>36741</v>
      </c>
      <c r="B65" s="7" t="s">
        <v>395</v>
      </c>
      <c r="C65" s="1"/>
      <c r="D65" s="1">
        <f>+'Cash-Int-Trans'!E122</f>
        <v>36801</v>
      </c>
      <c r="E65" s="305">
        <f>+'Cash-Int-Trans'!E124</f>
        <v>46268.273333333338</v>
      </c>
    </row>
    <row r="66" spans="1:5" x14ac:dyDescent="0.3">
      <c r="A66" s="1">
        <f>+'Cash-Int-Trans'!B128</f>
        <v>36741</v>
      </c>
      <c r="B66" s="7" t="s">
        <v>422</v>
      </c>
      <c r="E66" s="305">
        <f>+'Cash-Int-Trans'!B127</f>
        <v>-36066314</v>
      </c>
    </row>
    <row r="67" spans="1:5" x14ac:dyDescent="0.3">
      <c r="A67" s="1">
        <f>+A66</f>
        <v>36741</v>
      </c>
      <c r="B67" s="7" t="s">
        <v>395</v>
      </c>
      <c r="C67" s="1"/>
      <c r="D67" s="1">
        <f>+'Cash-Int-Trans'!E122</f>
        <v>36801</v>
      </c>
      <c r="E67" s="306">
        <f>+'Cash-Int-Trans'!E128</f>
        <v>-420773.66333333339</v>
      </c>
    </row>
    <row r="68" spans="1:5" x14ac:dyDescent="0.3">
      <c r="E68" s="137">
        <f>SUM(E64:E67)</f>
        <v>-32474967.390000001</v>
      </c>
    </row>
    <row r="69" spans="1:5" x14ac:dyDescent="0.3">
      <c r="E69" s="137"/>
    </row>
    <row r="70" spans="1:5" x14ac:dyDescent="0.3">
      <c r="A70" s="1">
        <f>+'Cash-Int-Trans'!B132</f>
        <v>36831</v>
      </c>
      <c r="B70" s="7" t="str">
        <f>+'Cash-Int-Trans'!A132</f>
        <v>Brigham Debt</v>
      </c>
      <c r="D70" s="1"/>
      <c r="E70" s="137">
        <f>+'Cash-Int-Trans'!B131</f>
        <v>-65511</v>
      </c>
    </row>
    <row r="71" spans="1:5" x14ac:dyDescent="0.3">
      <c r="A71" s="1">
        <f>+'Cash-Int-Trans'!B136</f>
        <v>36839</v>
      </c>
      <c r="B71" s="7" t="str">
        <f>+'Cash-Int-Trans'!A136</f>
        <v>Place Termination</v>
      </c>
      <c r="D71" s="1"/>
      <c r="E71" s="137">
        <f>+'Cash-Int-Trans'!B135</f>
        <v>-299117.99349999952</v>
      </c>
    </row>
    <row r="72" spans="1:5" x14ac:dyDescent="0.3">
      <c r="A72" s="1">
        <f>+'Cash-Int-Trans'!B140</f>
        <v>36868</v>
      </c>
      <c r="B72" s="7" t="str">
        <f>+'Cash-Int-Trans'!A140</f>
        <v>Quicksilver Termination</v>
      </c>
      <c r="D72" s="1"/>
      <c r="E72" s="137">
        <f>+'Cash-Int-Trans'!B139</f>
        <v>1166000.1255500002</v>
      </c>
    </row>
    <row r="73" spans="1:5" x14ac:dyDescent="0.3">
      <c r="A73" s="1">
        <f>+'Cash-Int-Trans'!B144</f>
        <v>36874</v>
      </c>
      <c r="B73" s="7" t="str">
        <f>+'Cash-Int-Trans'!A144</f>
        <v>DEVX Pref Termination</v>
      </c>
      <c r="D73" s="1"/>
      <c r="E73" s="137">
        <f>+'Cash-Int-Trans'!B143</f>
        <v>-599260.14000000013</v>
      </c>
    </row>
    <row r="74" spans="1:5" x14ac:dyDescent="0.3">
      <c r="A74" s="1">
        <f>+'Cash-Int-Trans'!B148</f>
        <v>36888</v>
      </c>
      <c r="B74" s="7" t="str">
        <f>+'Cash-Int-Trans'!A148</f>
        <v>Black Bay and Keathley Termination</v>
      </c>
      <c r="D74" s="1"/>
      <c r="E74" s="137">
        <f>+'Cash-Int-Trans'!B147</f>
        <v>2417178.9900000002</v>
      </c>
    </row>
    <row r="75" spans="1:5" x14ac:dyDescent="0.3">
      <c r="A75" s="1">
        <f>+'Cash-Int-Trans'!B152</f>
        <v>36889</v>
      </c>
      <c r="B75" s="7" t="str">
        <f>+'Cash-Int-Trans'!A152</f>
        <v>Geo. Pursuit Termination</v>
      </c>
      <c r="D75" s="1"/>
      <c r="E75" s="137">
        <f>+'Cash-Int-Trans'!B151</f>
        <v>887500</v>
      </c>
    </row>
    <row r="76" spans="1:5" x14ac:dyDescent="0.3">
      <c r="A76" s="1">
        <f>+'Cash-Int-Trans'!B156</f>
        <v>36902</v>
      </c>
      <c r="B76" s="7" t="str">
        <f>+'Cash-Int-Trans'!A156</f>
        <v>Avici Termination</v>
      </c>
      <c r="D76" s="1"/>
      <c r="E76" s="137">
        <f>+'Cash-Int-Trans'!B155</f>
        <v>132061.01999999999</v>
      </c>
    </row>
    <row r="77" spans="1:5" x14ac:dyDescent="0.3">
      <c r="A77" s="1">
        <f>+'Cash-Int-Trans'!B160</f>
        <v>36907</v>
      </c>
      <c r="B77" s="7" t="str">
        <f>+'Cash-Int-Trans'!A160</f>
        <v>Active Power Termination</v>
      </c>
      <c r="D77" s="1"/>
      <c r="E77" s="137">
        <f>+'Cash-Int-Trans'!B159</f>
        <v>7079860.9400000004</v>
      </c>
    </row>
    <row r="78" spans="1:5" x14ac:dyDescent="0.3">
      <c r="A78" s="1">
        <f>+'Cash-Int-Trans'!B164</f>
        <v>36910</v>
      </c>
      <c r="B78" s="7" t="str">
        <f>+'Cash-Int-Trans'!A164</f>
        <v>Merlin</v>
      </c>
      <c r="D78" s="1"/>
      <c r="E78" s="137">
        <f>+'Cash-Int-Trans'!B163</f>
        <v>63109023.640000001</v>
      </c>
    </row>
    <row r="79" spans="1:5" x14ac:dyDescent="0.3">
      <c r="A79" s="1">
        <f>+'Cash-Int-Trans'!B168</f>
        <v>36976</v>
      </c>
      <c r="B79" s="7" t="str">
        <f>+'Cash-Int-Trans'!A168</f>
        <v>ENE Shares</v>
      </c>
      <c r="D79" s="1"/>
      <c r="E79" s="137">
        <f>+'Cash-Int-Trans'!B167</f>
        <v>0</v>
      </c>
    </row>
    <row r="80" spans="1:5" x14ac:dyDescent="0.3">
      <c r="A80" s="1"/>
      <c r="B80" s="7" t="s">
        <v>392</v>
      </c>
      <c r="D80" s="1"/>
      <c r="E80" s="307">
        <f>+'Cash-Int-Trans'!E132+'Cash-Int-Trans'!E136+'Cash-Int-Trans'!E140+'Cash-Int-Trans'!E144+'Cash-Int-Trans'!E148+'Cash-Int-Trans'!E152+'Cash-Int-Trans'!E156+'Cash-Int-Trans'!E160+'Cash-Int-Trans'!E164+'Cash-Int-Trans'!E168</f>
        <v>1058703.4708277225</v>
      </c>
    </row>
    <row r="81" spans="1:5" x14ac:dyDescent="0.3">
      <c r="A81" s="1"/>
      <c r="D81" s="1"/>
      <c r="E81" s="137">
        <f>SUM(E70:E80)</f>
        <v>74886439.052877724</v>
      </c>
    </row>
    <row r="82" spans="1:5" x14ac:dyDescent="0.3">
      <c r="E82" s="137"/>
    </row>
    <row r="83" spans="1:5" x14ac:dyDescent="0.3">
      <c r="A83" s="1">
        <f>+'Cash-Int-Trans'!B172</f>
        <v>36980</v>
      </c>
      <c r="B83" s="7" t="str">
        <f>+'Cash-Int-Trans'!A172</f>
        <v>Devx and Invasion</v>
      </c>
      <c r="D83" s="1"/>
      <c r="E83" s="137">
        <f>+'Cash-Int-Trans'!B171</f>
        <v>98071.411015999998</v>
      </c>
    </row>
    <row r="84" spans="1:5" x14ac:dyDescent="0.3">
      <c r="A84" s="1">
        <f>+'Cash-Int-Trans'!B176</f>
        <v>37001</v>
      </c>
      <c r="B84" s="7" t="str">
        <f>+'Cash-Int-Trans'!A176</f>
        <v>Active Power Termination</v>
      </c>
      <c r="D84" s="1"/>
      <c r="E84" s="137">
        <f>+'Cash-Int-Trans'!B175</f>
        <v>5168955.03</v>
      </c>
    </row>
    <row r="85" spans="1:5" x14ac:dyDescent="0.3">
      <c r="A85" s="1">
        <f>+'Cash-Int-Trans'!B180</f>
        <v>37004</v>
      </c>
      <c r="B85" s="7" t="str">
        <f>+'Cash-Int-Trans'!A180</f>
        <v>Active Power Termination</v>
      </c>
      <c r="D85" s="1"/>
      <c r="E85" s="137">
        <f>+'Cash-Int-Trans'!B179</f>
        <v>3238750.02</v>
      </c>
    </row>
    <row r="86" spans="1:5" x14ac:dyDescent="0.3">
      <c r="A86" s="1">
        <f>+'Cash-Int-Trans'!B184</f>
        <v>37005</v>
      </c>
      <c r="B86" s="7" t="str">
        <f>+'Cash-Int-Trans'!A184</f>
        <v>Active Power Termination</v>
      </c>
      <c r="D86" s="1"/>
      <c r="E86" s="137">
        <f>+'Cash-Int-Trans'!B183</f>
        <v>1140849.51</v>
      </c>
    </row>
    <row r="87" spans="1:5" x14ac:dyDescent="0.3">
      <c r="A87" s="1">
        <f>+'Cash-Int-Trans'!B188</f>
        <v>37011</v>
      </c>
      <c r="B87" s="7" t="str">
        <f>+'Cash-Int-Trans'!A188</f>
        <v>Paradigm</v>
      </c>
      <c r="D87" s="1"/>
      <c r="E87" s="137">
        <f>+'Cash-Int-Trans'!B187</f>
        <v>1306.0999999999999</v>
      </c>
    </row>
    <row r="88" spans="1:5" x14ac:dyDescent="0.3">
      <c r="A88" s="1">
        <f>+'Cash-Int-Trans'!B192</f>
        <v>37012</v>
      </c>
      <c r="B88" s="7" t="str">
        <f>+'Cash-Int-Trans'!A192</f>
        <v>Paradigm</v>
      </c>
      <c r="D88" s="1"/>
      <c r="E88" s="137">
        <f>+'Cash-Int-Trans'!B191</f>
        <v>1441.36</v>
      </c>
    </row>
    <row r="89" spans="1:5" x14ac:dyDescent="0.3">
      <c r="A89" s="1">
        <f>+'Cash-Int-Trans'!B196</f>
        <v>37013</v>
      </c>
      <c r="B89" s="7" t="str">
        <f>+'Cash-Int-Trans'!A196</f>
        <v>Paradigm</v>
      </c>
      <c r="D89" s="1"/>
      <c r="E89" s="137">
        <f>+'Cash-Int-Trans'!B195</f>
        <v>475.19</v>
      </c>
    </row>
    <row r="90" spans="1:5" x14ac:dyDescent="0.3">
      <c r="A90" s="1">
        <f>+'Cash-Int-Trans'!B200</f>
        <v>37018</v>
      </c>
      <c r="B90" s="7" t="str">
        <f>+'Cash-Int-Trans'!A200</f>
        <v>Paradigm and Active</v>
      </c>
      <c r="D90" s="1"/>
      <c r="E90" s="137">
        <f>+'Cash-Int-Trans'!B199</f>
        <v>2836219.65</v>
      </c>
    </row>
    <row r="91" spans="1:5" x14ac:dyDescent="0.3">
      <c r="A91" s="1">
        <f>+'Cash-Int-Trans'!B204</f>
        <v>37019</v>
      </c>
      <c r="B91" s="7" t="str">
        <f>+'Cash-Int-Trans'!A204</f>
        <v>Paradigm and Active</v>
      </c>
      <c r="D91" s="1"/>
      <c r="E91" s="137">
        <f>+'Cash-Int-Trans'!B203</f>
        <v>4333790.07</v>
      </c>
    </row>
    <row r="92" spans="1:5" x14ac:dyDescent="0.3">
      <c r="A92" s="1">
        <f>+'Cash-Int-Trans'!B208</f>
        <v>37020</v>
      </c>
      <c r="B92" s="7" t="str">
        <f>+'Cash-Int-Trans'!A208</f>
        <v>Active</v>
      </c>
      <c r="D92" s="1"/>
      <c r="E92" s="137">
        <f>+'Cash-Int-Trans'!B207</f>
        <v>4111671.57</v>
      </c>
    </row>
    <row r="93" spans="1:5" x14ac:dyDescent="0.3">
      <c r="A93" s="1">
        <f>+'Cash-Int-Trans'!B212</f>
        <v>37022</v>
      </c>
      <c r="B93" s="7" t="str">
        <f>+'Cash-Int-Trans'!A212</f>
        <v>Paradigm</v>
      </c>
      <c r="D93" s="1"/>
      <c r="E93" s="137">
        <f>+'Cash-Int-Trans'!B211</f>
        <v>487.5</v>
      </c>
    </row>
    <row r="94" spans="1:5" x14ac:dyDescent="0.3">
      <c r="A94" s="1">
        <f>+'Cash-Int-Trans'!B216</f>
        <v>37028</v>
      </c>
      <c r="B94" s="7" t="str">
        <f>+'Cash-Int-Trans'!A216</f>
        <v>Paradigm</v>
      </c>
      <c r="D94" s="1"/>
      <c r="E94" s="137">
        <f>+'Cash-Int-Trans'!B215</f>
        <v>254.03</v>
      </c>
    </row>
    <row r="95" spans="1:5" x14ac:dyDescent="0.3">
      <c r="A95" s="1">
        <f>+'Cash-Int-Trans'!B220</f>
        <v>37029</v>
      </c>
      <c r="B95" s="7" t="str">
        <f>+'Cash-Int-Trans'!A220</f>
        <v>Paradigm</v>
      </c>
      <c r="D95" s="1"/>
      <c r="E95" s="137">
        <f>+'Cash-Int-Trans'!B219</f>
        <v>3191.18</v>
      </c>
    </row>
    <row r="96" spans="1:5" x14ac:dyDescent="0.3">
      <c r="A96" s="1">
        <f>+'Cash-Int-Trans'!B224</f>
        <v>37032</v>
      </c>
      <c r="B96" s="7" t="str">
        <f>+'Cash-Int-Trans'!A224</f>
        <v>Paradigm</v>
      </c>
      <c r="D96" s="1"/>
      <c r="E96" s="137">
        <f>+'Cash-Int-Trans'!B223</f>
        <v>1757.87</v>
      </c>
    </row>
    <row r="97" spans="1:5" x14ac:dyDescent="0.3">
      <c r="A97" s="1">
        <f>+'Cash-Int-Trans'!B228</f>
        <v>37033</v>
      </c>
      <c r="B97" s="7" t="str">
        <f>+'Cash-Int-Trans'!A228</f>
        <v>Paradigm</v>
      </c>
      <c r="D97" s="1"/>
      <c r="E97" s="137">
        <f>+'Cash-Int-Trans'!B227</f>
        <v>5990.3</v>
      </c>
    </row>
    <row r="98" spans="1:5" x14ac:dyDescent="0.3">
      <c r="A98" s="1">
        <f>+'Cash-Int-Trans'!B232</f>
        <v>37034</v>
      </c>
      <c r="B98" s="7" t="str">
        <f>+'Cash-Int-Trans'!A232</f>
        <v>Paradigm</v>
      </c>
      <c r="D98" s="1"/>
      <c r="E98" s="137">
        <f>+'Cash-Int-Trans'!B231</f>
        <v>471.82</v>
      </c>
    </row>
    <row r="99" spans="1:5" x14ac:dyDescent="0.3">
      <c r="A99" s="1">
        <f>+'Cash-Int-Trans'!B236</f>
        <v>37069</v>
      </c>
      <c r="B99" s="7" t="str">
        <f>+'Cash-Int-Trans'!A236</f>
        <v>3 Tec and Carrizo</v>
      </c>
      <c r="D99" s="1"/>
      <c r="E99" s="137">
        <f>+'Cash-Int-Trans'!B235</f>
        <v>163319.21000000002</v>
      </c>
    </row>
    <row r="100" spans="1:5" x14ac:dyDescent="0.3">
      <c r="A100" s="1">
        <f>+'Cash-Int-Trans'!B240</f>
        <v>37071</v>
      </c>
      <c r="B100" s="7" t="str">
        <f>+'Cash-Int-Trans'!A240</f>
        <v>Merlin Credit Derivative</v>
      </c>
      <c r="D100" s="1"/>
      <c r="E100" s="137">
        <f>+'Cash-Int-Trans'!B239</f>
        <v>30637566.359999999</v>
      </c>
    </row>
    <row r="101" spans="1:5" x14ac:dyDescent="0.3">
      <c r="A101" s="1">
        <f>+'Cash-Int-Trans'!B244</f>
        <v>37078</v>
      </c>
      <c r="B101" s="7" t="str">
        <f>+'Cash-Int-Trans'!A244</f>
        <v>WB Oil &amp; Gas</v>
      </c>
      <c r="D101" s="1"/>
      <c r="E101" s="137">
        <f>+'Cash-Int-Trans'!B243</f>
        <v>1360000</v>
      </c>
    </row>
    <row r="102" spans="1:5" x14ac:dyDescent="0.3">
      <c r="A102" s="1"/>
      <c r="B102" s="7" t="s">
        <v>392</v>
      </c>
      <c r="D102" s="1"/>
      <c r="E102" s="307">
        <f>+'Cash-Int-Trans'!E172+'Cash-Int-Trans'!E176+'Cash-Int-Trans'!E180+'Cash-Int-Trans'!E184+'Cash-Int-Trans'!E188+'Cash-Int-Trans'!E192+'Cash-Int-Trans'!E196+'Cash-Int-Trans'!E200+'Cash-Int-Trans'!E204+'Cash-Int-Trans'!E208+'Cash-Int-Trans'!E212+'Cash-Int-Trans'!E216+'Cash-Int-Trans'!E220+'Cash-Int-Trans'!E224+'Cash-Int-Trans'!E228+'Cash-Int-Trans'!E232+'Cash-Int-Trans'!E236+'Cash-Int-Trans'!E240+'Cash-Int-Trans'!E244</f>
        <v>1117084.164532745</v>
      </c>
    </row>
    <row r="103" spans="1:5" x14ac:dyDescent="0.3">
      <c r="A103" s="1"/>
      <c r="D103" s="1"/>
      <c r="E103" s="137">
        <f>SUM(E83:E102)</f>
        <v>54221652.345548749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scale="75" orientation="portrait" r:id="rId1"/>
  <headerFooter alignWithMargins="0"/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28</vt:i4>
      </vt:variant>
    </vt:vector>
  </HeadingPairs>
  <TitlesOfParts>
    <vt:vector size="39" baseType="lpstr">
      <vt:lpstr>Summary</vt:lpstr>
      <vt:lpstr>Daily Position</vt:lpstr>
      <vt:lpstr>Stock Prices</vt:lpstr>
      <vt:lpstr>Private Values</vt:lpstr>
      <vt:lpstr>Private Cash</vt:lpstr>
      <vt:lpstr>Financials</vt:lpstr>
      <vt:lpstr>Financials QTR</vt:lpstr>
      <vt:lpstr>Cash-Int-Trans</vt:lpstr>
      <vt:lpstr>Amort</vt:lpstr>
      <vt:lpstr>Shares</vt:lpstr>
      <vt:lpstr>MPR Raptor</vt:lpstr>
      <vt:lpstr>acpw</vt:lpstr>
      <vt:lpstr>Amort</vt:lpstr>
      <vt:lpstr>avci</vt:lpstr>
      <vt:lpstr>caplg</vt:lpstr>
      <vt:lpstr>cesiv</vt:lpstr>
      <vt:lpstr>ene</vt:lpstr>
      <vt:lpstr>kwk</vt:lpstr>
      <vt:lpstr>Loan</vt:lpstr>
      <vt:lpstr>LoanPeriod</vt:lpstr>
      <vt:lpstr>MPRR</vt:lpstr>
      <vt:lpstr>Note</vt:lpstr>
      <vt:lpstr>NotePeriod</vt:lpstr>
      <vt:lpstr>pgeo</vt:lpstr>
      <vt:lpstr>'Cash-Int-Trans'!Print_Area</vt:lpstr>
      <vt:lpstr>'Private Values'!Print_Area</vt:lpstr>
      <vt:lpstr>Shares!Print_Area</vt:lpstr>
      <vt:lpstr>'Stock Prices'!Print_Area</vt:lpstr>
      <vt:lpstr>Summary!Print_Area</vt:lpstr>
      <vt:lpstr>'MPR Raptor'!Print_Titles</vt:lpstr>
      <vt:lpstr>'Private Values'!Print_Titles</vt:lpstr>
      <vt:lpstr>'Stock Prices'!Print_Titles</vt:lpstr>
      <vt:lpstr>Privates</vt:lpstr>
      <vt:lpstr>prs</vt:lpstr>
      <vt:lpstr>qsri</vt:lpstr>
      <vt:lpstr>StkPrices</vt:lpstr>
      <vt:lpstr>ttene</vt:lpstr>
      <vt:lpstr>wcrzo</vt:lpstr>
      <vt:lpstr>wtten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2001-07-24T18:53:45Z</cp:lastPrinted>
  <dcterms:created xsi:type="dcterms:W3CDTF">2000-08-10T21:11:42Z</dcterms:created>
  <dcterms:modified xsi:type="dcterms:W3CDTF">2023-09-10T16:00:37Z</dcterms:modified>
</cp:coreProperties>
</file>