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288" windowWidth="14628" windowHeight="8640"/>
  </bookViews>
  <sheets>
    <sheet name="Summary" sheetId="1" r:id="rId1"/>
    <sheet name="Daily Position" sheetId="3" r:id="rId2"/>
    <sheet name="Stock Prices" sheetId="2" r:id="rId3"/>
    <sheet name="Financials" sheetId="4" r:id="rId4"/>
    <sheet name="Financials QTR" sheetId="10" r:id="rId5"/>
    <sheet name="Cash-Int-Trans" sheetId="6" r:id="rId6"/>
    <sheet name="Jedi Shares" sheetId="9" r:id="rId7"/>
    <sheet name="Amort" sheetId="5" r:id="rId8"/>
    <sheet name="Shares" sheetId="8" r:id="rId9"/>
    <sheet name="MPR Raptor" sheetId="7" r:id="rId10"/>
  </sheets>
  <externalReferences>
    <externalReference r:id="rId11"/>
    <externalReference r:id="rId12"/>
  </externalReferences>
  <definedNames>
    <definedName name="_xlnm._FilterDatabase" localSheetId="2" hidden="1">'Stock Prices'!#REF!</definedName>
    <definedName name="Amort">Amort!$A$10:$G$20</definedName>
    <definedName name="ene">'Stock Prices'!$A$6:$B$344</definedName>
    <definedName name="Loan">Amort!$A$42:$I$52</definedName>
    <definedName name="LoanPeriod">Amort!$B$42:$I$52</definedName>
    <definedName name="MPRR">'MPR Raptor'!$E$3:$CN$103</definedName>
    <definedName name="Note">Amort!$A$10:$I$20</definedName>
    <definedName name="NotePeriod">Amort!$B$10:$I$20</definedName>
    <definedName name="Prices">'Stock Prices'!$A$6:$C$344</definedName>
    <definedName name="_xlnm.Print_Area" localSheetId="8">Shares!$A$1:$E$30</definedName>
    <definedName name="_xlnm.Print_Area" localSheetId="0">Summary!$A$1:$F$25</definedName>
    <definedName name="Privates">#REF!</definedName>
    <definedName name="StkPrices">'[2]Stock Prices'!$A$5:$L$377</definedName>
    <definedName name="wtten">'Stock Prices'!$H$5:$H$378</definedName>
  </definedNames>
  <calcPr calcId="92512"/>
</workbook>
</file>

<file path=xl/calcChain.xml><?xml version="1.0" encoding="utf-8"?>
<calcChain xmlns="http://schemas.openxmlformats.org/spreadsheetml/2006/main">
  <c r="B5" i="5" l="1"/>
  <c r="C10" i="5"/>
  <c r="E10" i="5"/>
  <c r="G10" i="5"/>
  <c r="H10" i="5"/>
  <c r="I10" i="5"/>
  <c r="B11" i="5"/>
  <c r="C11" i="5"/>
  <c r="D11" i="5"/>
  <c r="E11" i="5"/>
  <c r="F11" i="5"/>
  <c r="G11" i="5"/>
  <c r="H11" i="5"/>
  <c r="I11" i="5"/>
  <c r="B12" i="5"/>
  <c r="C12" i="5"/>
  <c r="D12" i="5"/>
  <c r="E12" i="5"/>
  <c r="F12" i="5"/>
  <c r="G12" i="5"/>
  <c r="H12" i="5"/>
  <c r="I12" i="5"/>
  <c r="B13" i="5"/>
  <c r="C13" i="5"/>
  <c r="D13" i="5"/>
  <c r="E13" i="5"/>
  <c r="F13" i="5"/>
  <c r="G13" i="5"/>
  <c r="H13" i="5"/>
  <c r="I13" i="5"/>
  <c r="B14" i="5"/>
  <c r="C14" i="5"/>
  <c r="D14" i="5"/>
  <c r="E14" i="5"/>
  <c r="F14" i="5"/>
  <c r="G14" i="5"/>
  <c r="H14" i="5"/>
  <c r="I14" i="5"/>
  <c r="B15" i="5"/>
  <c r="C15" i="5"/>
  <c r="D15" i="5"/>
  <c r="E15" i="5"/>
  <c r="F15" i="5"/>
  <c r="G15" i="5"/>
  <c r="H15" i="5"/>
  <c r="I15" i="5"/>
  <c r="B16" i="5"/>
  <c r="C16" i="5"/>
  <c r="D16" i="5"/>
  <c r="E16" i="5"/>
  <c r="F16" i="5"/>
  <c r="G16" i="5"/>
  <c r="H16" i="5"/>
  <c r="I16" i="5"/>
  <c r="B17" i="5"/>
  <c r="C17" i="5"/>
  <c r="D17" i="5"/>
  <c r="E17" i="5"/>
  <c r="F17" i="5"/>
  <c r="G17" i="5"/>
  <c r="H17" i="5"/>
  <c r="I17" i="5"/>
  <c r="B18" i="5"/>
  <c r="C18" i="5"/>
  <c r="D18" i="5"/>
  <c r="E18" i="5"/>
  <c r="F18" i="5"/>
  <c r="G18" i="5"/>
  <c r="H18" i="5"/>
  <c r="I18" i="5"/>
  <c r="B19" i="5"/>
  <c r="C19" i="5"/>
  <c r="D19" i="5"/>
  <c r="E19" i="5"/>
  <c r="F19" i="5"/>
  <c r="G19" i="5"/>
  <c r="H19" i="5"/>
  <c r="I19" i="5"/>
  <c r="B20" i="5"/>
  <c r="C20" i="5"/>
  <c r="D20" i="5"/>
  <c r="E20" i="5"/>
  <c r="F20" i="5"/>
  <c r="G20" i="5"/>
  <c r="H20" i="5"/>
  <c r="I20" i="5"/>
  <c r="D21" i="5"/>
  <c r="E21" i="5"/>
  <c r="F21" i="5"/>
  <c r="A23" i="5"/>
  <c r="F23" i="5"/>
  <c r="F24" i="5"/>
  <c r="B25" i="5"/>
  <c r="F25" i="5"/>
  <c r="B26" i="5"/>
  <c r="F26" i="5"/>
  <c r="B27" i="5"/>
  <c r="B28" i="5"/>
  <c r="B29" i="5"/>
  <c r="C42" i="5"/>
  <c r="G42" i="5"/>
  <c r="H42" i="5"/>
  <c r="I42" i="5"/>
  <c r="B43" i="5"/>
  <c r="C43" i="5"/>
  <c r="D43" i="5"/>
  <c r="F43" i="5"/>
  <c r="G43" i="5"/>
  <c r="H43" i="5"/>
  <c r="I43" i="5"/>
  <c r="B44" i="5"/>
  <c r="C44" i="5"/>
  <c r="D44" i="5"/>
  <c r="F44" i="5"/>
  <c r="G44" i="5"/>
  <c r="H44" i="5"/>
  <c r="I44" i="5"/>
  <c r="B45" i="5"/>
  <c r="C45" i="5"/>
  <c r="F45" i="5"/>
  <c r="G45" i="5"/>
  <c r="H45" i="5"/>
  <c r="I45" i="5"/>
  <c r="B46" i="5"/>
  <c r="C46" i="5"/>
  <c r="F46" i="5"/>
  <c r="G46" i="5"/>
  <c r="H46" i="5"/>
  <c r="I46" i="5"/>
  <c r="B47" i="5"/>
  <c r="C47" i="5"/>
  <c r="F47" i="5"/>
  <c r="G47" i="5"/>
  <c r="H47" i="5"/>
  <c r="I47" i="5"/>
  <c r="B48" i="5"/>
  <c r="C48" i="5"/>
  <c r="F48" i="5"/>
  <c r="G48" i="5"/>
  <c r="H48" i="5"/>
  <c r="I48" i="5"/>
  <c r="B49" i="5"/>
  <c r="C49" i="5"/>
  <c r="F49" i="5"/>
  <c r="G49" i="5"/>
  <c r="H49" i="5"/>
  <c r="I49" i="5"/>
  <c r="B50" i="5"/>
  <c r="C50" i="5"/>
  <c r="F50" i="5"/>
  <c r="G50" i="5"/>
  <c r="H50" i="5"/>
  <c r="I50" i="5"/>
  <c r="B51" i="5"/>
  <c r="C51" i="5"/>
  <c r="F51" i="5"/>
  <c r="G51" i="5"/>
  <c r="H51" i="5"/>
  <c r="I51" i="5"/>
  <c r="B52" i="5"/>
  <c r="C52" i="5"/>
  <c r="F52" i="5"/>
  <c r="G52" i="5"/>
  <c r="H52" i="5"/>
  <c r="I52" i="5"/>
  <c r="D53" i="5"/>
  <c r="E53" i="5"/>
  <c r="F53" i="5"/>
  <c r="A55" i="5"/>
  <c r="F55" i="5"/>
  <c r="F56" i="5"/>
  <c r="B57" i="5"/>
  <c r="F57" i="5"/>
  <c r="B58" i="5"/>
  <c r="F58" i="5"/>
  <c r="B59" i="5"/>
  <c r="B60" i="5"/>
  <c r="B61" i="5"/>
  <c r="A64" i="5"/>
  <c r="E64" i="5"/>
  <c r="A65" i="5"/>
  <c r="D65" i="5"/>
  <c r="E65" i="5"/>
  <c r="E66" i="5"/>
  <c r="A68" i="5"/>
  <c r="B68" i="5"/>
  <c r="E68" i="5"/>
  <c r="A69" i="5"/>
  <c r="B69" i="5"/>
  <c r="E69" i="5"/>
  <c r="D70" i="5"/>
  <c r="E70" i="5"/>
  <c r="E71" i="5"/>
  <c r="B4" i="6"/>
  <c r="G4" i="6"/>
  <c r="B6" i="6"/>
  <c r="B8" i="6"/>
  <c r="B9" i="6"/>
  <c r="D9" i="6"/>
  <c r="B12" i="6"/>
  <c r="B15" i="6"/>
  <c r="B16" i="6"/>
  <c r="D16" i="6"/>
  <c r="B18" i="6"/>
  <c r="B19" i="6"/>
  <c r="D19" i="6"/>
  <c r="B23" i="6"/>
  <c r="B25" i="6"/>
  <c r="B26" i="6"/>
  <c r="A27" i="6"/>
  <c r="B27" i="6"/>
  <c r="B30" i="6"/>
  <c r="B31" i="6"/>
  <c r="B32" i="6"/>
  <c r="B33" i="6"/>
  <c r="B34" i="6"/>
  <c r="B35" i="6"/>
  <c r="B37" i="6"/>
  <c r="B38" i="6"/>
  <c r="B40" i="6"/>
  <c r="D40" i="6"/>
  <c r="E40" i="6"/>
  <c r="B43" i="6"/>
  <c r="E46" i="6"/>
  <c r="B47" i="6"/>
  <c r="B48" i="6"/>
  <c r="B50" i="6"/>
  <c r="B51" i="6"/>
  <c r="E51" i="6"/>
  <c r="B52" i="6"/>
  <c r="B53" i="6"/>
  <c r="B55" i="6"/>
  <c r="B56" i="6"/>
  <c r="E56" i="6"/>
  <c r="B57" i="6"/>
  <c r="B58" i="6"/>
  <c r="B60" i="6"/>
  <c r="B61" i="6"/>
  <c r="E61" i="6"/>
  <c r="B62" i="6"/>
  <c r="B63" i="6"/>
  <c r="B65" i="6"/>
  <c r="B66" i="6"/>
  <c r="E66" i="6"/>
  <c r="B67" i="6"/>
  <c r="B68" i="6"/>
  <c r="B70" i="6"/>
  <c r="B71" i="6"/>
  <c r="E71" i="6"/>
  <c r="B72" i="6"/>
  <c r="B73" i="6"/>
  <c r="B76" i="6"/>
  <c r="B78" i="6"/>
  <c r="B82" i="6"/>
  <c r="B83" i="6"/>
  <c r="B84" i="6"/>
  <c r="B85" i="6"/>
  <c r="E87" i="6"/>
  <c r="B88" i="6"/>
  <c r="E88" i="6"/>
  <c r="E89" i="6"/>
  <c r="B91" i="6"/>
  <c r="E91" i="6"/>
  <c r="B92" i="6"/>
  <c r="E92" i="6"/>
  <c r="B93" i="6"/>
  <c r="E93" i="6"/>
  <c r="B103" i="6"/>
  <c r="D104" i="6"/>
  <c r="D105" i="6"/>
  <c r="B106" i="6"/>
  <c r="D106" i="6"/>
  <c r="D107" i="6"/>
  <c r="I6" i="3"/>
  <c r="M6" i="3"/>
  <c r="O6" i="3"/>
  <c r="R6" i="3"/>
  <c r="AB6" i="3"/>
  <c r="AC6" i="3"/>
  <c r="I10" i="3"/>
  <c r="K10" i="3"/>
  <c r="L10" i="3"/>
  <c r="M10" i="3"/>
  <c r="N10" i="3"/>
  <c r="O10" i="3"/>
  <c r="P10" i="3"/>
  <c r="Q10" i="3"/>
  <c r="R10" i="3"/>
  <c r="S10" i="3"/>
  <c r="T10" i="3"/>
  <c r="U10" i="3"/>
  <c r="AB10" i="3"/>
  <c r="AC10" i="3"/>
  <c r="AD10" i="3"/>
  <c r="H11" i="3"/>
  <c r="I11" i="3"/>
  <c r="K11" i="3"/>
  <c r="L11" i="3"/>
  <c r="M11" i="3"/>
  <c r="N11" i="3"/>
  <c r="O11" i="3"/>
  <c r="P11" i="3"/>
  <c r="Q11" i="3"/>
  <c r="R11" i="3"/>
  <c r="S11" i="3"/>
  <c r="T11" i="3"/>
  <c r="U11" i="3"/>
  <c r="AB11" i="3"/>
  <c r="AC11" i="3"/>
  <c r="AD11" i="3"/>
  <c r="E13" i="3"/>
  <c r="I13" i="3"/>
  <c r="P13" i="3"/>
  <c r="Q13" i="3"/>
  <c r="R13" i="3"/>
  <c r="S13" i="3"/>
  <c r="T13" i="3"/>
  <c r="W13" i="3"/>
  <c r="Z13" i="3"/>
  <c r="AA13" i="3"/>
  <c r="AB13" i="3"/>
  <c r="AC13" i="3"/>
  <c r="I15" i="3"/>
  <c r="Q15" i="3"/>
  <c r="AC15" i="3"/>
  <c r="Q16" i="3"/>
  <c r="AC16" i="3"/>
  <c r="I17" i="3"/>
  <c r="Q17" i="3"/>
  <c r="I21" i="3"/>
  <c r="H2" i="4"/>
  <c r="L2" i="4"/>
  <c r="I5" i="4"/>
  <c r="B6" i="4"/>
  <c r="I6" i="4"/>
  <c r="M6" i="4"/>
  <c r="E7" i="4"/>
  <c r="B8" i="4"/>
  <c r="M8" i="4"/>
  <c r="P8" i="4"/>
  <c r="Q8" i="4"/>
  <c r="E9" i="4"/>
  <c r="M9" i="4"/>
  <c r="M10" i="4"/>
  <c r="P10" i="4"/>
  <c r="B11" i="4"/>
  <c r="E11" i="4"/>
  <c r="I11" i="4"/>
  <c r="M11" i="4"/>
  <c r="P11" i="4"/>
  <c r="I12" i="4"/>
  <c r="M12" i="4"/>
  <c r="P12" i="4"/>
  <c r="I13" i="4"/>
  <c r="M13" i="4"/>
  <c r="B14" i="4"/>
  <c r="I14" i="4"/>
  <c r="M14" i="4"/>
  <c r="P14" i="4"/>
  <c r="B15" i="4"/>
  <c r="I15" i="4"/>
  <c r="M15" i="4"/>
  <c r="P15" i="4"/>
  <c r="B16" i="4"/>
  <c r="I16" i="4"/>
  <c r="M16" i="4"/>
  <c r="P16" i="4"/>
  <c r="Q16" i="4"/>
  <c r="B17" i="4"/>
  <c r="D17" i="4"/>
  <c r="I17" i="4"/>
  <c r="P17" i="4"/>
  <c r="B18" i="4"/>
  <c r="I18" i="4"/>
  <c r="M19" i="4"/>
  <c r="P19" i="4"/>
  <c r="I20" i="4"/>
  <c r="P20" i="4"/>
  <c r="E21" i="4"/>
  <c r="I21" i="4"/>
  <c r="P21" i="4"/>
  <c r="I22" i="4"/>
  <c r="P22" i="4"/>
  <c r="E23" i="4"/>
  <c r="I23" i="4"/>
  <c r="L23" i="4"/>
  <c r="P23" i="4"/>
  <c r="E24" i="4"/>
  <c r="I24" i="4"/>
  <c r="P24" i="4"/>
  <c r="E25" i="4"/>
  <c r="I25" i="4"/>
  <c r="P25" i="4"/>
  <c r="E26" i="4"/>
  <c r="I26" i="4"/>
  <c r="I27" i="4"/>
  <c r="P27" i="4"/>
  <c r="E28" i="4"/>
  <c r="E29" i="4"/>
  <c r="E30" i="4"/>
  <c r="I31" i="4"/>
  <c r="M31" i="4"/>
  <c r="I32" i="4"/>
  <c r="M32" i="4"/>
  <c r="I33" i="4"/>
  <c r="M33" i="4"/>
  <c r="A34" i="4"/>
  <c r="M34" i="4"/>
  <c r="A35" i="4"/>
  <c r="I35" i="4"/>
  <c r="M35" i="4"/>
  <c r="I36" i="4"/>
  <c r="M36" i="4"/>
  <c r="A37" i="4"/>
  <c r="I37" i="4"/>
  <c r="M37" i="4"/>
  <c r="A38" i="4"/>
  <c r="I38" i="4"/>
  <c r="M38" i="4"/>
  <c r="I39" i="4"/>
  <c r="M39" i="4"/>
  <c r="N39" i="4"/>
  <c r="I40" i="4"/>
  <c r="M40" i="4"/>
  <c r="N40" i="4"/>
  <c r="I41" i="4"/>
  <c r="I42" i="4"/>
  <c r="P44" i="4"/>
  <c r="D45" i="4"/>
  <c r="E45" i="4"/>
  <c r="P45" i="4"/>
  <c r="D46" i="4"/>
  <c r="E46" i="4"/>
  <c r="I46" i="4"/>
  <c r="M46" i="4"/>
  <c r="O46" i="4"/>
  <c r="P46" i="4"/>
  <c r="B47" i="4"/>
  <c r="E47" i="4"/>
  <c r="I47" i="4"/>
  <c r="P47" i="4"/>
  <c r="D48" i="4"/>
  <c r="I48" i="4"/>
  <c r="P48" i="4"/>
  <c r="B49" i="4"/>
  <c r="I49" i="4"/>
  <c r="P49" i="4"/>
  <c r="B50" i="4"/>
  <c r="I50" i="4"/>
  <c r="P50" i="4"/>
  <c r="I51" i="4"/>
  <c r="P51" i="4"/>
  <c r="I52" i="4"/>
  <c r="P52" i="4"/>
  <c r="D53" i="4"/>
  <c r="I53" i="4"/>
  <c r="P53" i="4"/>
  <c r="I54" i="4"/>
  <c r="B55" i="4"/>
  <c r="I55" i="4"/>
  <c r="B56" i="4"/>
  <c r="D56" i="4"/>
  <c r="E56" i="4"/>
  <c r="I56" i="4"/>
  <c r="B57" i="4"/>
  <c r="D57" i="4"/>
  <c r="E57" i="4"/>
  <c r="I57" i="4"/>
  <c r="I58" i="4"/>
  <c r="I59" i="4"/>
  <c r="H2" i="10"/>
  <c r="E3" i="10"/>
  <c r="H3" i="10"/>
  <c r="E4" i="10"/>
  <c r="H4" i="10"/>
  <c r="E5" i="10"/>
  <c r="H5" i="10"/>
  <c r="E6" i="10"/>
  <c r="H6" i="10"/>
  <c r="E7" i="10"/>
  <c r="H7" i="10"/>
  <c r="E8" i="10"/>
  <c r="H8" i="10"/>
  <c r="E9" i="10"/>
  <c r="H9" i="10"/>
  <c r="E10" i="10"/>
  <c r="H10" i="10"/>
  <c r="E12" i="10"/>
  <c r="H12" i="10"/>
  <c r="E13" i="10"/>
  <c r="H13" i="10"/>
  <c r="E14" i="10"/>
  <c r="H14" i="10"/>
  <c r="E15" i="10"/>
  <c r="H15" i="10"/>
  <c r="E16" i="10"/>
  <c r="H16" i="10"/>
  <c r="E17" i="10"/>
  <c r="H17" i="10"/>
  <c r="E18" i="10"/>
  <c r="H18" i="10"/>
  <c r="E20" i="10"/>
  <c r="H20" i="10"/>
  <c r="H23" i="10"/>
  <c r="E24" i="10"/>
  <c r="H24" i="10"/>
  <c r="E26" i="10"/>
  <c r="H26" i="10"/>
  <c r="E27" i="10"/>
  <c r="H27" i="10"/>
  <c r="E28" i="10"/>
  <c r="H28" i="10"/>
  <c r="E29" i="10"/>
  <c r="H29" i="10"/>
  <c r="E30" i="10"/>
  <c r="H30" i="10"/>
  <c r="E31" i="10"/>
  <c r="H31" i="10"/>
  <c r="E32" i="10"/>
  <c r="H32" i="10"/>
  <c r="E33" i="10"/>
  <c r="H33" i="10"/>
  <c r="E34" i="10"/>
  <c r="H34" i="10"/>
  <c r="E37" i="10"/>
  <c r="H37" i="10"/>
  <c r="E38" i="10"/>
  <c r="H38" i="10"/>
  <c r="E39" i="10"/>
  <c r="H39" i="10"/>
  <c r="E40" i="10"/>
  <c r="H40" i="10"/>
  <c r="H41" i="10"/>
  <c r="E42" i="10"/>
  <c r="H42" i="10"/>
  <c r="E43" i="10"/>
  <c r="H43" i="10"/>
  <c r="E44" i="10"/>
  <c r="H44" i="10"/>
  <c r="B3" i="9"/>
  <c r="B6" i="9"/>
  <c r="B7" i="9"/>
  <c r="D7" i="9"/>
  <c r="B9" i="9"/>
  <c r="B17" i="9"/>
  <c r="B18" i="9"/>
  <c r="B19" i="9"/>
  <c r="B20" i="9"/>
  <c r="B24" i="9"/>
  <c r="B28" i="9"/>
  <c r="C28" i="9"/>
  <c r="B29" i="9"/>
  <c r="C29" i="9"/>
  <c r="B30" i="9"/>
  <c r="C30" i="9"/>
  <c r="B31" i="9"/>
  <c r="B32" i="9"/>
  <c r="B36" i="9"/>
  <c r="B38" i="9"/>
  <c r="B40" i="9"/>
  <c r="B41" i="9"/>
  <c r="C41" i="9"/>
  <c r="B43" i="9"/>
  <c r="D2" i="8"/>
  <c r="D3" i="8"/>
  <c r="E3" i="8"/>
  <c r="D4" i="8"/>
  <c r="E4" i="8"/>
  <c r="D5" i="8"/>
  <c r="E5" i="8"/>
  <c r="D7" i="8"/>
  <c r="D8" i="8"/>
  <c r="D9" i="8"/>
  <c r="B10" i="8"/>
  <c r="D11" i="8"/>
  <c r="E11" i="8"/>
  <c r="B14" i="8"/>
  <c r="B17" i="8"/>
  <c r="C17" i="8"/>
  <c r="D17" i="8"/>
  <c r="D18" i="8"/>
  <c r="E18" i="8"/>
  <c r="D19" i="8"/>
  <c r="D20" i="8"/>
  <c r="E20" i="8"/>
  <c r="F20" i="8"/>
  <c r="D21" i="8"/>
  <c r="E21" i="8"/>
  <c r="B23" i="8"/>
  <c r="C23" i="8"/>
  <c r="D23" i="8"/>
  <c r="D24" i="8"/>
  <c r="E24" i="8"/>
  <c r="D25" i="8"/>
  <c r="D26" i="8"/>
  <c r="E26" i="8"/>
  <c r="F26" i="8"/>
  <c r="D27" i="8"/>
  <c r="E27" i="8"/>
  <c r="D28" i="8"/>
  <c r="B30" i="8"/>
  <c r="D30" i="8"/>
  <c r="C37" i="8"/>
  <c r="B39" i="8"/>
  <c r="C39" i="8"/>
  <c r="D39" i="8"/>
  <c r="E41" i="8"/>
  <c r="D42" i="8"/>
  <c r="B43" i="2"/>
  <c r="B94" i="2"/>
  <c r="B122" i="2"/>
  <c r="A346" i="2"/>
  <c r="B346" i="2"/>
  <c r="C346" i="2"/>
  <c r="C5" i="1"/>
  <c r="E5" i="1"/>
  <c r="C12" i="1"/>
  <c r="D12" i="1"/>
  <c r="E12" i="1"/>
  <c r="C13" i="1"/>
  <c r="D13" i="1"/>
  <c r="E13" i="1"/>
  <c r="C15" i="1"/>
  <c r="D15" i="1"/>
  <c r="E15" i="1"/>
  <c r="C18" i="1"/>
  <c r="C21" i="1"/>
  <c r="C24" i="1"/>
</calcChain>
</file>

<file path=xl/comments1.xml><?xml version="1.0" encoding="utf-8"?>
<comments xmlns="http://schemas.openxmlformats.org/spreadsheetml/2006/main">
  <authors>
    <author>Gordon McKillop</author>
    <author>rsiurek</author>
  </authors>
  <commentList>
    <comment ref="I13" authorId="0" shapeId="0">
      <text>
        <r>
          <rPr>
            <b/>
            <sz val="8"/>
            <color indexed="81"/>
            <rFont val="Tahoma"/>
          </rPr>
          <t>Gordon McKillop:</t>
        </r>
        <r>
          <rPr>
            <sz val="8"/>
            <color indexed="81"/>
            <rFont val="Tahoma"/>
          </rPr>
          <t xml:space="preserve">
from cash-int-trans sheet</t>
        </r>
      </text>
    </comment>
    <comment ref="I17" authorId="1" shapeId="0">
      <text>
        <r>
          <rPr>
            <b/>
            <sz val="8"/>
            <color indexed="81"/>
            <rFont val="Tahoma"/>
          </rPr>
          <t xml:space="preserve">Adjusted to reflect interest added to note and additional payment for swap settlement
</t>
        </r>
      </text>
    </comment>
  </commentList>
</comments>
</file>

<file path=xl/comments2.xml><?xml version="1.0" encoding="utf-8"?>
<comments xmlns="http://schemas.openxmlformats.org/spreadsheetml/2006/main">
  <authors>
    <author>gmckillo</author>
  </authors>
  <commentList>
    <comment ref="D4" authorId="0" shapeId="0">
      <text>
        <r>
          <rPr>
            <b/>
            <sz val="8"/>
            <color indexed="81"/>
            <rFont val="Tahoma"/>
          </rPr>
          <t>gmckillo:
additional 500,000 per Ryan Siurek, calc used was $48.55 * 50 mm shares</t>
        </r>
      </text>
    </comment>
  </commentList>
</comments>
</file>

<file path=xl/comments3.xml><?xml version="1.0" encoding="utf-8"?>
<comments xmlns="http://schemas.openxmlformats.org/spreadsheetml/2006/main">
  <authors>
    <author>thall</author>
    <author>joe</author>
    <author>dmaxwel</author>
  </authors>
  <commentList>
    <comment ref="A1" authorId="0" shapeId="0">
      <text>
        <r>
          <rPr>
            <b/>
            <sz val="8"/>
            <color indexed="81"/>
            <rFont val="Tahoma"/>
          </rPr>
          <t>thall:</t>
        </r>
        <r>
          <rPr>
            <sz val="8"/>
            <color indexed="81"/>
            <rFont val="Tahoma"/>
          </rPr>
          <t xml:space="preserve">
All items in this column should match an instrument in the Instruments Page!</t>
        </r>
      </text>
    </comment>
    <comment ref="U1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May need to move the calc to index sheets!</t>
        </r>
      </text>
    </comment>
    <comment ref="V1" authorId="2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DO NOT CHANGE THIS COLUMN. CHANGE IN COLUMN EC!!!!</t>
        </r>
      </text>
    </comment>
    <comment ref="AQ1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Will be more complicated for Warrants
</t>
        </r>
      </text>
    </comment>
    <comment ref="BW1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Use last price if not available. The last price should always be some reasonable value.</t>
        </r>
      </text>
    </comment>
    <comment ref="CL1" authorId="2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(Y+AB) changed to Y since Y+AB is now total. This was initially Sector+Index. If we change to Sector and Index separately, we need to change this back again.</t>
        </r>
      </text>
    </comment>
    <comment ref="AM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Must be 0 for public and possibly for non-private???</t>
        </r>
      </text>
    </comment>
    <comment ref="AN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To be devised!</t>
        </r>
      </text>
    </comment>
    <comment ref="AO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To be devised!</t>
        </r>
      </text>
    </comment>
    <comment ref="AP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Must be 0 for public and possibly for non-private???</t>
        </r>
      </text>
    </comment>
    <comment ref="BL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Must be 0 for public and possibly for non-private???</t>
        </r>
      </text>
    </comment>
    <comment ref="BM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>Give Y if the P&amp;L needs to be derived off of the today's - previous day's values. This is necessary because if RAROC valued, then the P&amp;L needs to reflect that always using the same formula. This column must be changed with discretion, to avoid long-term effects on the P&amp;L.</t>
        </r>
      </text>
    </comment>
    <comment ref="CG2" authorId="2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This may be different from the internal QTD, since the Hedge P&amp;L=Asset P&amp;L checks are done at the top level.</t>
        </r>
      </text>
    </comment>
    <comment ref="AF3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RAROC Reset</t>
        </r>
      </text>
    </comment>
    <comment ref="AJ3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RAROC Reset</t>
        </r>
      </text>
    </comment>
    <comment ref="AK3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Adds the RAROC Reset also</t>
        </r>
      </text>
    </comment>
  </commentList>
</comments>
</file>

<file path=xl/sharedStrings.xml><?xml version="1.0" encoding="utf-8"?>
<sst xmlns="http://schemas.openxmlformats.org/spreadsheetml/2006/main" count="1378" uniqueCount="550">
  <si>
    <t>Inputs:</t>
  </si>
  <si>
    <t>Date</t>
  </si>
  <si>
    <t>Credit Capacity</t>
  </si>
  <si>
    <t>Notional Capacity</t>
  </si>
  <si>
    <t>Enron</t>
  </si>
  <si>
    <t>Realized</t>
  </si>
  <si>
    <t>Unrealized</t>
  </si>
  <si>
    <t>Total</t>
  </si>
  <si>
    <t>Gains and Losses</t>
  </si>
  <si>
    <t>Previous Day's Cumulative</t>
  </si>
  <si>
    <t>Today's Activity</t>
  </si>
  <si>
    <t>Cumlative Ending</t>
  </si>
  <si>
    <t>ENE</t>
  </si>
  <si>
    <t>Trade Date</t>
  </si>
  <si>
    <t>Shares</t>
  </si>
  <si>
    <t>Swap</t>
  </si>
  <si>
    <t>Long</t>
  </si>
  <si>
    <t>Totals</t>
  </si>
  <si>
    <t>Prior Day</t>
  </si>
  <si>
    <t>Cost</t>
  </si>
  <si>
    <t>Principle</t>
  </si>
  <si>
    <t>Annual Interest Rate</t>
  </si>
  <si>
    <t>Term (in months)</t>
  </si>
  <si>
    <t>Payments Per Year</t>
  </si>
  <si>
    <t>Payment</t>
  </si>
  <si>
    <t>Beginning Balance</t>
  </si>
  <si>
    <t>Interest</t>
  </si>
  <si>
    <t>Ending Balance</t>
  </si>
  <si>
    <t>Interest Receivable:</t>
  </si>
  <si>
    <t>Interest Income</t>
  </si>
  <si>
    <t>Assets</t>
  </si>
  <si>
    <t>Liabilities &amp; Owner's Equity</t>
  </si>
  <si>
    <t>Cash/Permitted Investment</t>
  </si>
  <si>
    <t>Put Obligation</t>
  </si>
  <si>
    <t>c</t>
  </si>
  <si>
    <t>Note due from Enron</t>
  </si>
  <si>
    <t>Note Due to Enron</t>
  </si>
  <si>
    <t>Cash/Investment</t>
  </si>
  <si>
    <t>Enron Shares</t>
  </si>
  <si>
    <t>a</t>
  </si>
  <si>
    <t>LJMII</t>
  </si>
  <si>
    <t>d</t>
  </si>
  <si>
    <t>Interest Receivable</t>
  </si>
  <si>
    <t>b</t>
  </si>
  <si>
    <t>Enron Shares Consist of:</t>
  </si>
  <si>
    <t>Price</t>
  </si>
  <si>
    <t>UBS</t>
  </si>
  <si>
    <t>3 Percent Test &amp; Capacity Calculation</t>
  </si>
  <si>
    <t>Peregrine</t>
  </si>
  <si>
    <t>Total Balance Sheet Footing</t>
  </si>
  <si>
    <t>Total Undiscounted</t>
  </si>
  <si>
    <t>X  Required capitalization percentage</t>
  </si>
  <si>
    <t>Less: Discount</t>
  </si>
  <si>
    <t>e</t>
  </si>
  <si>
    <t>Required Third Party Capitalization</t>
  </si>
  <si>
    <t>Net</t>
  </si>
  <si>
    <t>g</t>
  </si>
  <si>
    <t>Actual Third Party Capitalization</t>
  </si>
  <si>
    <t xml:space="preserve">     Result</t>
  </si>
  <si>
    <t>3 Percent Test</t>
  </si>
  <si>
    <t>Surplus Third Party Capital</t>
  </si>
  <si>
    <t xml:space="preserve">Plus:  Put Exposure  </t>
  </si>
  <si>
    <t>Net Gain/(Loss)</t>
  </si>
  <si>
    <t>f</t>
  </si>
  <si>
    <t xml:space="preserve">                               </t>
  </si>
  <si>
    <t>X Strike</t>
  </si>
  <si>
    <t>Equity Rollforward (Check)</t>
  </si>
  <si>
    <t xml:space="preserve">     Subtotal</t>
  </si>
  <si>
    <t>Less:  Put premium received</t>
  </si>
  <si>
    <t>Initial Credit Capacity</t>
  </si>
  <si>
    <t xml:space="preserve">     LJM</t>
  </si>
  <si>
    <t xml:space="preserve">     LJMII Capital</t>
  </si>
  <si>
    <t xml:space="preserve">     ENE</t>
  </si>
  <si>
    <t xml:space="preserve">     Initial Discount on Enron Shares</t>
  </si>
  <si>
    <t>Total Initial Credit Capacity</t>
  </si>
  <si>
    <t>Plus Income(Loss)</t>
  </si>
  <si>
    <t>Less Distributions</t>
  </si>
  <si>
    <t>Current Equity</t>
  </si>
  <si>
    <t>Days</t>
  </si>
  <si>
    <t>Initial</t>
  </si>
  <si>
    <t>I/S</t>
  </si>
  <si>
    <t>Days O/S</t>
  </si>
  <si>
    <t>Balance Sheet and 3 Percent Test</t>
  </si>
  <si>
    <t>Settle Put Premium on ENE shares</t>
  </si>
  <si>
    <t>Total Option Premiums Earned</t>
  </si>
  <si>
    <t>h</t>
  </si>
  <si>
    <t>Principle Received</t>
  </si>
  <si>
    <t>Interest Received</t>
  </si>
  <si>
    <t>Total Cash Received</t>
  </si>
  <si>
    <t>Period</t>
  </si>
  <si>
    <t>Next Interest</t>
  </si>
  <si>
    <t>Next Date</t>
  </si>
  <si>
    <t>Time Outstanding</t>
  </si>
  <si>
    <t>Cash Settlement on Put</t>
  </si>
  <si>
    <t>Distributions</t>
  </si>
  <si>
    <t>Analysis</t>
  </si>
  <si>
    <t>Assumptions:</t>
  </si>
  <si>
    <t>Enron Share Price</t>
  </si>
  <si>
    <t>LIBOR Rate</t>
  </si>
  <si>
    <t>Income Statement</t>
  </si>
  <si>
    <t>Credit Analysis</t>
  </si>
  <si>
    <t>Total Credit Capacity</t>
  </si>
  <si>
    <t>Cash Account</t>
  </si>
  <si>
    <t>Net Income</t>
  </si>
  <si>
    <t>Amortizations</t>
  </si>
  <si>
    <t>Option Obligation</t>
  </si>
  <si>
    <t>Change in:</t>
  </si>
  <si>
    <t>Transactions</t>
  </si>
  <si>
    <t>Notes Receivable</t>
  </si>
  <si>
    <t>Notes Payable</t>
  </si>
  <si>
    <t>Available 3% capacity</t>
  </si>
  <si>
    <t>Option Premiums Earned</t>
  </si>
  <si>
    <t>Permitted Investment Income</t>
  </si>
  <si>
    <t>Unrealized Gains / (Losses)</t>
  </si>
  <si>
    <t>Realized Gains / (Losses)</t>
  </si>
  <si>
    <t>Swap Obligation</t>
  </si>
  <si>
    <t>Summary:</t>
  </si>
  <si>
    <t>LJM Equity</t>
  </si>
  <si>
    <t xml:space="preserve">     Option Premiums Earned</t>
  </si>
  <si>
    <t>Swap Receivable</t>
  </si>
  <si>
    <t>Remaining Governance Capacity</t>
  </si>
  <si>
    <t>Report Date</t>
  </si>
  <si>
    <t>Security/</t>
  </si>
  <si>
    <t xml:space="preserve">Trade </t>
  </si>
  <si>
    <t xml:space="preserve">Settlement </t>
  </si>
  <si>
    <t>ment</t>
  </si>
  <si>
    <t>Instru-</t>
  </si>
  <si>
    <t>tion</t>
  </si>
  <si>
    <t>Posi-</t>
  </si>
  <si>
    <t xml:space="preserve">Strike </t>
  </si>
  <si>
    <t>Notional</t>
  </si>
  <si>
    <t xml:space="preserve">Market </t>
  </si>
  <si>
    <t>Value</t>
  </si>
  <si>
    <t xml:space="preserve">Unrealized </t>
  </si>
  <si>
    <t xml:space="preserve">Realized </t>
  </si>
  <si>
    <t xml:space="preserve">Total </t>
  </si>
  <si>
    <t xml:space="preserve">Prior Day </t>
  </si>
  <si>
    <t>Ticker</t>
  </si>
  <si>
    <t>Gain/(Loss)</t>
  </si>
  <si>
    <t>As of:</t>
  </si>
  <si>
    <t>For the period ending</t>
  </si>
  <si>
    <t>Days in Period</t>
  </si>
  <si>
    <t>Less:  Discount Amortization</t>
  </si>
  <si>
    <t xml:space="preserve">          Distribution to LJMII</t>
  </si>
  <si>
    <t>Difference</t>
  </si>
  <si>
    <t xml:space="preserve">     Sub-Total</t>
  </si>
  <si>
    <t>Swap Exposure</t>
  </si>
  <si>
    <t>i</t>
  </si>
  <si>
    <t>j</t>
  </si>
  <si>
    <t xml:space="preserve">     Ending LJM Capital</t>
  </si>
  <si>
    <t xml:space="preserve">     Ending ENE Capital</t>
  </si>
  <si>
    <t>Inputs</t>
  </si>
  <si>
    <t>Daily Price Summary</t>
  </si>
  <si>
    <t xml:space="preserve">Earnings distributed to LJM as a return on capital to the extent </t>
  </si>
  <si>
    <t>$30 MM of LJMII's equity remains in Talon.</t>
  </si>
  <si>
    <t xml:space="preserve">          Additional LJMII Capital</t>
  </si>
  <si>
    <t>Capital</t>
  </si>
  <si>
    <t>Units</t>
  </si>
  <si>
    <t>End of Range</t>
  </si>
  <si>
    <t>Check</t>
  </si>
  <si>
    <t>Harrier Note to Talon Amortization Table</t>
  </si>
  <si>
    <t>Talon Note to Harrier Interest Calculation</t>
  </si>
  <si>
    <t>Interest Payable:</t>
  </si>
  <si>
    <t>Interest Expense</t>
  </si>
  <si>
    <t>Cum. Interest</t>
  </si>
  <si>
    <t>Interest to Note</t>
  </si>
  <si>
    <t>Interest Expense Summary</t>
  </si>
  <si>
    <t>Interest from Amort Sheet</t>
  </si>
  <si>
    <t>Transaction Date</t>
  </si>
  <si>
    <t>Amount</t>
  </si>
  <si>
    <t>Price/Value</t>
  </si>
  <si>
    <t>Increase (+) Decrease (-)</t>
  </si>
  <si>
    <t>increase to loan is settlement of Put option</t>
  </si>
  <si>
    <t>Additional Interest</t>
  </si>
  <si>
    <t>Additional Interest included in Amort Sheet</t>
  </si>
  <si>
    <t>Notes:</t>
  </si>
  <si>
    <t xml:space="preserve"> addl. interest on Settlement</t>
  </si>
  <si>
    <t>LJM Maximum Capital</t>
  </si>
  <si>
    <t>Intial Contribution</t>
  </si>
  <si>
    <t>Additional</t>
  </si>
  <si>
    <t>Capital Return if available</t>
  </si>
  <si>
    <t>Maxium B/S LJM Capital</t>
  </si>
  <si>
    <t>Column</t>
  </si>
  <si>
    <t>Put Option Exposure</t>
  </si>
  <si>
    <t>Discount Amortization</t>
  </si>
  <si>
    <t>Transfer to Note</t>
  </si>
  <si>
    <t>to LJM</t>
  </si>
  <si>
    <t>LJM additional Equity</t>
  </si>
  <si>
    <t>Option/Put Obligations</t>
  </si>
  <si>
    <t>Permitted Investment</t>
  </si>
  <si>
    <t>Paymentof Interest on Note Receivable</t>
  </si>
  <si>
    <t>end</t>
  </si>
  <si>
    <t>Raptor II Daily Position Report &amp; Summary</t>
  </si>
  <si>
    <t>Raptor II</t>
  </si>
  <si>
    <t>EI Brazil Gas Holdings and</t>
  </si>
  <si>
    <t>EI Brazil Investments 1997</t>
  </si>
  <si>
    <t>EI Brazil 1997 and</t>
  </si>
  <si>
    <t>(1) Put at $78.875 per share and Call at $111.8633 included</t>
  </si>
  <si>
    <t>Collar Gains / (Losses)</t>
  </si>
  <si>
    <t>Plus:  Talon Earnings (1)</t>
  </si>
  <si>
    <t xml:space="preserve">          ENE share gain (loss) from $68.75</t>
  </si>
  <si>
    <t>Collar Receivable</t>
  </si>
  <si>
    <t>Collar Obligation</t>
  </si>
  <si>
    <t>Hanover Compressor</t>
  </si>
  <si>
    <t>Collar</t>
  </si>
  <si>
    <t>Cap</t>
  </si>
  <si>
    <t>Floor</t>
  </si>
  <si>
    <t>Hanover</t>
  </si>
  <si>
    <t>Compressor</t>
  </si>
  <si>
    <t>HC</t>
  </si>
  <si>
    <t>Total Exposure</t>
  </si>
  <si>
    <t>Third Party</t>
  </si>
  <si>
    <t>Original Balance Sheet</t>
  </si>
  <si>
    <t>Original Notional</t>
  </si>
  <si>
    <t>Existing Notional</t>
  </si>
  <si>
    <t>Realized Losses</t>
  </si>
  <si>
    <t>Realized Gains</t>
  </si>
  <si>
    <t>check</t>
  </si>
  <si>
    <t>Remaining Notional</t>
  </si>
  <si>
    <t>Today's</t>
  </si>
  <si>
    <t>Previous Day's</t>
  </si>
  <si>
    <t>Market</t>
  </si>
  <si>
    <t>Previous</t>
  </si>
  <si>
    <t>Change</t>
  </si>
  <si>
    <t>UNUSED DO NOT DELETE</t>
  </si>
  <si>
    <t>Previous Day</t>
  </si>
  <si>
    <t>Profit &amp; Loss Summary</t>
  </si>
  <si>
    <t>No of</t>
  </si>
  <si>
    <t>Today's Profit &amp; Loss Summary</t>
  </si>
  <si>
    <t>Previous Day's Profit &amp; Loss Summary</t>
  </si>
  <si>
    <t>Is Security</t>
  </si>
  <si>
    <t>Absolute Change in</t>
  </si>
  <si>
    <t>RAROC Reset</t>
  </si>
  <si>
    <t>Real-Time</t>
  </si>
  <si>
    <t>Today's Delta</t>
  </si>
  <si>
    <t>Last Day's</t>
  </si>
  <si>
    <t>Previous QTD for Asset P&amp;L QTD Tracking of Privates Only!</t>
  </si>
  <si>
    <t>Combined</t>
  </si>
  <si>
    <t>Calculated</t>
  </si>
  <si>
    <t>Commercial</t>
  </si>
  <si>
    <t>Equity</t>
  </si>
  <si>
    <t xml:space="preserve">Number of </t>
  </si>
  <si>
    <t>Sector</t>
  </si>
  <si>
    <t>Market Value</t>
  </si>
  <si>
    <t>Company Tag</t>
  </si>
  <si>
    <t>Asset</t>
  </si>
  <si>
    <t>Hedge</t>
  </si>
  <si>
    <t>Daily</t>
  </si>
  <si>
    <t>QTD</t>
  </si>
  <si>
    <t>12/29/00</t>
  </si>
  <si>
    <t>YTD</t>
  </si>
  <si>
    <t>Gamma</t>
  </si>
  <si>
    <t>Revaluation</t>
  </si>
  <si>
    <t>Underlying</t>
  </si>
  <si>
    <t>Delta</t>
  </si>
  <si>
    <t>MTD</t>
  </si>
  <si>
    <t>Ever Priced</t>
  </si>
  <si>
    <t>RAROC Value</t>
  </si>
  <si>
    <t>Required</t>
  </si>
  <si>
    <t>Cost Basis</t>
  </si>
  <si>
    <t>Instrument</t>
  </si>
  <si>
    <t>Equivalent Shares</t>
  </si>
  <si>
    <t>Original</t>
  </si>
  <si>
    <t>Previous QTD</t>
  </si>
  <si>
    <t>Target</t>
  </si>
  <si>
    <t>Asset Class</t>
  </si>
  <si>
    <t>Book</t>
  </si>
  <si>
    <t>Group</t>
  </si>
  <si>
    <t>Telephone #</t>
  </si>
  <si>
    <t>Type</t>
  </si>
  <si>
    <t>Shares/Units</t>
  </si>
  <si>
    <t>Beta</t>
  </si>
  <si>
    <t>Per Share</t>
  </si>
  <si>
    <t>Do Not Delete</t>
  </si>
  <si>
    <t>Name</t>
  </si>
  <si>
    <t>Index</t>
  </si>
  <si>
    <t>Asset P&amp;L</t>
  </si>
  <si>
    <t>Hedge P&amp;L</t>
  </si>
  <si>
    <t>Valuation P&amp;L</t>
  </si>
  <si>
    <t>Total P&amp;L</t>
  </si>
  <si>
    <t>Pre-RAROC</t>
  </si>
  <si>
    <t>Carrying Value</t>
  </si>
  <si>
    <t>P&amp;L</t>
  </si>
  <si>
    <t>Position</t>
  </si>
  <si>
    <t>Warrants/Share</t>
  </si>
  <si>
    <t>Per Underlying Share</t>
  </si>
  <si>
    <t>of RAROC?</t>
  </si>
  <si>
    <t>Today</t>
  </si>
  <si>
    <t>for Security?</t>
  </si>
  <si>
    <t>Basis</t>
  </si>
  <si>
    <t>of Underlying</t>
  </si>
  <si>
    <t>Sequence</t>
  </si>
  <si>
    <t>Price Feed</t>
  </si>
  <si>
    <t>Funding</t>
  </si>
  <si>
    <t>Commitments</t>
  </si>
  <si>
    <t>Enron Raptor I - Canadian - Private</t>
  </si>
  <si>
    <t>Canada Raptor</t>
  </si>
  <si>
    <t>Kitagawa</t>
  </si>
  <si>
    <t>403-974-6723</t>
  </si>
  <si>
    <t>Invasion Energy Raptor I</t>
  </si>
  <si>
    <t xml:space="preserve"> </t>
  </si>
  <si>
    <t>Canada</t>
  </si>
  <si>
    <t>Private</t>
  </si>
  <si>
    <t>Common Equity</t>
  </si>
  <si>
    <t>015:Enron Raptor I</t>
  </si>
  <si>
    <t>Y</t>
  </si>
  <si>
    <t>Enron Raptor I - Canadian - Private Total</t>
  </si>
  <si>
    <t>Canada Raptor Total</t>
  </si>
  <si>
    <t>Enron Raptor I - EBS Public</t>
  </si>
  <si>
    <t>Avici EBS Raptor I</t>
  </si>
  <si>
    <t>US;AVCI</t>
  </si>
  <si>
    <t>Network Equipment</t>
  </si>
  <si>
    <t>Public</t>
  </si>
  <si>
    <t>N</t>
  </si>
  <si>
    <t>Enron Raptor I - EBS Public Total</t>
  </si>
  <si>
    <t>Enron Raptor I - Priv. Equity Partnerships</t>
  </si>
  <si>
    <t>Energy Capital Resources Raptor</t>
  </si>
  <si>
    <t>Ameritex Raptor I</t>
  </si>
  <si>
    <t>Energy Capital Resources</t>
  </si>
  <si>
    <t>Partnership</t>
  </si>
  <si>
    <t>Juniper Raptor I</t>
  </si>
  <si>
    <t>Juniper Exposure Raptor I</t>
  </si>
  <si>
    <t>Texland Raptor I</t>
  </si>
  <si>
    <t>Texland Exposure Raptor I</t>
  </si>
  <si>
    <t>Vastar Raptor I</t>
  </si>
  <si>
    <t>Vastar Exposure Raptor I</t>
  </si>
  <si>
    <t>Enron Raptor I - Priv. Equity Partnerships Total</t>
  </si>
  <si>
    <t>Energy Capital Resources Raptor Total</t>
  </si>
  <si>
    <t>Enron Raptor I - EGF SLP - Warrants Public</t>
  </si>
  <si>
    <t>Equity EGF Raptor</t>
  </si>
  <si>
    <t>Dunn</t>
  </si>
  <si>
    <t>713-853-7752</t>
  </si>
  <si>
    <t>3TEC Warrants EGF Raptor I</t>
  </si>
  <si>
    <t>US;TTEN</t>
  </si>
  <si>
    <t>Energy</t>
  </si>
  <si>
    <t>Warrants</t>
  </si>
  <si>
    <t>Enron Raptor I - EGF SLP - Warrants Public Total</t>
  </si>
  <si>
    <t>Equity EGF Raptor Total</t>
  </si>
  <si>
    <t>Oconto Falls Common Raptor I</t>
  </si>
  <si>
    <t>Oconto Falls IPC Raptor I</t>
  </si>
  <si>
    <t>Enron Raptor I - US Structured Credit-Book</t>
  </si>
  <si>
    <t>CTG</t>
  </si>
  <si>
    <t>Not Available</t>
  </si>
  <si>
    <t>Merlin Credit Derivative Raptor I</t>
  </si>
  <si>
    <t>Other</t>
  </si>
  <si>
    <t>Financing</t>
  </si>
  <si>
    <t>Enron Raptor I - US Structured Credit-Book Total</t>
  </si>
  <si>
    <t>Enron Raptor I - US Public</t>
  </si>
  <si>
    <t>Active Power Raptor I</t>
  </si>
  <si>
    <t>US;ACPW</t>
  </si>
  <si>
    <t>Enron Raptor I - US Public Total</t>
  </si>
  <si>
    <t>Enron Raptor I - EGF SLP - Priv. Equity Partnerships</t>
  </si>
  <si>
    <t>Producer EGF Raptor</t>
  </si>
  <si>
    <t>Eubank</t>
  </si>
  <si>
    <t>713-853-6579</t>
  </si>
  <si>
    <t>Ameritex EGF Raptor I</t>
  </si>
  <si>
    <t>Enron Raptor I - EGF SLP - Priv. Equity Partnerships Total</t>
  </si>
  <si>
    <t>Enron Raptor I - EGF SLP - US Public</t>
  </si>
  <si>
    <t>Byargeon</t>
  </si>
  <si>
    <t>713-853-0650</t>
  </si>
  <si>
    <t>US;HC</t>
  </si>
  <si>
    <t>Neyman</t>
  </si>
  <si>
    <t>713-853-6940</t>
  </si>
  <si>
    <t>DevX Energy Common EGF Raptor I</t>
  </si>
  <si>
    <t>US;DVXE</t>
  </si>
  <si>
    <t>Enron Raptor I - EGF SLP - US Public Total</t>
  </si>
  <si>
    <t>Enron Raptor I - EGF SLP - US Structured Credit</t>
  </si>
  <si>
    <t>Lydecker</t>
  </si>
  <si>
    <t>713-853-3504</t>
  </si>
  <si>
    <t>Hughes Rawls Note EGF Raptor I</t>
  </si>
  <si>
    <t>Enron Raptor I - EGF SLP - US Structured Credit Total</t>
  </si>
  <si>
    <t>Producer EGF Raptor Total</t>
  </si>
  <si>
    <t>Enron Raptor I - US Private</t>
  </si>
  <si>
    <t>Heartland Steel Common Raptor I</t>
  </si>
  <si>
    <t xml:space="preserve">Private </t>
  </si>
  <si>
    <t>Heartland Steel Common Condor Raptor I</t>
  </si>
  <si>
    <t>Steel</t>
  </si>
  <si>
    <t>Enron Raptor I - US Private Total</t>
  </si>
  <si>
    <t>DevX Energy Common Raptor I</t>
  </si>
  <si>
    <t>Ecogas Loan Raptor I</t>
  </si>
  <si>
    <t>Enron Raptor I - US Structured Credit-Book RA</t>
  </si>
  <si>
    <t>Heartland Contingent Construction Loan Raptor I</t>
  </si>
  <si>
    <t>Hughes Rawls Loan Raptor I</t>
  </si>
  <si>
    <t>Hughes Rawls Note Raptor I</t>
  </si>
  <si>
    <t>Industrial Holdings Raptor I</t>
  </si>
  <si>
    <t>Enron Raptor I - US Structured Credit-Book RA Total</t>
  </si>
  <si>
    <t>Enron Raptor I - Warrants - Private</t>
  </si>
  <si>
    <t>Heartland Steel Warrants Raptor I</t>
  </si>
  <si>
    <t/>
  </si>
  <si>
    <t>Enron Raptor I - Warrants - Private Total</t>
  </si>
  <si>
    <t>Enron Raptor I - Warrants - Public</t>
  </si>
  <si>
    <t>Carrizo Warrants Raptor I</t>
  </si>
  <si>
    <t>US;CRZO</t>
  </si>
  <si>
    <t>3TEC Warrants Raptor I</t>
  </si>
  <si>
    <t>Enron Raptor I - Warrants - Public Total</t>
  </si>
  <si>
    <t>Enron Raptor I - Convertible - Private</t>
  </si>
  <si>
    <t>Venoco Convertible Raptor I</t>
  </si>
  <si>
    <t>Convertible</t>
  </si>
  <si>
    <t>Convertible Preferred</t>
  </si>
  <si>
    <t>Enron Raptor I - Convertible - Private Total</t>
  </si>
  <si>
    <t>Amerada Hess Exposure Raptor I</t>
  </si>
  <si>
    <t>City Forest IPC Raptor I</t>
  </si>
  <si>
    <t>LTD. Partnership</t>
  </si>
  <si>
    <t>WB Oil &amp; Gas Raptor I</t>
  </si>
  <si>
    <t>Paradigm Common Raptor I</t>
  </si>
  <si>
    <t>US;PGEO</t>
  </si>
  <si>
    <t>US;CESI</t>
  </si>
  <si>
    <t>Grand Total</t>
  </si>
  <si>
    <t>Enron Raptor II - EGF SLP - US Public</t>
  </si>
  <si>
    <t>Hanover Compressor Common EGF Raptor II</t>
  </si>
  <si>
    <t>016:Enron Raptor II</t>
  </si>
  <si>
    <t>Enron Raptor II - EGF SLP - US Public Total</t>
  </si>
  <si>
    <t>Basic Energy CFPC Raptor I</t>
  </si>
  <si>
    <t>Enron Raptor II - US Public</t>
  </si>
  <si>
    <t>Hanover Compressor Common Raptor II</t>
  </si>
  <si>
    <t>Enron Raptor II - US Public Total</t>
  </si>
  <si>
    <t>RAPTOR II</t>
  </si>
  <si>
    <t>Basic Energy Preferred Raptor I</t>
  </si>
  <si>
    <t>Enron 60%</t>
  </si>
  <si>
    <t>Hornbeck-Leevac Warrants Raptor I</t>
  </si>
  <si>
    <t>Prior YTD</t>
  </si>
  <si>
    <t>Current QTR</t>
  </si>
  <si>
    <t>Catalytica Common Raptor I</t>
  </si>
  <si>
    <t>LSI Preferred (AIM) Raptor I</t>
  </si>
  <si>
    <t>LSI Warrants (AIM) Raptor I</t>
  </si>
  <si>
    <t>$ Equivalents</t>
  </si>
  <si>
    <t>Share Equivalents</t>
  </si>
  <si>
    <t>ENE Stock Price</t>
  </si>
  <si>
    <t>ENE Shares held by WW</t>
  </si>
  <si>
    <t>Osprey 144A Debt outstanding</t>
  </si>
  <si>
    <t xml:space="preserve">     Subtotal:  Remaining value</t>
  </si>
  <si>
    <t>Less:</t>
  </si>
  <si>
    <t xml:space="preserve">     Raptor I commitment</t>
  </si>
  <si>
    <t xml:space="preserve">     Raptor II commitment</t>
  </si>
  <si>
    <t xml:space="preserve">     Raptor IV commitment</t>
  </si>
  <si>
    <t>Origanal Shares</t>
  </si>
  <si>
    <t>Origanal Discount</t>
  </si>
  <si>
    <t>Amortization</t>
  </si>
  <si>
    <t>Balance</t>
  </si>
  <si>
    <t>Shares Available</t>
  </si>
  <si>
    <t>Balance Sheet</t>
  </si>
  <si>
    <t>Reserve for Shares</t>
  </si>
  <si>
    <t>Raptor II Shares</t>
  </si>
  <si>
    <t>Timberwolf Balance Sheet</t>
  </si>
  <si>
    <t>EGF 36.12%</t>
  </si>
  <si>
    <t>Terminations</t>
  </si>
  <si>
    <t>MAX</t>
  </si>
  <si>
    <t>Partial Termination of Hanover</t>
  </si>
  <si>
    <t>ENE Shares</t>
  </si>
  <si>
    <t xml:space="preserve">          March ENE Shares</t>
  </si>
  <si>
    <t>March ENE Shares</t>
  </si>
  <si>
    <t>New ENE Shares</t>
  </si>
  <si>
    <t>Total Shares</t>
  </si>
  <si>
    <t>Raptor 1</t>
  </si>
  <si>
    <t>Raptor 2</t>
  </si>
  <si>
    <t>Raptor 4</t>
  </si>
  <si>
    <t>R 2 Shares</t>
  </si>
  <si>
    <t>R2 Cost</t>
  </si>
  <si>
    <t xml:space="preserve">          ENE shares not included above</t>
  </si>
  <si>
    <t>Jedi Shares</t>
  </si>
  <si>
    <t>Number of Shares</t>
  </si>
  <si>
    <t>Share Price</t>
  </si>
  <si>
    <t>Sub Total</t>
  </si>
  <si>
    <t>Discount</t>
  </si>
  <si>
    <t>Maximum Amount</t>
  </si>
  <si>
    <t>Note Amount</t>
  </si>
  <si>
    <t>Net (Income)/Loss</t>
  </si>
  <si>
    <t>zero check</t>
  </si>
  <si>
    <t>Net Income/(Loss)</t>
  </si>
  <si>
    <t>Gain or (Loss)</t>
  </si>
  <si>
    <t>Debt</t>
  </si>
  <si>
    <t>Increase/(decrease)</t>
  </si>
  <si>
    <t>Amotization</t>
  </si>
  <si>
    <t>ending date</t>
  </si>
  <si>
    <t>total days</t>
  </si>
  <si>
    <t>current date</t>
  </si>
  <si>
    <t>number of days</t>
  </si>
  <si>
    <t>amortization</t>
  </si>
  <si>
    <t>Discount Amortization - Jedi</t>
  </si>
  <si>
    <t>Collar Gains / (Losses) Jedi Shares</t>
  </si>
  <si>
    <t>Paper</t>
  </si>
  <si>
    <t>Derivative Cost</t>
  </si>
  <si>
    <t>Remaining</t>
  </si>
  <si>
    <t>Special Assets</t>
  </si>
  <si>
    <t>S. Josey</t>
  </si>
  <si>
    <t>713-853-0321</t>
  </si>
  <si>
    <t>J. Thompson</t>
  </si>
  <si>
    <t>713-853-3019</t>
  </si>
  <si>
    <t>Asset value</t>
  </si>
  <si>
    <t>Timberwolf Balance Sheet as of 6/29/00</t>
  </si>
  <si>
    <t xml:space="preserve"> need to update quarterly</t>
  </si>
  <si>
    <t>Value for F/S</t>
  </si>
  <si>
    <t>Enron Jedi Shares</t>
  </si>
  <si>
    <t>ENE Share Derivative</t>
  </si>
  <si>
    <t>Unrealized Gains / (Losses) Share Derivative</t>
  </si>
  <si>
    <t>Interest Income--$50 MM Note</t>
  </si>
  <si>
    <t>Permitted Investment Income Summary</t>
  </si>
  <si>
    <t>End Date</t>
  </si>
  <si>
    <t>LIBOR</t>
  </si>
  <si>
    <t>For the period ending 6/29/00 to</t>
  </si>
  <si>
    <t>to</t>
  </si>
  <si>
    <t>Interest Income--Harrier Note</t>
  </si>
  <si>
    <t>Discount Amortization - Jedi Shares</t>
  </si>
  <si>
    <t>Unrealized Gains / (Losses) Derivative</t>
  </si>
  <si>
    <t xml:space="preserve">Changes to: </t>
  </si>
  <si>
    <t>Condor I - Energy Capital Resources</t>
  </si>
  <si>
    <t>Condor I - Principal Investing</t>
  </si>
  <si>
    <t>Condor I - Special Assets</t>
  </si>
  <si>
    <t>Condor II - Special Assets</t>
  </si>
  <si>
    <t>Enron Raptor II - Total Return Swap</t>
  </si>
  <si>
    <t>Enron Raptor II - Total Return Swap Total</t>
  </si>
  <si>
    <t>Condor II - Energy</t>
  </si>
  <si>
    <t>Enron Raptor II - EGF SLP - Total Return Swap</t>
  </si>
  <si>
    <t>Hanover Compressor EGF Raptor II TRS</t>
  </si>
  <si>
    <t>Enron Raptor II - EGF SLP - Total Return Swap Total</t>
  </si>
  <si>
    <t>Hanover Compressor Raptor II TRS</t>
  </si>
  <si>
    <t>EBS - Raptor - EPI</t>
  </si>
  <si>
    <t>EBS - Raptor - EPI Total</t>
  </si>
  <si>
    <t>Paper Raptor - EPI</t>
  </si>
  <si>
    <t>Paper Raptor - EPI Total</t>
  </si>
  <si>
    <t>Principal Investing - Raptor - EPI</t>
  </si>
  <si>
    <t>Principal Investing - Raptor - EPI Total</t>
  </si>
  <si>
    <t>Special Assets - Raptor - EPI</t>
  </si>
  <si>
    <t>Special Assets - Raptor - EPI Total</t>
  </si>
  <si>
    <t>Special Assets EGF Raptor - EPI</t>
  </si>
  <si>
    <t>Special Assets EGF Raptor - EPI Total</t>
  </si>
  <si>
    <t>Hickey</t>
  </si>
  <si>
    <t>713-853-3195</t>
  </si>
  <si>
    <t>Enerson</t>
  </si>
  <si>
    <t>713-853-1788</t>
  </si>
  <si>
    <t>Kuykendall</t>
  </si>
  <si>
    <t>713-853-3995</t>
  </si>
  <si>
    <t>Morris</t>
  </si>
  <si>
    <t>713-345-7134</t>
  </si>
  <si>
    <t>Johnson</t>
  </si>
  <si>
    <t>713-853-9453</t>
  </si>
  <si>
    <t>Meier</t>
  </si>
  <si>
    <t>713-345-8961</t>
  </si>
  <si>
    <t>Structured</t>
  </si>
  <si>
    <t>Partner</t>
  </si>
  <si>
    <t>Vehicle</t>
  </si>
  <si>
    <t>Raptor</t>
  </si>
  <si>
    <t>JEDI I</t>
  </si>
  <si>
    <t>JEDI II</t>
  </si>
  <si>
    <t>Condor</t>
  </si>
  <si>
    <t>Condor/Raptor</t>
  </si>
  <si>
    <t>Enserco</t>
  </si>
  <si>
    <t>N/A</t>
  </si>
  <si>
    <t>Hanover Compressor Common Raptor II Offset</t>
  </si>
  <si>
    <t xml:space="preserve"> -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</si>
</sst>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7" formatCode="_(&quot;$&quot;* #,##0_);_(&quot;$&quot;* \(#,##0\);_(&quot;$&quot;* &quot;-&quot;??_);_(@_)"/>
    <numFmt numFmtId="169" formatCode="0.0%"/>
    <numFmt numFmtId="170" formatCode="#,##0.0_);\(#,##0.0\)"/>
    <numFmt numFmtId="172" formatCode="mm/dd/yy"/>
    <numFmt numFmtId="179" formatCode="_(&quot;$&quot;* #,##0.000_);_(&quot;$&quot;* \(#,##0.000\);_(&quot;$&quot;* &quot;-&quot;??_);_(@_)"/>
    <numFmt numFmtId="219" formatCode="0.00000%"/>
  </numFmts>
  <fonts count="31" x14ac:knownFonts="1">
    <font>
      <sz val="12"/>
      <name val="Times New Roman"/>
    </font>
    <font>
      <sz val="12"/>
      <name val="Times New Roman"/>
    </font>
    <font>
      <sz val="12"/>
      <color indexed="10"/>
      <name val="Times New Roman"/>
      <family val="1"/>
    </font>
    <font>
      <sz val="12"/>
      <name val="Times New Roman"/>
      <family val="1"/>
    </font>
    <font>
      <b/>
      <sz val="10"/>
      <name val="Arial"/>
      <family val="2"/>
    </font>
    <font>
      <b/>
      <sz val="10"/>
      <color indexed="9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sz val="10"/>
      <color indexed="20"/>
      <name val="Arial"/>
      <family val="2"/>
    </font>
    <font>
      <sz val="10"/>
      <color indexed="57"/>
      <name val="Arial"/>
      <family val="2"/>
    </font>
    <font>
      <i/>
      <sz val="10"/>
      <name val="Arial"/>
      <family val="2"/>
    </font>
    <font>
      <sz val="10"/>
      <color indexed="53"/>
      <name val="Arial"/>
      <family val="2"/>
    </font>
    <font>
      <sz val="10"/>
      <color indexed="16"/>
      <name val="Arial"/>
      <family val="2"/>
    </font>
    <font>
      <sz val="10"/>
      <color indexed="23"/>
      <name val="Arial"/>
      <family val="2"/>
    </font>
    <font>
      <sz val="10"/>
      <color indexed="40"/>
      <name val="Arial"/>
      <family val="2"/>
    </font>
    <font>
      <b/>
      <i/>
      <sz val="10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b/>
      <u/>
      <sz val="12"/>
      <name val="Times New Roman"/>
      <family val="1"/>
    </font>
    <font>
      <sz val="12"/>
      <color indexed="9"/>
      <name val="Times New Roman"/>
      <family val="1"/>
    </font>
    <font>
      <b/>
      <sz val="14"/>
      <name val="Times New Roman"/>
      <family val="1"/>
    </font>
    <font>
      <b/>
      <sz val="12"/>
      <name val="Times New Roman"/>
      <family val="1"/>
    </font>
    <font>
      <i/>
      <sz val="12"/>
      <name val="Times New Roman"/>
      <family val="1"/>
    </font>
    <font>
      <sz val="12"/>
      <color indexed="57"/>
      <name val="Times New Roman"/>
      <family val="1"/>
    </font>
    <font>
      <sz val="12"/>
      <color indexed="61"/>
      <name val="Times New Roman"/>
      <family val="1"/>
    </font>
    <font>
      <u val="singleAccounting"/>
      <sz val="12"/>
      <name val="Times New Roman"/>
      <family val="1"/>
    </font>
    <font>
      <sz val="10"/>
      <color indexed="9"/>
      <name val="Arial"/>
      <family val="2"/>
    </font>
    <font>
      <b/>
      <sz val="11"/>
      <name val="Arial"/>
    </font>
    <font>
      <i/>
      <sz val="10"/>
      <name val="Arial"/>
    </font>
    <font>
      <sz val="10"/>
      <name val="Arial"/>
    </font>
    <font>
      <i/>
      <sz val="10"/>
      <color indexed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/>
      <top style="medium">
        <color indexed="64"/>
      </top>
      <bottom/>
      <diagonal/>
    </border>
    <border>
      <left/>
      <right style="dotted">
        <color indexed="64"/>
      </right>
      <top style="medium">
        <color indexed="64"/>
      </top>
      <bottom/>
      <diagonal/>
    </border>
    <border>
      <left style="dotted">
        <color indexed="64"/>
      </left>
      <right/>
      <top/>
      <bottom/>
      <diagonal/>
    </border>
    <border>
      <left/>
      <right style="dotted">
        <color indexed="64"/>
      </right>
      <top/>
      <bottom/>
      <diagonal/>
    </border>
    <border>
      <left style="dotted">
        <color indexed="64"/>
      </left>
      <right/>
      <top/>
      <bottom style="dotted">
        <color indexed="64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17">
    <xf numFmtId="0" fontId="0" fillId="0" borderId="0" xfId="0"/>
    <xf numFmtId="14" fontId="0" fillId="0" borderId="0" xfId="0" applyNumberFormat="1"/>
    <xf numFmtId="44" fontId="0" fillId="0" borderId="0" xfId="2" applyFont="1"/>
    <xf numFmtId="165" fontId="0" fillId="0" borderId="0" xfId="1" applyNumberFormat="1" applyFont="1"/>
    <xf numFmtId="167" fontId="0" fillId="0" borderId="0" xfId="2" applyNumberFormat="1" applyFont="1"/>
    <xf numFmtId="167" fontId="0" fillId="0" borderId="0" xfId="0" applyNumberFormat="1"/>
    <xf numFmtId="37" fontId="4" fillId="0" borderId="0" xfId="0" applyNumberFormat="1" applyFont="1"/>
    <xf numFmtId="37" fontId="0" fillId="0" borderId="0" xfId="0" applyNumberFormat="1"/>
    <xf numFmtId="10" fontId="0" fillId="0" borderId="0" xfId="3" applyNumberFormat="1" applyFont="1"/>
    <xf numFmtId="37" fontId="4" fillId="0" borderId="0" xfId="0" applyNumberFormat="1" applyFont="1" applyAlignment="1">
      <alignment horizontal="center" wrapText="1"/>
    </xf>
    <xf numFmtId="37" fontId="4" fillId="0" borderId="1" xfId="0" applyNumberFormat="1" applyFont="1" applyBorder="1" applyAlignment="1">
      <alignment horizontal="center" wrapText="1"/>
    </xf>
    <xf numFmtId="37" fontId="4" fillId="0" borderId="0" xfId="0" applyNumberFormat="1" applyFont="1" applyBorder="1" applyAlignment="1">
      <alignment horizontal="center" wrapText="1"/>
    </xf>
    <xf numFmtId="37" fontId="0" fillId="0" borderId="2" xfId="0" applyNumberFormat="1" applyBorder="1"/>
    <xf numFmtId="37" fontId="0" fillId="0" borderId="0" xfId="0" applyNumberFormat="1" applyBorder="1"/>
    <xf numFmtId="37" fontId="0" fillId="0" borderId="0" xfId="0" applyNumberFormat="1" applyFill="1"/>
    <xf numFmtId="37" fontId="6" fillId="0" borderId="0" xfId="0" applyNumberFormat="1" applyFont="1" applyBorder="1"/>
    <xf numFmtId="37" fontId="0" fillId="0" borderId="0" xfId="0" applyNumberFormat="1" applyFill="1" applyBorder="1"/>
    <xf numFmtId="37" fontId="7" fillId="0" borderId="0" xfId="0" applyNumberFormat="1" applyFont="1" applyBorder="1"/>
    <xf numFmtId="37" fontId="7" fillId="0" borderId="0" xfId="0" applyNumberFormat="1" applyFont="1"/>
    <xf numFmtId="37" fontId="8" fillId="0" borderId="0" xfId="0" applyNumberFormat="1" applyFont="1" applyBorder="1"/>
    <xf numFmtId="37" fontId="9" fillId="0" borderId="0" xfId="0" applyNumberFormat="1" applyFont="1"/>
    <xf numFmtId="37" fontId="10" fillId="0" borderId="0" xfId="0" applyNumberFormat="1" applyFont="1"/>
    <xf numFmtId="37" fontId="0" fillId="0" borderId="3" xfId="0" applyNumberFormat="1" applyBorder="1" applyAlignment="1">
      <alignment horizontal="right"/>
    </xf>
    <xf numFmtId="37" fontId="0" fillId="0" borderId="0" xfId="0" applyNumberFormat="1" applyBorder="1" applyAlignment="1">
      <alignment horizontal="center"/>
    </xf>
    <xf numFmtId="37" fontId="0" fillId="0" borderId="0" xfId="0" quotePrefix="1" applyNumberFormat="1"/>
    <xf numFmtId="165" fontId="0" fillId="0" borderId="0" xfId="1" applyNumberFormat="1" applyFont="1" applyAlignment="1">
      <alignment horizontal="center"/>
    </xf>
    <xf numFmtId="39" fontId="0" fillId="0" borderId="0" xfId="0" applyNumberFormat="1"/>
    <xf numFmtId="37" fontId="0" fillId="0" borderId="3" xfId="0" applyNumberFormat="1" applyBorder="1"/>
    <xf numFmtId="37" fontId="0" fillId="0" borderId="0" xfId="2" applyNumberFormat="1" applyFont="1"/>
    <xf numFmtId="37" fontId="11" fillId="0" borderId="0" xfId="0" applyNumberFormat="1" applyFont="1" applyFill="1" applyBorder="1"/>
    <xf numFmtId="10" fontId="0" fillId="0" borderId="3" xfId="3" applyNumberFormat="1" applyFont="1" applyBorder="1"/>
    <xf numFmtId="37" fontId="12" fillId="0" borderId="0" xfId="0" applyNumberFormat="1" applyFont="1"/>
    <xf numFmtId="169" fontId="0" fillId="0" borderId="0" xfId="3" applyNumberFormat="1" applyFont="1" applyAlignment="1">
      <alignment horizontal="left"/>
    </xf>
    <xf numFmtId="37" fontId="13" fillId="0" borderId="0" xfId="0" applyNumberFormat="1" applyFont="1" applyBorder="1"/>
    <xf numFmtId="37" fontId="9" fillId="0" borderId="0" xfId="0" applyNumberFormat="1" applyFont="1" applyBorder="1"/>
    <xf numFmtId="37" fontId="0" fillId="0" borderId="4" xfId="0" applyNumberFormat="1" applyBorder="1"/>
    <xf numFmtId="37" fontId="0" fillId="0" borderId="5" xfId="0" applyNumberFormat="1" applyBorder="1"/>
    <xf numFmtId="37" fontId="0" fillId="2" borderId="0" xfId="0" applyNumberFormat="1" applyFill="1" applyBorder="1"/>
    <xf numFmtId="37" fontId="0" fillId="2" borderId="2" xfId="0" applyNumberFormat="1" applyFill="1" applyBorder="1"/>
    <xf numFmtId="37" fontId="14" fillId="0" borderId="0" xfId="0" applyNumberFormat="1" applyFont="1" applyBorder="1"/>
    <xf numFmtId="37" fontId="0" fillId="0" borderId="3" xfId="0" applyNumberFormat="1" applyFill="1" applyBorder="1"/>
    <xf numFmtId="37" fontId="12" fillId="0" borderId="0" xfId="0" applyNumberFormat="1" applyFont="1" applyBorder="1"/>
    <xf numFmtId="37" fontId="11" fillId="0" borderId="0" xfId="0" applyNumberFormat="1" applyFont="1" applyBorder="1"/>
    <xf numFmtId="170" fontId="7" fillId="0" borderId="0" xfId="0" applyNumberFormat="1" applyFont="1"/>
    <xf numFmtId="37" fontId="0" fillId="0" borderId="6" xfId="0" applyNumberFormat="1" applyFill="1" applyBorder="1" applyAlignment="1">
      <alignment horizontal="center"/>
    </xf>
    <xf numFmtId="37" fontId="0" fillId="0" borderId="6" xfId="0" applyNumberFormat="1" applyBorder="1" applyAlignment="1">
      <alignment horizontal="center"/>
    </xf>
    <xf numFmtId="14" fontId="0" fillId="0" borderId="0" xfId="0" applyNumberFormat="1" applyFill="1" applyBorder="1"/>
    <xf numFmtId="14" fontId="0" fillId="0" borderId="0" xfId="0" applyNumberFormat="1" applyBorder="1"/>
    <xf numFmtId="10" fontId="0" fillId="0" borderId="0" xfId="3" applyNumberFormat="1" applyFont="1" applyBorder="1" applyAlignment="1">
      <alignment horizontal="center"/>
    </xf>
    <xf numFmtId="14" fontId="0" fillId="0" borderId="3" xfId="0" applyNumberFormat="1" applyFill="1" applyBorder="1"/>
    <xf numFmtId="37" fontId="0" fillId="0" borderId="6" xfId="0" applyNumberFormat="1" applyFill="1" applyBorder="1"/>
    <xf numFmtId="14" fontId="4" fillId="0" borderId="0" xfId="0" applyNumberFormat="1" applyFont="1" applyBorder="1" applyAlignment="1">
      <alignment horizontal="right"/>
    </xf>
    <xf numFmtId="10" fontId="4" fillId="0" borderId="0" xfId="3" applyNumberFormat="1" applyFont="1" applyBorder="1" applyAlignment="1">
      <alignment horizontal="center"/>
    </xf>
    <xf numFmtId="0" fontId="18" fillId="0" borderId="0" xfId="0" applyFont="1"/>
    <xf numFmtId="165" fontId="0" fillId="0" borderId="0" xfId="0" applyNumberFormat="1"/>
    <xf numFmtId="37" fontId="15" fillId="0" borderId="3" xfId="0" applyNumberFormat="1" applyFont="1" applyBorder="1" applyAlignment="1">
      <alignment horizontal="center"/>
    </xf>
    <xf numFmtId="167" fontId="0" fillId="0" borderId="3" xfId="2" applyNumberFormat="1" applyFont="1" applyBorder="1"/>
    <xf numFmtId="167" fontId="0" fillId="0" borderId="7" xfId="2" applyNumberFormat="1" applyFont="1" applyBorder="1"/>
    <xf numFmtId="0" fontId="0" fillId="0" borderId="3" xfId="0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0" xfId="0" applyBorder="1"/>
    <xf numFmtId="0" fontId="18" fillId="0" borderId="0" xfId="0" applyFont="1" applyBorder="1"/>
    <xf numFmtId="14" fontId="2" fillId="0" borderId="0" xfId="0" applyNumberFormat="1" applyFont="1" applyBorder="1"/>
    <xf numFmtId="0" fontId="19" fillId="0" borderId="0" xfId="0" applyFont="1" applyBorder="1" applyAlignment="1">
      <alignment horizontal="right"/>
    </xf>
    <xf numFmtId="14" fontId="19" fillId="0" borderId="0" xfId="0" applyNumberFormat="1" applyFont="1" applyBorder="1"/>
    <xf numFmtId="0" fontId="0" fillId="0" borderId="0" xfId="0" applyBorder="1" applyAlignment="1">
      <alignment horizontal="right"/>
    </xf>
    <xf numFmtId="167" fontId="0" fillId="0" borderId="0" xfId="2" applyNumberFormat="1" applyFont="1" applyBorder="1"/>
    <xf numFmtId="0" fontId="3" fillId="0" borderId="0" xfId="0" applyFont="1" applyFill="1" applyBorder="1"/>
    <xf numFmtId="0" fontId="0" fillId="0" borderId="13" xfId="0" applyBorder="1"/>
    <xf numFmtId="0" fontId="0" fillId="0" borderId="6" xfId="0" applyBorder="1"/>
    <xf numFmtId="0" fontId="0" fillId="0" borderId="14" xfId="0" applyBorder="1"/>
    <xf numFmtId="0" fontId="21" fillId="0" borderId="0" xfId="0" applyFont="1" applyBorder="1"/>
    <xf numFmtId="0" fontId="0" fillId="0" borderId="0" xfId="0" applyAlignment="1">
      <alignment horizontal="center"/>
    </xf>
    <xf numFmtId="167" fontId="0" fillId="0" borderId="2" xfId="0" applyNumberFormat="1" applyBorder="1"/>
    <xf numFmtId="0" fontId="21" fillId="0" borderId="0" xfId="0" applyFont="1" applyAlignment="1">
      <alignment horizontal="center"/>
    </xf>
    <xf numFmtId="0" fontId="21" fillId="0" borderId="0" xfId="0" applyFont="1" applyBorder="1" applyAlignment="1">
      <alignment horizontal="center" wrapText="1"/>
    </xf>
    <xf numFmtId="167" fontId="21" fillId="0" borderId="0" xfId="2" applyNumberFormat="1" applyFont="1" applyAlignment="1">
      <alignment horizontal="center"/>
    </xf>
    <xf numFmtId="44" fontId="21" fillId="0" borderId="0" xfId="2" applyFont="1" applyAlignment="1">
      <alignment horizontal="center"/>
    </xf>
    <xf numFmtId="0" fontId="21" fillId="0" borderId="6" xfId="0" applyFont="1" applyBorder="1" applyAlignment="1">
      <alignment horizontal="center" wrapText="1"/>
    </xf>
    <xf numFmtId="167" fontId="21" fillId="0" borderId="6" xfId="2" applyNumberFormat="1" applyFont="1" applyBorder="1" applyAlignment="1">
      <alignment horizontal="center" wrapText="1"/>
    </xf>
    <xf numFmtId="44" fontId="21" fillId="0" borderId="6" xfId="2" applyFont="1" applyBorder="1" applyAlignment="1">
      <alignment horizontal="center" wrapText="1"/>
    </xf>
    <xf numFmtId="0" fontId="21" fillId="0" borderId="15" xfId="0" applyFont="1" applyBorder="1" applyAlignment="1">
      <alignment horizontal="center"/>
    </xf>
    <xf numFmtId="0" fontId="21" fillId="0" borderId="16" xfId="0" applyFont="1" applyBorder="1" applyAlignment="1">
      <alignment horizontal="center"/>
    </xf>
    <xf numFmtId="0" fontId="21" fillId="0" borderId="17" xfId="0" applyFont="1" applyBorder="1" applyAlignment="1">
      <alignment horizontal="center" wrapText="1"/>
    </xf>
    <xf numFmtId="0" fontId="21" fillId="0" borderId="18" xfId="0" applyFont="1" applyBorder="1" applyAlignment="1">
      <alignment horizontal="center" wrapText="1"/>
    </xf>
    <xf numFmtId="0" fontId="21" fillId="0" borderId="19" xfId="0" applyFont="1" applyBorder="1" applyAlignment="1">
      <alignment horizontal="center"/>
    </xf>
    <xf numFmtId="165" fontId="21" fillId="0" borderId="17" xfId="1" applyNumberFormat="1" applyFont="1" applyBorder="1" applyAlignment="1">
      <alignment horizontal="center" wrapText="1"/>
    </xf>
    <xf numFmtId="37" fontId="22" fillId="0" borderId="0" xfId="0" applyNumberFormat="1" applyFont="1"/>
    <xf numFmtId="37" fontId="19" fillId="0" borderId="0" xfId="0" applyNumberFormat="1" applyFont="1"/>
    <xf numFmtId="37" fontId="19" fillId="3" borderId="0" xfId="0" applyNumberFormat="1" applyFont="1" applyFill="1" applyAlignment="1">
      <alignment horizontal="right"/>
    </xf>
    <xf numFmtId="37" fontId="19" fillId="3" borderId="0" xfId="0" applyNumberFormat="1" applyFont="1" applyFill="1" applyAlignment="1">
      <alignment horizontal="center"/>
    </xf>
    <xf numFmtId="14" fontId="19" fillId="3" borderId="0" xfId="0" applyNumberFormat="1" applyFont="1" applyFill="1" applyAlignment="1">
      <alignment horizontal="left"/>
    </xf>
    <xf numFmtId="14" fontId="5" fillId="0" borderId="0" xfId="0" applyNumberFormat="1" applyFont="1" applyFill="1" applyBorder="1" applyAlignment="1">
      <alignment horizontal="center"/>
    </xf>
    <xf numFmtId="37" fontId="5" fillId="0" borderId="0" xfId="0" applyNumberFormat="1" applyFont="1" applyFill="1" applyBorder="1" applyAlignment="1">
      <alignment horizontal="center"/>
    </xf>
    <xf numFmtId="14" fontId="19" fillId="3" borderId="0" xfId="0" applyNumberFormat="1" applyFont="1" applyFill="1" applyAlignment="1"/>
    <xf numFmtId="37" fontId="0" fillId="3" borderId="0" xfId="0" applyNumberFormat="1" applyFill="1" applyAlignment="1"/>
    <xf numFmtId="37" fontId="0" fillId="0" borderId="0" xfId="0" applyNumberFormat="1" applyFill="1" applyBorder="1" applyAlignment="1"/>
    <xf numFmtId="37" fontId="0" fillId="2" borderId="7" xfId="0" applyNumberFormat="1" applyFill="1" applyBorder="1"/>
    <xf numFmtId="0" fontId="3" fillId="0" borderId="0" xfId="0" applyFont="1"/>
    <xf numFmtId="37" fontId="3" fillId="0" borderId="0" xfId="0" applyNumberFormat="1" applyFont="1"/>
    <xf numFmtId="37" fontId="0" fillId="0" borderId="0" xfId="0" applyNumberFormat="1" applyAlignment="1">
      <alignment horizontal="center"/>
    </xf>
    <xf numFmtId="37" fontId="2" fillId="0" borderId="0" xfId="0" applyNumberFormat="1" applyFont="1"/>
    <xf numFmtId="37" fontId="23" fillId="0" borderId="0" xfId="0" applyNumberFormat="1" applyFont="1" applyBorder="1"/>
    <xf numFmtId="37" fontId="24" fillId="0" borderId="0" xfId="0" applyNumberFormat="1" applyFont="1" applyBorder="1"/>
    <xf numFmtId="37" fontId="7" fillId="0" borderId="20" xfId="0" applyNumberFormat="1" applyFont="1" applyBorder="1" applyAlignment="1">
      <alignment horizontal="center"/>
    </xf>
    <xf numFmtId="0" fontId="21" fillId="2" borderId="0" xfId="0" applyFont="1" applyFill="1"/>
    <xf numFmtId="165" fontId="0" fillId="2" borderId="0" xfId="0" applyNumberFormat="1" applyFill="1"/>
    <xf numFmtId="37" fontId="0" fillId="4" borderId="1" xfId="0" applyNumberFormat="1" applyFill="1" applyBorder="1" applyAlignment="1">
      <alignment horizontal="center"/>
    </xf>
    <xf numFmtId="37" fontId="0" fillId="4" borderId="21" xfId="0" applyNumberFormat="1" applyFill="1" applyBorder="1"/>
    <xf numFmtId="10" fontId="0" fillId="4" borderId="22" xfId="3" applyNumberFormat="1" applyFont="1" applyFill="1" applyBorder="1"/>
    <xf numFmtId="37" fontId="0" fillId="4" borderId="22" xfId="0" applyNumberFormat="1" applyFill="1" applyBorder="1"/>
    <xf numFmtId="37" fontId="0" fillId="4" borderId="23" xfId="0" applyNumberFormat="1" applyFill="1" applyBorder="1"/>
    <xf numFmtId="14" fontId="3" fillId="0" borderId="0" xfId="0" applyNumberFormat="1" applyFont="1"/>
    <xf numFmtId="37" fontId="0" fillId="0" borderId="24" xfId="0" applyNumberFormat="1" applyBorder="1"/>
    <xf numFmtId="37" fontId="0" fillId="0" borderId="25" xfId="0" applyNumberFormat="1" applyFill="1" applyBorder="1"/>
    <xf numFmtId="37" fontId="0" fillId="0" borderId="26" xfId="0" applyNumberFormat="1" applyBorder="1"/>
    <xf numFmtId="10" fontId="0" fillId="0" borderId="27" xfId="3" applyNumberFormat="1" applyFont="1" applyFill="1" applyBorder="1"/>
    <xf numFmtId="37" fontId="0" fillId="0" borderId="28" xfId="0" applyNumberFormat="1" applyBorder="1"/>
    <xf numFmtId="37" fontId="0" fillId="0" borderId="29" xfId="0" applyNumberFormat="1" applyFill="1" applyBorder="1"/>
    <xf numFmtId="179" fontId="21" fillId="0" borderId="0" xfId="2" applyNumberFormat="1" applyFont="1" applyBorder="1" applyAlignment="1">
      <alignment horizontal="center"/>
    </xf>
    <xf numFmtId="179" fontId="0" fillId="0" borderId="0" xfId="2" applyNumberFormat="1" applyFont="1" applyBorder="1" applyAlignment="1">
      <alignment horizontal="center"/>
    </xf>
    <xf numFmtId="179" fontId="0" fillId="0" borderId="0" xfId="2" applyNumberFormat="1" applyFont="1"/>
    <xf numFmtId="0" fontId="18" fillId="0" borderId="0" xfId="0" applyFont="1" applyBorder="1" applyAlignment="1">
      <alignment horizontal="center" wrapText="1"/>
    </xf>
    <xf numFmtId="165" fontId="3" fillId="0" borderId="0" xfId="1" applyNumberFormat="1" applyFont="1"/>
    <xf numFmtId="0" fontId="0" fillId="0" borderId="0" xfId="0" applyFill="1" applyBorder="1" applyAlignment="1">
      <alignment horizontal="left"/>
    </xf>
    <xf numFmtId="43" fontId="0" fillId="0" borderId="0" xfId="1" applyFont="1"/>
    <xf numFmtId="167" fontId="0" fillId="0" borderId="0" xfId="0" applyNumberFormat="1" applyBorder="1"/>
    <xf numFmtId="37" fontId="4" fillId="0" borderId="0" xfId="0" applyNumberFormat="1" applyFont="1" applyFill="1" applyBorder="1" applyAlignment="1">
      <alignment horizontal="right"/>
    </xf>
    <xf numFmtId="37" fontId="5" fillId="0" borderId="0" xfId="0" applyNumberFormat="1" applyFont="1" applyFill="1" applyBorder="1" applyAlignment="1">
      <alignment horizontal="right"/>
    </xf>
    <xf numFmtId="165" fontId="25" fillId="0" borderId="0" xfId="1" applyNumberFormat="1" applyFont="1"/>
    <xf numFmtId="44" fontId="0" fillId="0" borderId="0" xfId="0" applyNumberFormat="1"/>
    <xf numFmtId="43" fontId="0" fillId="0" borderId="0" xfId="0" applyNumberFormat="1"/>
    <xf numFmtId="0" fontId="0" fillId="0" borderId="0" xfId="2" applyNumberFormat="1" applyFont="1"/>
    <xf numFmtId="37" fontId="5" fillId="3" borderId="3" xfId="0" applyNumberFormat="1" applyFont="1" applyFill="1" applyBorder="1" applyAlignment="1">
      <alignment horizontal="center"/>
    </xf>
    <xf numFmtId="37" fontId="5" fillId="3" borderId="3" xfId="0" applyNumberFormat="1" applyFont="1" applyFill="1" applyBorder="1" applyAlignment="1">
      <alignment horizontal="left"/>
    </xf>
    <xf numFmtId="37" fontId="0" fillId="0" borderId="19" xfId="0" applyNumberFormat="1" applyBorder="1" applyAlignment="1"/>
    <xf numFmtId="37" fontId="0" fillId="0" borderId="0" xfId="0" applyNumberFormat="1" applyAlignment="1">
      <alignment horizontal="left"/>
    </xf>
    <xf numFmtId="167" fontId="21" fillId="0" borderId="18" xfId="2" applyNumberFormat="1" applyFont="1" applyBorder="1" applyAlignment="1">
      <alignment horizontal="center" wrapText="1"/>
    </xf>
    <xf numFmtId="167" fontId="0" fillId="0" borderId="2" xfId="2" applyNumberFormat="1" applyFont="1" applyBorder="1"/>
    <xf numFmtId="172" fontId="0" fillId="0" borderId="0" xfId="0" applyNumberFormat="1"/>
    <xf numFmtId="14" fontId="21" fillId="0" borderId="0" xfId="0" applyNumberFormat="1" applyFont="1"/>
    <xf numFmtId="14" fontId="21" fillId="0" borderId="30" xfId="0" applyNumberFormat="1" applyFont="1" applyBorder="1" applyAlignment="1">
      <alignment horizontal="center"/>
    </xf>
    <xf numFmtId="172" fontId="21" fillId="0" borderId="0" xfId="0" applyNumberFormat="1" applyFont="1" applyAlignment="1">
      <alignment horizontal="center"/>
    </xf>
    <xf numFmtId="172" fontId="21" fillId="0" borderId="6" xfId="0" applyNumberFormat="1" applyFont="1" applyBorder="1" applyAlignment="1">
      <alignment horizontal="center" wrapText="1"/>
    </xf>
    <xf numFmtId="172" fontId="0" fillId="0" borderId="0" xfId="0" applyNumberFormat="1" applyAlignment="1">
      <alignment horizontal="center"/>
    </xf>
    <xf numFmtId="172" fontId="21" fillId="0" borderId="0" xfId="0" applyNumberFormat="1" applyFont="1" applyAlignment="1">
      <alignment horizontal="left"/>
    </xf>
    <xf numFmtId="37" fontId="0" fillId="0" borderId="2" xfId="0" applyNumberFormat="1" applyFill="1" applyBorder="1"/>
    <xf numFmtId="37" fontId="3" fillId="0" borderId="3" xfId="0" applyNumberFormat="1" applyFont="1" applyBorder="1"/>
    <xf numFmtId="179" fontId="3" fillId="0" borderId="0" xfId="2" applyNumberFormat="1" applyFont="1" applyBorder="1" applyAlignment="1">
      <alignment horizontal="center"/>
    </xf>
    <xf numFmtId="179" fontId="0" fillId="0" borderId="0" xfId="2" applyNumberFormat="1" applyFont="1" applyAlignment="1">
      <alignment horizontal="center"/>
    </xf>
    <xf numFmtId="44" fontId="0" fillId="0" borderId="0" xfId="2" applyNumberFormat="1" applyFont="1"/>
    <xf numFmtId="0" fontId="27" fillId="2" borderId="9" xfId="0" applyFont="1" applyFill="1" applyBorder="1" applyAlignment="1">
      <alignment horizontal="left"/>
    </xf>
    <xf numFmtId="0" fontId="27" fillId="2" borderId="31" xfId="0" applyFont="1" applyFill="1" applyBorder="1" applyAlignment="1">
      <alignment horizontal="left"/>
    </xf>
    <xf numFmtId="43" fontId="28" fillId="2" borderId="9" xfId="1" applyFont="1" applyFill="1" applyBorder="1" applyAlignment="1">
      <alignment horizontal="center"/>
    </xf>
    <xf numFmtId="39" fontId="28" fillId="2" borderId="9" xfId="2" applyNumberFormat="1" applyFont="1" applyFill="1" applyBorder="1" applyAlignment="1">
      <alignment horizontal="center"/>
    </xf>
    <xf numFmtId="44" fontId="28" fillId="2" borderId="9" xfId="2" applyFont="1" applyFill="1" applyBorder="1" applyAlignment="1">
      <alignment horizontal="center"/>
    </xf>
    <xf numFmtId="39" fontId="28" fillId="2" borderId="32" xfId="2" applyNumberFormat="1" applyFont="1" applyFill="1" applyBorder="1" applyAlignment="1">
      <alignment horizontal="center"/>
    </xf>
    <xf numFmtId="0" fontId="28" fillId="2" borderId="9" xfId="0" applyFont="1" applyFill="1" applyBorder="1" applyAlignment="1">
      <alignment horizontal="center"/>
    </xf>
    <xf numFmtId="14" fontId="28" fillId="2" borderId="9" xfId="2" applyNumberFormat="1" applyFont="1" applyFill="1" applyBorder="1" applyAlignment="1">
      <alignment horizontal="center"/>
    </xf>
    <xf numFmtId="165" fontId="28" fillId="2" borderId="9" xfId="1" applyNumberFormat="1" applyFont="1" applyFill="1" applyBorder="1" applyAlignment="1">
      <alignment horizontal="center"/>
    </xf>
    <xf numFmtId="0" fontId="27" fillId="2" borderId="0" xfId="0" applyFont="1" applyFill="1" applyBorder="1" applyAlignment="1">
      <alignment horizontal="left"/>
    </xf>
    <xf numFmtId="0" fontId="27" fillId="2" borderId="33" xfId="0" applyFont="1" applyFill="1" applyBorder="1" applyAlignment="1">
      <alignment horizontal="left"/>
    </xf>
    <xf numFmtId="43" fontId="28" fillId="2" borderId="0" xfId="1" applyFont="1" applyFill="1" applyBorder="1" applyAlignment="1">
      <alignment horizontal="center"/>
    </xf>
    <xf numFmtId="39" fontId="28" fillId="2" borderId="0" xfId="2" applyNumberFormat="1" applyFont="1" applyFill="1" applyBorder="1" applyAlignment="1">
      <alignment horizontal="center"/>
    </xf>
    <xf numFmtId="44" fontId="28" fillId="2" borderId="0" xfId="2" applyFont="1" applyFill="1" applyBorder="1" applyAlignment="1">
      <alignment horizontal="center"/>
    </xf>
    <xf numFmtId="39" fontId="28" fillId="2" borderId="34" xfId="2" applyNumberFormat="1" applyFont="1" applyFill="1" applyBorder="1" applyAlignment="1">
      <alignment horizontal="center"/>
    </xf>
    <xf numFmtId="14" fontId="28" fillId="2" borderId="0" xfId="2" applyNumberFormat="1" applyFont="1" applyFill="1" applyBorder="1" applyAlignment="1">
      <alignment horizontal="center"/>
    </xf>
    <xf numFmtId="39" fontId="28" fillId="2" borderId="0" xfId="2" quotePrefix="1" applyNumberFormat="1" applyFont="1" applyFill="1" applyBorder="1" applyAlignment="1">
      <alignment horizontal="center"/>
    </xf>
    <xf numFmtId="0" fontId="28" fillId="2" borderId="0" xfId="0" applyFont="1" applyFill="1" applyBorder="1" applyAlignment="1">
      <alignment horizontal="center"/>
    </xf>
    <xf numFmtId="165" fontId="28" fillId="2" borderId="0" xfId="1" applyNumberFormat="1" applyFont="1" applyFill="1" applyBorder="1" applyAlignment="1">
      <alignment horizontal="center"/>
    </xf>
    <xf numFmtId="0" fontId="27" fillId="2" borderId="5" xfId="0" applyFont="1" applyFill="1" applyBorder="1" applyAlignment="1">
      <alignment horizontal="left"/>
    </xf>
    <xf numFmtId="0" fontId="27" fillId="2" borderId="20" xfId="0" applyFont="1" applyFill="1" applyBorder="1" applyAlignment="1">
      <alignment horizontal="left"/>
    </xf>
    <xf numFmtId="43" fontId="28" fillId="2" borderId="5" xfId="1" applyFont="1" applyFill="1" applyBorder="1" applyAlignment="1">
      <alignment horizontal="center"/>
    </xf>
    <xf numFmtId="39" fontId="28" fillId="2" borderId="5" xfId="2" applyNumberFormat="1" applyFont="1" applyFill="1" applyBorder="1" applyAlignment="1">
      <alignment horizontal="center"/>
    </xf>
    <xf numFmtId="14" fontId="28" fillId="2" borderId="5" xfId="2" applyNumberFormat="1" applyFont="1" applyFill="1" applyBorder="1" applyAlignment="1">
      <alignment horizontal="center"/>
    </xf>
    <xf numFmtId="14" fontId="28" fillId="2" borderId="35" xfId="2" applyNumberFormat="1" applyFont="1" applyFill="1" applyBorder="1" applyAlignment="1">
      <alignment horizontal="center"/>
    </xf>
    <xf numFmtId="44" fontId="28" fillId="2" borderId="5" xfId="2" applyFont="1" applyFill="1" applyBorder="1" applyAlignment="1">
      <alignment horizontal="center"/>
    </xf>
    <xf numFmtId="44" fontId="28" fillId="2" borderId="36" xfId="2" applyFont="1" applyFill="1" applyBorder="1" applyAlignment="1">
      <alignment horizontal="center"/>
    </xf>
    <xf numFmtId="44" fontId="28" fillId="2" borderId="37" xfId="2" applyFont="1" applyFill="1" applyBorder="1" applyAlignment="1">
      <alignment horizontal="center"/>
    </xf>
    <xf numFmtId="0" fontId="28" fillId="2" borderId="5" xfId="0" applyFont="1" applyFill="1" applyBorder="1" applyAlignment="1">
      <alignment horizontal="center"/>
    </xf>
    <xf numFmtId="165" fontId="28" fillId="2" borderId="5" xfId="1" applyNumberFormat="1" applyFont="1" applyFill="1" applyBorder="1" applyAlignment="1">
      <alignment horizontal="center"/>
    </xf>
    <xf numFmtId="0" fontId="0" fillId="0" borderId="33" xfId="0" applyFill="1" applyBorder="1" applyAlignment="1">
      <alignment horizontal="left"/>
    </xf>
    <xf numFmtId="41" fontId="26" fillId="0" borderId="0" xfId="1" applyNumberFormat="1" applyFont="1" applyFill="1" applyBorder="1" applyAlignment="1"/>
    <xf numFmtId="41" fontId="29" fillId="0" borderId="0" xfId="1" applyNumberFormat="1" applyFont="1" applyFill="1" applyBorder="1" applyAlignment="1"/>
    <xf numFmtId="44" fontId="29" fillId="0" borderId="0" xfId="2" applyFont="1" applyFill="1" applyBorder="1" applyAlignment="1"/>
    <xf numFmtId="43" fontId="29" fillId="0" borderId="0" xfId="1" applyFont="1" applyFill="1" applyBorder="1" applyAlignment="1"/>
    <xf numFmtId="39" fontId="29" fillId="0" borderId="0" xfId="1" applyNumberFormat="1" applyFont="1" applyFill="1" applyBorder="1" applyAlignment="1"/>
    <xf numFmtId="37" fontId="29" fillId="0" borderId="0" xfId="1" applyNumberFormat="1" applyFont="1" applyFill="1" applyBorder="1" applyAlignment="1"/>
    <xf numFmtId="44" fontId="29" fillId="0" borderId="34" xfId="2" applyFont="1" applyFill="1" applyBorder="1" applyAlignment="1"/>
    <xf numFmtId="44" fontId="29" fillId="0" borderId="11" xfId="2" applyFont="1" applyFill="1" applyBorder="1" applyAlignment="1"/>
    <xf numFmtId="44" fontId="29" fillId="0" borderId="12" xfId="2" applyFont="1" applyFill="1" applyBorder="1" applyAlignment="1"/>
    <xf numFmtId="37" fontId="29" fillId="0" borderId="0" xfId="2" applyNumberFormat="1" applyFont="1" applyFill="1" applyBorder="1" applyAlignment="1"/>
    <xf numFmtId="43" fontId="29" fillId="0" borderId="0" xfId="1" applyNumberFormat="1" applyFont="1" applyFill="1" applyBorder="1" applyAlignment="1"/>
    <xf numFmtId="39" fontId="29" fillId="0" borderId="0" xfId="2" applyNumberFormat="1" applyFont="1" applyFill="1" applyBorder="1" applyAlignment="1"/>
    <xf numFmtId="0" fontId="0" fillId="0" borderId="0" xfId="0" applyFill="1" applyBorder="1" applyAlignment="1"/>
    <xf numFmtId="165" fontId="29" fillId="0" borderId="0" xfId="1" applyNumberFormat="1" applyFont="1" applyFill="1" applyBorder="1" applyAlignment="1"/>
    <xf numFmtId="44" fontId="29" fillId="0" borderId="0" xfId="2" applyNumberFormat="1" applyFont="1" applyFill="1" applyBorder="1" applyAlignment="1"/>
    <xf numFmtId="0" fontId="15" fillId="0" borderId="5" xfId="0" applyNumberFormat="1" applyFont="1" applyFill="1" applyBorder="1" applyAlignment="1">
      <alignment horizontal="left" vertical="center"/>
    </xf>
    <xf numFmtId="0" fontId="15" fillId="0" borderId="5" xfId="0" applyFont="1" applyFill="1" applyBorder="1" applyAlignment="1">
      <alignment horizontal="left" vertical="center"/>
    </xf>
    <xf numFmtId="0" fontId="15" fillId="0" borderId="20" xfId="0" applyFont="1" applyFill="1" applyBorder="1" applyAlignment="1">
      <alignment horizontal="left" vertical="center"/>
    </xf>
    <xf numFmtId="41" fontId="30" fillId="0" borderId="5" xfId="1" applyNumberFormat="1" applyFont="1" applyFill="1" applyBorder="1" applyAlignment="1">
      <alignment vertical="center"/>
    </xf>
    <xf numFmtId="41" fontId="10" fillId="0" borderId="5" xfId="1" applyNumberFormat="1" applyFont="1" applyFill="1" applyBorder="1" applyAlignment="1">
      <alignment vertical="center"/>
    </xf>
    <xf numFmtId="44" fontId="10" fillId="0" borderId="5" xfId="2" applyFont="1" applyFill="1" applyBorder="1" applyAlignment="1">
      <alignment vertical="center"/>
    </xf>
    <xf numFmtId="43" fontId="10" fillId="0" borderId="5" xfId="1" applyFont="1" applyFill="1" applyBorder="1" applyAlignment="1">
      <alignment vertical="center"/>
    </xf>
    <xf numFmtId="39" fontId="10" fillId="0" borderId="5" xfId="1" applyNumberFormat="1" applyFont="1" applyFill="1" applyBorder="1" applyAlignment="1">
      <alignment vertical="center"/>
    </xf>
    <xf numFmtId="37" fontId="10" fillId="0" borderId="5" xfId="1" applyNumberFormat="1" applyFont="1" applyFill="1" applyBorder="1" applyAlignment="1">
      <alignment vertical="center"/>
    </xf>
    <xf numFmtId="44" fontId="10" fillId="0" borderId="35" xfId="2" applyFont="1" applyFill="1" applyBorder="1" applyAlignment="1">
      <alignment vertical="center"/>
    </xf>
    <xf numFmtId="44" fontId="10" fillId="0" borderId="36" xfId="2" applyFont="1" applyFill="1" applyBorder="1" applyAlignment="1">
      <alignment vertical="center"/>
    </xf>
    <xf numFmtId="44" fontId="10" fillId="0" borderId="37" xfId="2" applyFont="1" applyFill="1" applyBorder="1" applyAlignment="1">
      <alignment vertical="center"/>
    </xf>
    <xf numFmtId="37" fontId="10" fillId="0" borderId="5" xfId="2" applyNumberFormat="1" applyFont="1" applyFill="1" applyBorder="1" applyAlignment="1">
      <alignment vertical="center"/>
    </xf>
    <xf numFmtId="43" fontId="10" fillId="0" borderId="5" xfId="1" applyNumberFormat="1" applyFont="1" applyFill="1" applyBorder="1" applyAlignment="1">
      <alignment vertical="center"/>
    </xf>
    <xf numFmtId="39" fontId="10" fillId="0" borderId="5" xfId="2" applyNumberFormat="1" applyFont="1" applyFill="1" applyBorder="1" applyAlignment="1">
      <alignment vertical="center"/>
    </xf>
    <xf numFmtId="0" fontId="10" fillId="0" borderId="5" xfId="0" applyFont="1" applyFill="1" applyBorder="1" applyAlignment="1">
      <alignment vertical="center"/>
    </xf>
    <xf numFmtId="165" fontId="10" fillId="0" borderId="5" xfId="1" applyNumberFormat="1" applyFont="1" applyFill="1" applyBorder="1" applyAlignment="1">
      <alignment vertical="center"/>
    </xf>
    <xf numFmtId="44" fontId="10" fillId="0" borderId="5" xfId="2" applyNumberFormat="1" applyFont="1" applyFill="1" applyBorder="1" applyAlignment="1">
      <alignment vertical="center"/>
    </xf>
    <xf numFmtId="0" fontId="10" fillId="0" borderId="0" xfId="0" applyFont="1" applyAlignment="1">
      <alignment vertical="center"/>
    </xf>
    <xf numFmtId="41" fontId="4" fillId="0" borderId="5" xfId="1" applyNumberFormat="1" applyFont="1" applyFill="1" applyBorder="1" applyAlignment="1">
      <alignment vertical="center"/>
    </xf>
    <xf numFmtId="44" fontId="4" fillId="0" borderId="5" xfId="2" applyFont="1" applyFill="1" applyBorder="1" applyAlignment="1">
      <alignment vertical="center"/>
    </xf>
    <xf numFmtId="43" fontId="4" fillId="0" borderId="5" xfId="1" applyFont="1" applyFill="1" applyBorder="1" applyAlignment="1">
      <alignment vertical="center"/>
    </xf>
    <xf numFmtId="39" fontId="4" fillId="0" borderId="5" xfId="1" applyNumberFormat="1" applyFont="1" applyFill="1" applyBorder="1" applyAlignment="1">
      <alignment vertical="center"/>
    </xf>
    <xf numFmtId="37" fontId="4" fillId="0" borderId="5" xfId="1" applyNumberFormat="1" applyFont="1" applyFill="1" applyBorder="1" applyAlignment="1">
      <alignment vertical="center"/>
    </xf>
    <xf numFmtId="44" fontId="4" fillId="0" borderId="35" xfId="2" applyFont="1" applyFill="1" applyBorder="1" applyAlignment="1">
      <alignment vertical="center"/>
    </xf>
    <xf numFmtId="44" fontId="4" fillId="0" borderId="36" xfId="2" applyFont="1" applyFill="1" applyBorder="1" applyAlignment="1">
      <alignment vertical="center"/>
    </xf>
    <xf numFmtId="44" fontId="4" fillId="0" borderId="37" xfId="2" applyFont="1" applyFill="1" applyBorder="1" applyAlignment="1">
      <alignment vertical="center"/>
    </xf>
    <xf numFmtId="37" fontId="4" fillId="0" borderId="5" xfId="2" applyNumberFormat="1" applyFont="1" applyFill="1" applyBorder="1" applyAlignment="1">
      <alignment vertical="center"/>
    </xf>
    <xf numFmtId="43" fontId="4" fillId="0" borderId="5" xfId="1" applyNumberFormat="1" applyFont="1" applyFill="1" applyBorder="1" applyAlignment="1">
      <alignment vertical="center"/>
    </xf>
    <xf numFmtId="39" fontId="4" fillId="0" borderId="5" xfId="2" applyNumberFormat="1" applyFont="1" applyFill="1" applyBorder="1" applyAlignment="1">
      <alignment vertical="center"/>
    </xf>
    <xf numFmtId="0" fontId="4" fillId="0" borderId="5" xfId="0" applyFont="1" applyFill="1" applyBorder="1" applyAlignment="1">
      <alignment vertical="center"/>
    </xf>
    <xf numFmtId="165" fontId="4" fillId="0" borderId="5" xfId="1" applyNumberFormat="1" applyFont="1" applyFill="1" applyBorder="1" applyAlignment="1">
      <alignment vertical="center"/>
    </xf>
    <xf numFmtId="44" fontId="4" fillId="0" borderId="5" xfId="2" applyNumberFormat="1" applyFont="1" applyFill="1" applyBorder="1" applyAlignment="1">
      <alignment vertical="center"/>
    </xf>
    <xf numFmtId="0" fontId="4" fillId="0" borderId="0" xfId="0" applyFont="1" applyAlignment="1">
      <alignment vertical="center"/>
    </xf>
    <xf numFmtId="49" fontId="0" fillId="0" borderId="0" xfId="0" applyNumberFormat="1" applyFill="1" applyBorder="1" applyAlignment="1">
      <alignment horizontal="left"/>
    </xf>
    <xf numFmtId="49" fontId="15" fillId="0" borderId="5" xfId="0" applyNumberFormat="1" applyFont="1" applyFill="1" applyBorder="1" applyAlignment="1">
      <alignment horizontal="left" vertical="center"/>
    </xf>
    <xf numFmtId="0" fontId="4" fillId="0" borderId="38" xfId="0" applyFont="1" applyFill="1" applyBorder="1" applyAlignment="1">
      <alignment horizontal="left" vertical="center"/>
    </xf>
    <xf numFmtId="0" fontId="4" fillId="0" borderId="39" xfId="0" applyFont="1" applyFill="1" applyBorder="1" applyAlignment="1">
      <alignment horizontal="left" vertical="center"/>
    </xf>
    <xf numFmtId="41" fontId="4" fillId="0" borderId="38" xfId="1" applyNumberFormat="1" applyFont="1" applyFill="1" applyBorder="1" applyAlignment="1">
      <alignment vertical="center"/>
    </xf>
    <xf numFmtId="43" fontId="4" fillId="0" borderId="38" xfId="1" applyFont="1" applyFill="1" applyBorder="1" applyAlignment="1">
      <alignment vertical="center"/>
    </xf>
    <xf numFmtId="44" fontId="4" fillId="0" borderId="38" xfId="2" applyFont="1" applyFill="1" applyBorder="1" applyAlignment="1">
      <alignment vertical="center"/>
    </xf>
    <xf numFmtId="37" fontId="4" fillId="0" borderId="38" xfId="1" applyNumberFormat="1" applyFont="1" applyFill="1" applyBorder="1" applyAlignment="1">
      <alignment vertical="center"/>
    </xf>
    <xf numFmtId="44" fontId="4" fillId="0" borderId="40" xfId="2" applyFont="1" applyFill="1" applyBorder="1" applyAlignment="1">
      <alignment vertical="center"/>
    </xf>
    <xf numFmtId="44" fontId="4" fillId="0" borderId="41" xfId="2" applyFont="1" applyFill="1" applyBorder="1" applyAlignment="1">
      <alignment vertical="center"/>
    </xf>
    <xf numFmtId="44" fontId="4" fillId="0" borderId="42" xfId="2" applyFont="1" applyFill="1" applyBorder="1" applyAlignment="1">
      <alignment vertical="center"/>
    </xf>
    <xf numFmtId="37" fontId="4" fillId="0" borderId="38" xfId="2" applyNumberFormat="1" applyFont="1" applyFill="1" applyBorder="1" applyAlignment="1">
      <alignment vertical="center"/>
    </xf>
    <xf numFmtId="43" fontId="4" fillId="0" borderId="38" xfId="1" applyNumberFormat="1" applyFont="1" applyFill="1" applyBorder="1" applyAlignment="1">
      <alignment vertical="center"/>
    </xf>
    <xf numFmtId="0" fontId="4" fillId="0" borderId="38" xfId="0" applyFont="1" applyFill="1" applyBorder="1" applyAlignment="1">
      <alignment vertical="center"/>
    </xf>
    <xf numFmtId="165" fontId="4" fillId="0" borderId="38" xfId="1" applyNumberFormat="1" applyFont="1" applyFill="1" applyBorder="1" applyAlignment="1">
      <alignment vertical="center"/>
    </xf>
    <xf numFmtId="44" fontId="4" fillId="0" borderId="38" xfId="2" applyNumberFormat="1" applyFont="1" applyFill="1" applyBorder="1" applyAlignment="1">
      <alignment vertical="center"/>
    </xf>
    <xf numFmtId="39" fontId="4" fillId="0" borderId="38" xfId="1" applyNumberFormat="1" applyFont="1" applyFill="1" applyBorder="1" applyAlignment="1">
      <alignment vertical="center"/>
    </xf>
    <xf numFmtId="169" fontId="29" fillId="0" borderId="0" xfId="1" applyNumberFormat="1" applyFont="1" applyFill="1" applyBorder="1" applyAlignment="1"/>
    <xf numFmtId="0" fontId="0" fillId="0" borderId="0" xfId="0" applyFill="1" applyBorder="1" applyAlignment="1">
      <alignment horizontal="right"/>
    </xf>
    <xf numFmtId="169" fontId="10" fillId="0" borderId="5" xfId="1" applyNumberFormat="1" applyFont="1" applyFill="1" applyBorder="1" applyAlignment="1">
      <alignment vertical="center"/>
    </xf>
    <xf numFmtId="169" fontId="4" fillId="0" borderId="5" xfId="1" applyNumberFormat="1" applyFont="1" applyFill="1" applyBorder="1" applyAlignment="1">
      <alignment vertical="center"/>
    </xf>
    <xf numFmtId="169" fontId="29" fillId="0" borderId="0" xfId="3" applyNumberFormat="1" applyFont="1" applyFill="1" applyBorder="1" applyAlignment="1"/>
    <xf numFmtId="169" fontId="10" fillId="0" borderId="5" xfId="3" applyNumberFormat="1" applyFont="1" applyFill="1" applyBorder="1" applyAlignment="1">
      <alignment vertical="center"/>
    </xf>
    <xf numFmtId="169" fontId="4" fillId="0" borderId="5" xfId="3" applyNumberFormat="1" applyFont="1" applyFill="1" applyBorder="1" applyAlignment="1">
      <alignment vertical="center"/>
    </xf>
    <xf numFmtId="169" fontId="4" fillId="0" borderId="38" xfId="1" applyNumberFormat="1" applyFont="1" applyFill="1" applyBorder="1" applyAlignment="1">
      <alignment vertical="center"/>
    </xf>
    <xf numFmtId="167" fontId="21" fillId="0" borderId="17" xfId="2" applyNumberFormat="1" applyFont="1" applyBorder="1" applyAlignment="1">
      <alignment horizontal="center" wrapText="1"/>
    </xf>
    <xf numFmtId="167" fontId="21" fillId="0" borderId="0" xfId="2" applyNumberFormat="1" applyFont="1" applyBorder="1" applyAlignment="1">
      <alignment horizontal="center" wrapText="1"/>
    </xf>
    <xf numFmtId="44" fontId="0" fillId="0" borderId="3" xfId="2" applyFont="1" applyBorder="1" applyAlignment="1">
      <alignment horizontal="center"/>
    </xf>
    <xf numFmtId="165" fontId="0" fillId="0" borderId="3" xfId="1" applyNumberFormat="1" applyFont="1" applyBorder="1"/>
    <xf numFmtId="165" fontId="0" fillId="0" borderId="7" xfId="0" applyNumberFormat="1" applyBorder="1"/>
    <xf numFmtId="169" fontId="0" fillId="0" borderId="0" xfId="3" applyNumberFormat="1" applyFont="1"/>
    <xf numFmtId="43" fontId="0" fillId="0" borderId="0" xfId="2" applyNumberFormat="1" applyFont="1"/>
    <xf numFmtId="179" fontId="3" fillId="0" borderId="0" xfId="2" applyNumberFormat="1" applyFont="1" applyFill="1"/>
    <xf numFmtId="165" fontId="21" fillId="0" borderId="6" xfId="1" applyNumberFormat="1" applyFont="1" applyBorder="1" applyAlignment="1">
      <alignment horizontal="center" wrapText="1"/>
    </xf>
    <xf numFmtId="44" fontId="0" fillId="0" borderId="0" xfId="2" applyFont="1" applyBorder="1"/>
    <xf numFmtId="165" fontId="0" fillId="0" borderId="7" xfId="1" applyNumberFormat="1" applyFont="1" applyBorder="1"/>
    <xf numFmtId="172" fontId="2" fillId="0" borderId="0" xfId="1" applyNumberFormat="1" applyFont="1"/>
    <xf numFmtId="172" fontId="3" fillId="0" borderId="0" xfId="1" applyNumberFormat="1" applyFont="1"/>
    <xf numFmtId="165" fontId="2" fillId="0" borderId="0" xfId="1" applyNumberFormat="1" applyFont="1"/>
    <xf numFmtId="44" fontId="2" fillId="0" borderId="3" xfId="2" applyFont="1" applyBorder="1"/>
    <xf numFmtId="9" fontId="2" fillId="0" borderId="0" xfId="3" applyFont="1"/>
    <xf numFmtId="179" fontId="3" fillId="0" borderId="0" xfId="2" applyNumberFormat="1" applyFont="1"/>
    <xf numFmtId="167" fontId="0" fillId="0" borderId="3" xfId="3" applyNumberFormat="1" applyFont="1" applyBorder="1"/>
    <xf numFmtId="43" fontId="0" fillId="0" borderId="7" xfId="1" applyNumberFormat="1" applyFont="1" applyBorder="1"/>
    <xf numFmtId="167" fontId="0" fillId="5" borderId="21" xfId="2" applyNumberFormat="1" applyFont="1" applyFill="1" applyBorder="1"/>
    <xf numFmtId="167" fontId="0" fillId="0" borderId="23" xfId="2" applyNumberFormat="1" applyFont="1" applyBorder="1" applyAlignment="1">
      <alignment horizontal="center"/>
    </xf>
    <xf numFmtId="14" fontId="0" fillId="0" borderId="0" xfId="1" applyNumberFormat="1" applyFont="1"/>
    <xf numFmtId="37" fontId="5" fillId="3" borderId="0" xfId="0" applyNumberFormat="1" applyFont="1" applyFill="1" applyBorder="1" applyAlignment="1">
      <alignment horizontal="center"/>
    </xf>
    <xf numFmtId="37" fontId="4" fillId="0" borderId="6" xfId="0" applyNumberFormat="1" applyFont="1" applyBorder="1" applyAlignment="1">
      <alignment horizontal="center"/>
    </xf>
    <xf numFmtId="219" fontId="0" fillId="0" borderId="0" xfId="3" applyNumberFormat="1" applyFont="1" applyBorder="1" applyAlignment="1">
      <alignment horizontal="center"/>
    </xf>
    <xf numFmtId="14" fontId="19" fillId="3" borderId="0" xfId="0" applyNumberFormat="1" applyFont="1" applyFill="1" applyAlignment="1">
      <alignment horizontal="center"/>
    </xf>
    <xf numFmtId="0" fontId="3" fillId="2" borderId="0" xfId="0" applyFont="1" applyFill="1"/>
    <xf numFmtId="37" fontId="3" fillId="2" borderId="0" xfId="0" applyNumberFormat="1" applyFont="1" applyFill="1"/>
    <xf numFmtId="0" fontId="0" fillId="0" borderId="0" xfId="2" applyNumberFormat="1" applyFont="1" applyBorder="1" applyAlignment="1">
      <alignment horizontal="center"/>
    </xf>
    <xf numFmtId="49" fontId="4" fillId="0" borderId="38" xfId="0" applyNumberFormat="1" applyFont="1" applyFill="1" applyBorder="1" applyAlignment="1">
      <alignment horizontal="left" vertical="center"/>
    </xf>
    <xf numFmtId="0" fontId="20" fillId="0" borderId="0" xfId="0" applyFont="1" applyBorder="1" applyAlignment="1">
      <alignment horizontal="center"/>
    </xf>
    <xf numFmtId="0" fontId="21" fillId="0" borderId="15" xfId="0" applyFont="1" applyBorder="1" applyAlignment="1">
      <alignment horizontal="center"/>
    </xf>
    <xf numFmtId="0" fontId="21" fillId="0" borderId="16" xfId="0" applyFont="1" applyBorder="1" applyAlignment="1">
      <alignment horizontal="center"/>
    </xf>
    <xf numFmtId="167" fontId="21" fillId="0" borderId="15" xfId="2" applyNumberFormat="1" applyFont="1" applyBorder="1" applyAlignment="1">
      <alignment horizontal="center" wrapText="1"/>
    </xf>
    <xf numFmtId="167" fontId="21" fillId="0" borderId="16" xfId="2" applyNumberFormat="1" applyFont="1" applyBorder="1" applyAlignment="1">
      <alignment horizontal="center" wrapText="1"/>
    </xf>
    <xf numFmtId="167" fontId="21" fillId="0" borderId="43" xfId="2" applyNumberFormat="1" applyFont="1" applyBorder="1" applyAlignment="1">
      <alignment horizontal="center" wrapText="1"/>
    </xf>
    <xf numFmtId="167" fontId="21" fillId="0" borderId="0" xfId="2" applyNumberFormat="1" applyFont="1" applyBorder="1" applyAlignment="1">
      <alignment horizontal="center" wrapText="1"/>
    </xf>
    <xf numFmtId="167" fontId="21" fillId="0" borderId="33" xfId="2" applyNumberFormat="1" applyFont="1" applyBorder="1" applyAlignment="1">
      <alignment horizontal="center" wrapText="1"/>
    </xf>
    <xf numFmtId="14" fontId="4" fillId="0" borderId="0" xfId="0" applyNumberFormat="1" applyFont="1" applyFill="1" applyBorder="1" applyAlignment="1">
      <alignment horizontal="center"/>
    </xf>
    <xf numFmtId="37" fontId="4" fillId="0" borderId="6" xfId="0" applyNumberFormat="1" applyFont="1" applyFill="1" applyBorder="1" applyAlignment="1">
      <alignment horizontal="center"/>
    </xf>
    <xf numFmtId="37" fontId="5" fillId="3" borderId="0" xfId="0" applyNumberFormat="1" applyFont="1" applyFill="1" applyBorder="1" applyAlignment="1">
      <alignment horizontal="center"/>
    </xf>
    <xf numFmtId="37" fontId="0" fillId="0" borderId="26" xfId="0" applyNumberFormat="1" applyBorder="1" applyAlignment="1"/>
    <xf numFmtId="0" fontId="0" fillId="0" borderId="27" xfId="0" applyBorder="1" applyAlignment="1"/>
    <xf numFmtId="37" fontId="0" fillId="0" borderId="9" xfId="0" applyNumberFormat="1" applyBorder="1" applyAlignment="1"/>
    <xf numFmtId="37" fontId="4" fillId="0" borderId="6" xfId="0" applyNumberFormat="1" applyFont="1" applyBorder="1" applyAlignment="1">
      <alignment horizontal="center"/>
    </xf>
    <xf numFmtId="37" fontId="5" fillId="3" borderId="3" xfId="0" applyNumberFormat="1" applyFont="1" applyFill="1" applyBorder="1" applyAlignment="1">
      <alignment horizontal="center"/>
    </xf>
    <xf numFmtId="37" fontId="5" fillId="3" borderId="6" xfId="0" applyNumberFormat="1" applyFont="1" applyFill="1" applyBorder="1" applyAlignment="1">
      <alignment horizontal="center"/>
    </xf>
    <xf numFmtId="0" fontId="21" fillId="0" borderId="6" xfId="0" applyFont="1" applyBorder="1" applyAlignment="1">
      <alignment horizontal="center"/>
    </xf>
    <xf numFmtId="37" fontId="4" fillId="0" borderId="0" xfId="0" applyNumberFormat="1" applyFont="1" applyFill="1" applyBorder="1" applyAlignment="1">
      <alignment horizontal="right"/>
    </xf>
    <xf numFmtId="37" fontId="5" fillId="0" borderId="0" xfId="0" applyNumberFormat="1" applyFont="1" applyFill="1" applyBorder="1" applyAlignment="1">
      <alignment horizontal="right"/>
    </xf>
    <xf numFmtId="14" fontId="3" fillId="0" borderId="3" xfId="0" applyNumberFormat="1" applyFont="1" applyFill="1" applyBorder="1" applyAlignment="1">
      <alignment horizontal="center"/>
    </xf>
    <xf numFmtId="0" fontId="28" fillId="2" borderId="9" xfId="0" applyFont="1" applyFill="1" applyBorder="1" applyAlignment="1">
      <alignment horizontal="center"/>
    </xf>
    <xf numFmtId="44" fontId="28" fillId="2" borderId="0" xfId="2" applyFont="1" applyFill="1" applyBorder="1" applyAlignment="1">
      <alignment horizontal="center"/>
    </xf>
    <xf numFmtId="44" fontId="28" fillId="2" borderId="8" xfId="2" applyFont="1" applyFill="1" applyBorder="1" applyAlignment="1">
      <alignment horizontal="center"/>
    </xf>
    <xf numFmtId="44" fontId="28" fillId="2" borderId="9" xfId="2" applyFont="1" applyFill="1" applyBorder="1" applyAlignment="1">
      <alignment horizontal="center"/>
    </xf>
    <xf numFmtId="44" fontId="28" fillId="2" borderId="10" xfId="2" applyFont="1" applyFill="1" applyBorder="1" applyAlignment="1">
      <alignment horizontal="center"/>
    </xf>
    <xf numFmtId="39" fontId="28" fillId="2" borderId="9" xfId="2" applyNumberFormat="1" applyFont="1" applyFill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2">
    <dxf>
      <fill>
        <patternFill>
          <bgColor indexed="47"/>
        </patternFill>
      </fill>
    </dxf>
    <dxf>
      <fill>
        <patternFill>
          <bgColor indexed="5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ummaryBase329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1base329c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Table"/>
      <sheetName val="Raptor I&amp;2 Hedges"/>
    </sheetNames>
    <sheetDataSet>
      <sheetData sheetId="0">
        <row r="70">
          <cell r="I70">
            <v>6326045</v>
          </cell>
        </row>
      </sheetData>
      <sheetData sheetId="1">
        <row r="2">
          <cell r="I2">
            <v>36976</v>
          </cell>
        </row>
        <row r="3">
          <cell r="B3">
            <v>37161</v>
          </cell>
        </row>
        <row r="4">
          <cell r="C4">
            <v>0</v>
          </cell>
          <cell r="H4">
            <v>102808992.48035017</v>
          </cell>
        </row>
        <row r="5">
          <cell r="B5">
            <v>25.25</v>
          </cell>
        </row>
        <row r="16">
          <cell r="C16">
            <v>1</v>
          </cell>
          <cell r="H16">
            <v>61.48</v>
          </cell>
          <cell r="I16">
            <v>91.02</v>
          </cell>
        </row>
      </sheetData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Daily Position"/>
      <sheetName val="Stock Prices"/>
      <sheetName val="Private Values"/>
      <sheetName val="Private Cash"/>
      <sheetName val="Financials"/>
      <sheetName val="Financials QTR"/>
      <sheetName val="Cash-Int-Trans"/>
      <sheetName val="Amort"/>
      <sheetName val="Shares"/>
      <sheetName val="MPR Raptor"/>
    </sheetNames>
    <sheetDataSet>
      <sheetData sheetId="0"/>
      <sheetData sheetId="1"/>
      <sheetData sheetId="2">
        <row r="5">
          <cell r="A5">
            <v>36739</v>
          </cell>
          <cell r="B5">
            <v>76</v>
          </cell>
          <cell r="C5">
            <v>107.5</v>
          </cell>
          <cell r="D5">
            <v>51.766671915874781</v>
          </cell>
          <cell r="E5">
            <v>1.7470770057787932</v>
          </cell>
          <cell r="F5">
            <v>9.4E-2</v>
          </cell>
          <cell r="G5">
            <v>3.3478813829999998</v>
          </cell>
          <cell r="H5">
            <v>1.091023692</v>
          </cell>
          <cell r="I5">
            <v>1.091023692</v>
          </cell>
          <cell r="J5">
            <v>6</v>
          </cell>
          <cell r="K5">
            <v>7.125</v>
          </cell>
        </row>
        <row r="6">
          <cell r="A6">
            <v>36740</v>
          </cell>
          <cell r="B6">
            <v>77.625</v>
          </cell>
          <cell r="C6">
            <v>132</v>
          </cell>
          <cell r="D6">
            <v>51.766671915874781</v>
          </cell>
          <cell r="E6">
            <v>1.7555705604321403</v>
          </cell>
          <cell r="F6">
            <v>7.8E-2</v>
          </cell>
          <cell r="G6">
            <v>3.3473850440000001</v>
          </cell>
          <cell r="H6">
            <v>1.195439165</v>
          </cell>
          <cell r="I6">
            <v>1.195439165</v>
          </cell>
          <cell r="J6">
            <v>6</v>
          </cell>
          <cell r="K6">
            <v>7.3129999999999997</v>
          </cell>
        </row>
        <row r="7">
          <cell r="A7">
            <v>36741</v>
          </cell>
          <cell r="B7">
            <v>78.016000000000005</v>
          </cell>
          <cell r="C7">
            <v>163.5</v>
          </cell>
          <cell r="D7">
            <v>51.766671915874781</v>
          </cell>
          <cell r="E7">
            <v>1.6839552741479187</v>
          </cell>
          <cell r="F7">
            <v>9.4E-2</v>
          </cell>
          <cell r="G7">
            <v>4.1954025149999996</v>
          </cell>
          <cell r="H7">
            <v>1.178683892</v>
          </cell>
          <cell r="I7">
            <v>1.178683892</v>
          </cell>
          <cell r="J7">
            <v>5.875</v>
          </cell>
          <cell r="K7">
            <v>7.625</v>
          </cell>
        </row>
        <row r="8">
          <cell r="A8">
            <v>36742</v>
          </cell>
          <cell r="B8">
            <v>78</v>
          </cell>
          <cell r="C8">
            <v>156</v>
          </cell>
          <cell r="D8">
            <v>51.766671915874781</v>
          </cell>
          <cell r="E8">
            <v>1.6784155756965424</v>
          </cell>
          <cell r="F8">
            <v>6.3E-2</v>
          </cell>
          <cell r="G8">
            <v>4.2172622339999997</v>
          </cell>
          <cell r="H8">
            <v>1.1355365209999999</v>
          </cell>
          <cell r="I8">
            <v>1.1355365209999999</v>
          </cell>
          <cell r="J8">
            <v>5.625</v>
          </cell>
          <cell r="K8">
            <v>7.5</v>
          </cell>
        </row>
        <row r="9">
          <cell r="A9">
            <v>36745</v>
          </cell>
          <cell r="B9">
            <v>80.266000000000005</v>
          </cell>
          <cell r="C9">
            <v>140.625</v>
          </cell>
          <cell r="D9">
            <v>51.766671915874781</v>
          </cell>
          <cell r="E9">
            <v>1.6812373907195695</v>
          </cell>
          <cell r="F9">
            <v>6.3E-2</v>
          </cell>
          <cell r="G9">
            <v>4.4795166740000001</v>
          </cell>
          <cell r="H9">
            <v>1.0992201509999999</v>
          </cell>
          <cell r="I9">
            <v>1.0992201509999999</v>
          </cell>
          <cell r="J9">
            <v>5.75</v>
          </cell>
          <cell r="K9">
            <v>7.75</v>
          </cell>
        </row>
        <row r="10">
          <cell r="A10">
            <v>36746</v>
          </cell>
          <cell r="B10">
            <v>82.438000000000002</v>
          </cell>
          <cell r="C10">
            <v>125.672</v>
          </cell>
          <cell r="D10">
            <v>52.75</v>
          </cell>
          <cell r="E10">
            <v>1.680672268907563</v>
          </cell>
          <cell r="F10">
            <v>7.8E-2</v>
          </cell>
          <cell r="G10">
            <v>5.058480426</v>
          </cell>
          <cell r="H10">
            <v>1.1132443359999999</v>
          </cell>
          <cell r="I10">
            <v>1.1132443359999999</v>
          </cell>
          <cell r="J10">
            <v>5.75</v>
          </cell>
          <cell r="K10">
            <v>7.6879999999999997</v>
          </cell>
        </row>
        <row r="11">
          <cell r="A11">
            <v>36747</v>
          </cell>
          <cell r="B11">
            <v>82.296999999999997</v>
          </cell>
          <cell r="C11">
            <v>138.375</v>
          </cell>
          <cell r="D11">
            <v>52</v>
          </cell>
          <cell r="E11">
            <v>1.6185594820609659</v>
          </cell>
          <cell r="F11">
            <v>6.3E-2</v>
          </cell>
          <cell r="G11">
            <v>4.9983845010000003</v>
          </cell>
          <cell r="H11">
            <v>1.256169847</v>
          </cell>
          <cell r="I11">
            <v>1.256169847</v>
          </cell>
          <cell r="J11">
            <v>6.0625</v>
          </cell>
          <cell r="K11">
            <v>7.75</v>
          </cell>
        </row>
        <row r="12">
          <cell r="A12">
            <v>36748</v>
          </cell>
          <cell r="B12">
            <v>80.766000000000005</v>
          </cell>
          <cell r="C12">
            <v>132.875</v>
          </cell>
          <cell r="D12">
            <v>42.625</v>
          </cell>
          <cell r="E12">
            <v>1.6863406408094437</v>
          </cell>
          <cell r="F12">
            <v>7.8E-2</v>
          </cell>
          <cell r="G12">
            <v>5.0553505640000003</v>
          </cell>
          <cell r="H12">
            <v>1.2723610510000001</v>
          </cell>
          <cell r="I12">
            <v>1.2723610510000001</v>
          </cell>
          <cell r="J12">
            <v>5.75</v>
          </cell>
          <cell r="K12">
            <v>7.75</v>
          </cell>
        </row>
        <row r="13">
          <cell r="A13">
            <v>36749</v>
          </cell>
          <cell r="B13">
            <v>80.25</v>
          </cell>
          <cell r="C13">
            <v>130.5</v>
          </cell>
          <cell r="D13">
            <v>44.813000000000002</v>
          </cell>
          <cell r="E13">
            <v>1.6250842886041807</v>
          </cell>
          <cell r="F13">
            <v>6.3E-2</v>
          </cell>
          <cell r="G13">
            <v>4.8279226250000002</v>
          </cell>
          <cell r="H13">
            <v>1.3152734960000001</v>
          </cell>
          <cell r="I13">
            <v>1.3152734960000001</v>
          </cell>
          <cell r="J13">
            <v>6</v>
          </cell>
          <cell r="K13">
            <v>7.875</v>
          </cell>
        </row>
        <row r="14">
          <cell r="A14">
            <v>36752</v>
          </cell>
          <cell r="B14">
            <v>84.25</v>
          </cell>
          <cell r="C14">
            <v>128.25</v>
          </cell>
          <cell r="D14">
            <v>47.75</v>
          </cell>
          <cell r="E14">
            <v>1.5820654369193483</v>
          </cell>
          <cell r="F14">
            <v>6.3E-2</v>
          </cell>
          <cell r="G14">
            <v>5.2071843949999996</v>
          </cell>
          <cell r="H14">
            <v>1.4879492990000001</v>
          </cell>
          <cell r="I14">
            <v>1.4879492990000001</v>
          </cell>
          <cell r="J14">
            <v>6</v>
          </cell>
          <cell r="K14">
            <v>8.1880000000000006</v>
          </cell>
        </row>
        <row r="15">
          <cell r="A15">
            <v>36753</v>
          </cell>
          <cell r="B15">
            <v>82.125</v>
          </cell>
          <cell r="C15">
            <v>128.46899999999999</v>
          </cell>
          <cell r="D15">
            <v>45.75</v>
          </cell>
          <cell r="E15">
            <v>1.6177957532861476</v>
          </cell>
          <cell r="F15">
            <v>6.3E-2</v>
          </cell>
          <cell r="G15">
            <v>5.8325034799999997</v>
          </cell>
          <cell r="H15">
            <v>1.7454882570000001</v>
          </cell>
          <cell r="I15">
            <v>1.7454882570000001</v>
          </cell>
          <cell r="J15">
            <v>6.0625</v>
          </cell>
          <cell r="K15">
            <v>7.9379999999999997</v>
          </cell>
        </row>
        <row r="16">
          <cell r="A16">
            <v>36754</v>
          </cell>
          <cell r="B16">
            <v>84.016000000000005</v>
          </cell>
          <cell r="C16">
            <v>137.75</v>
          </cell>
          <cell r="D16">
            <v>46.813000000000002</v>
          </cell>
          <cell r="E16">
            <v>1.6374585560592732</v>
          </cell>
          <cell r="F16">
            <v>6.3E-2</v>
          </cell>
          <cell r="G16">
            <v>5.4186674110000004</v>
          </cell>
          <cell r="H16">
            <v>1.7456441</v>
          </cell>
          <cell r="I16">
            <v>1.7456441</v>
          </cell>
          <cell r="J16">
            <v>5.8125</v>
          </cell>
          <cell r="K16">
            <v>7.75</v>
          </cell>
        </row>
        <row r="17">
          <cell r="A17">
            <v>36755</v>
          </cell>
          <cell r="B17">
            <v>90</v>
          </cell>
          <cell r="C17">
            <v>153.93799999999999</v>
          </cell>
          <cell r="D17">
            <v>50.719000000000001</v>
          </cell>
          <cell r="E17">
            <v>1.8379111563241777</v>
          </cell>
          <cell r="F17">
            <v>7.8E-2</v>
          </cell>
          <cell r="G17">
            <v>5.714406672</v>
          </cell>
          <cell r="H17">
            <v>1.743570252</v>
          </cell>
          <cell r="I17">
            <v>1.743570252</v>
          </cell>
          <cell r="J17">
            <v>5.75</v>
          </cell>
          <cell r="K17">
            <v>7.75</v>
          </cell>
        </row>
        <row r="18">
          <cell r="A18">
            <v>36756</v>
          </cell>
          <cell r="B18">
            <v>86.938000000000002</v>
          </cell>
          <cell r="C18">
            <v>152</v>
          </cell>
          <cell r="D18">
            <v>49.125</v>
          </cell>
          <cell r="E18">
            <v>1.8428184281842821</v>
          </cell>
          <cell r="F18">
            <v>7.9000000000000001E-2</v>
          </cell>
          <cell r="G18">
            <v>5.2978747479999999</v>
          </cell>
          <cell r="H18">
            <v>1.7220509530000001</v>
          </cell>
          <cell r="I18">
            <v>1.7220509530000001</v>
          </cell>
          <cell r="J18">
            <v>5.75</v>
          </cell>
          <cell r="K18">
            <v>7.75</v>
          </cell>
        </row>
        <row r="19">
          <cell r="A19">
            <v>36759</v>
          </cell>
          <cell r="B19">
            <v>87.875</v>
          </cell>
          <cell r="C19">
            <v>142</v>
          </cell>
          <cell r="D19">
            <v>48.25</v>
          </cell>
          <cell r="E19">
            <v>1.8101694915254236</v>
          </cell>
          <cell r="F19">
            <v>7.9000000000000001E-2</v>
          </cell>
          <cell r="G19">
            <v>6.0969663010000001</v>
          </cell>
          <cell r="H19">
            <v>1.8724089479999999</v>
          </cell>
          <cell r="I19">
            <v>1.8724089479999999</v>
          </cell>
          <cell r="J19">
            <v>5.5625</v>
          </cell>
          <cell r="K19">
            <v>8.1875</v>
          </cell>
        </row>
        <row r="20">
          <cell r="A20">
            <v>36760</v>
          </cell>
          <cell r="B20">
            <v>87.5</v>
          </cell>
          <cell r="C20">
            <v>131.25</v>
          </cell>
          <cell r="D20">
            <v>45.125</v>
          </cell>
          <cell r="E20">
            <v>1.8286488316965799</v>
          </cell>
          <cell r="F20">
            <v>6.3E-2</v>
          </cell>
          <cell r="G20">
            <v>7.9353524090000001</v>
          </cell>
          <cell r="H20">
            <v>1.7781008840000001</v>
          </cell>
          <cell r="I20">
            <v>1.7781008840000001</v>
          </cell>
          <cell r="J20">
            <v>5.5625</v>
          </cell>
          <cell r="K20">
            <v>8.375</v>
          </cell>
        </row>
        <row r="21">
          <cell r="A21">
            <v>36761</v>
          </cell>
          <cell r="B21">
            <v>90</v>
          </cell>
          <cell r="C21">
            <v>137.875</v>
          </cell>
          <cell r="D21">
            <v>49.609000000000002</v>
          </cell>
          <cell r="E21">
            <v>1.852475581003705</v>
          </cell>
          <cell r="F21">
            <v>6.3E-2</v>
          </cell>
          <cell r="G21">
            <v>7.564614422</v>
          </cell>
          <cell r="H21">
            <v>1.8840527970000001</v>
          </cell>
          <cell r="I21">
            <v>1.8840527970000001</v>
          </cell>
          <cell r="J21">
            <v>5.9690000000000003</v>
          </cell>
          <cell r="K21">
            <v>8.3130000000000006</v>
          </cell>
        </row>
        <row r="22">
          <cell r="A22">
            <v>36762</v>
          </cell>
          <cell r="B22">
            <v>86</v>
          </cell>
          <cell r="C22">
            <v>131</v>
          </cell>
          <cell r="D22">
            <v>49.625</v>
          </cell>
          <cell r="E22">
            <v>1.7888365837256219</v>
          </cell>
          <cell r="F22">
            <v>7.0000000000000007E-2</v>
          </cell>
          <cell r="G22">
            <v>7.3167034531508568</v>
          </cell>
          <cell r="H22">
            <v>1.9692292968718779</v>
          </cell>
          <cell r="I22">
            <v>1.9692292968718779</v>
          </cell>
          <cell r="J22">
            <v>5.96875</v>
          </cell>
          <cell r="K22">
            <v>8.3125</v>
          </cell>
        </row>
        <row r="23">
          <cell r="A23">
            <v>36763</v>
          </cell>
          <cell r="B23">
            <v>84.875</v>
          </cell>
          <cell r="C23">
            <v>133</v>
          </cell>
          <cell r="D23">
            <v>47.75</v>
          </cell>
          <cell r="E23">
            <v>1.7845117845117844</v>
          </cell>
          <cell r="F23">
            <v>0.08</v>
          </cell>
          <cell r="G23">
            <v>7.1953257961566939</v>
          </cell>
          <cell r="H23">
            <v>2.1106960388386247</v>
          </cell>
          <cell r="I23">
            <v>2.1106960388386247</v>
          </cell>
          <cell r="J23">
            <v>5.875</v>
          </cell>
          <cell r="K23">
            <v>8.25</v>
          </cell>
        </row>
        <row r="24">
          <cell r="A24">
            <v>36766</v>
          </cell>
          <cell r="B24">
            <v>86.625</v>
          </cell>
          <cell r="C24">
            <v>133</v>
          </cell>
          <cell r="D24">
            <v>52.75</v>
          </cell>
          <cell r="E24">
            <v>1.6936572199730093</v>
          </cell>
          <cell r="F24">
            <v>7.0000000000000007E-2</v>
          </cell>
          <cell r="G24">
            <v>8.047342388567607</v>
          </cell>
          <cell r="H24">
            <v>2.4858920891218497</v>
          </cell>
          <cell r="I24">
            <v>2.4858920891218497</v>
          </cell>
          <cell r="J24">
            <v>6.25</v>
          </cell>
          <cell r="K24">
            <v>8.5</v>
          </cell>
        </row>
        <row r="25">
          <cell r="A25">
            <v>36767</v>
          </cell>
          <cell r="B25">
            <v>86.25</v>
          </cell>
          <cell r="C25">
            <v>131</v>
          </cell>
          <cell r="D25">
            <v>61.875</v>
          </cell>
          <cell r="E25">
            <v>1.7703284868066773</v>
          </cell>
          <cell r="F25">
            <v>7.0000000000000007E-2</v>
          </cell>
          <cell r="G25">
            <v>8.4774343890087049</v>
          </cell>
          <cell r="H25">
            <v>2.3334306441688892</v>
          </cell>
          <cell r="I25">
            <v>2.3334306441688892</v>
          </cell>
          <cell r="J25">
            <v>6.25</v>
          </cell>
          <cell r="K25">
            <v>8.5</v>
          </cell>
        </row>
        <row r="26">
          <cell r="A26">
            <v>36768</v>
          </cell>
          <cell r="B26">
            <v>84.875</v>
          </cell>
          <cell r="C26">
            <v>134.5</v>
          </cell>
          <cell r="D26">
            <v>59.4375</v>
          </cell>
          <cell r="E26">
            <v>1.6993906567366281</v>
          </cell>
          <cell r="F26">
            <v>8.5000000000000006E-2</v>
          </cell>
          <cell r="G26">
            <v>7.9887177404242067</v>
          </cell>
          <cell r="H26">
            <v>2.5114356133082487</v>
          </cell>
          <cell r="I26">
            <v>2.5114356133082487</v>
          </cell>
          <cell r="J26">
            <v>6.125</v>
          </cell>
          <cell r="K26">
            <v>8.375</v>
          </cell>
        </row>
        <row r="27">
          <cell r="A27">
            <v>36769</v>
          </cell>
          <cell r="B27">
            <v>84.875</v>
          </cell>
          <cell r="C27">
            <v>149.8125</v>
          </cell>
          <cell r="D27">
            <v>70.25</v>
          </cell>
          <cell r="E27">
            <v>1.6649677200135917</v>
          </cell>
          <cell r="F27">
            <v>0.08</v>
          </cell>
          <cell r="G27">
            <v>7.7954395910271872</v>
          </cell>
          <cell r="H27">
            <v>2.6833039952854225</v>
          </cell>
          <cell r="I27">
            <v>2.6833039952854225</v>
          </cell>
          <cell r="J27">
            <v>5.9375</v>
          </cell>
          <cell r="K27">
            <v>8.3125</v>
          </cell>
        </row>
        <row r="28">
          <cell r="A28">
            <v>36770</v>
          </cell>
          <cell r="B28">
            <v>85.328000000000003</v>
          </cell>
          <cell r="C28">
            <v>144</v>
          </cell>
          <cell r="D28">
            <v>64.9375</v>
          </cell>
          <cell r="E28">
            <v>1.7315135465471583</v>
          </cell>
          <cell r="F28">
            <v>7.4999999999999997E-2</v>
          </cell>
          <cell r="G28">
            <v>7.7864410316933181</v>
          </cell>
          <cell r="H28">
            <v>2.6691227539925695</v>
          </cell>
          <cell r="I28">
            <v>2.6691227539925695</v>
          </cell>
          <cell r="J28">
            <v>5.875</v>
          </cell>
          <cell r="K28">
            <v>8.5625</v>
          </cell>
        </row>
        <row r="29">
          <cell r="A29">
            <v>36774</v>
          </cell>
          <cell r="B29">
            <v>85</v>
          </cell>
          <cell r="C29">
            <v>133</v>
          </cell>
          <cell r="D29">
            <v>66</v>
          </cell>
          <cell r="E29">
            <v>1.7406143344709895</v>
          </cell>
          <cell r="F29">
            <v>7.0000000000000007E-2</v>
          </cell>
          <cell r="G29">
            <v>7.0569263334672527</v>
          </cell>
          <cell r="H29">
            <v>2.0248756687309806</v>
          </cell>
          <cell r="I29">
            <v>2.0248756687309806</v>
          </cell>
          <cell r="J29">
            <v>5.875</v>
          </cell>
          <cell r="K29">
            <v>8.5625</v>
          </cell>
        </row>
        <row r="30">
          <cell r="A30">
            <v>36775</v>
          </cell>
          <cell r="B30">
            <v>84.375</v>
          </cell>
          <cell r="C30">
            <v>130.375</v>
          </cell>
          <cell r="D30">
            <v>67</v>
          </cell>
          <cell r="E30">
            <v>1.8221082467269538</v>
          </cell>
          <cell r="F30">
            <v>6.9000000000000006E-2</v>
          </cell>
          <cell r="G30">
            <v>7.3609937565012604</v>
          </cell>
          <cell r="H30">
            <v>2.2939211643713957</v>
          </cell>
          <cell r="I30">
            <v>2.2939211643713957</v>
          </cell>
          <cell r="J30">
            <v>6.125</v>
          </cell>
          <cell r="K30">
            <v>8.375</v>
          </cell>
        </row>
        <row r="31">
          <cell r="A31">
            <v>36776</v>
          </cell>
          <cell r="B31">
            <v>83.875</v>
          </cell>
          <cell r="C31">
            <v>136</v>
          </cell>
          <cell r="D31">
            <v>68</v>
          </cell>
          <cell r="E31">
            <v>1.6238159675236805</v>
          </cell>
          <cell r="F31">
            <v>6.9000000000000006E-2</v>
          </cell>
          <cell r="G31">
            <v>8.7640182128786499</v>
          </cell>
          <cell r="H31">
            <v>2.4482673632249905</v>
          </cell>
          <cell r="I31">
            <v>2.4482673632249905</v>
          </cell>
          <cell r="J31">
            <v>6</v>
          </cell>
          <cell r="K31">
            <v>8.3125</v>
          </cell>
        </row>
        <row r="32">
          <cell r="A32">
            <v>36777</v>
          </cell>
          <cell r="B32">
            <v>84.218999999999994</v>
          </cell>
          <cell r="C32">
            <v>127.390625</v>
          </cell>
          <cell r="D32">
            <v>63.125</v>
          </cell>
          <cell r="E32">
            <v>1.6860780065005421</v>
          </cell>
          <cell r="F32">
            <v>6.4000000000000001E-2</v>
          </cell>
          <cell r="G32">
            <v>8.1499511212772475</v>
          </cell>
          <cell r="H32">
            <v>2.2881773227447089</v>
          </cell>
          <cell r="I32">
            <v>2.2881773227447089</v>
          </cell>
          <cell r="J32">
            <v>6</v>
          </cell>
          <cell r="K32">
            <v>8.1875</v>
          </cell>
        </row>
        <row r="33">
          <cell r="A33">
            <v>36780</v>
          </cell>
          <cell r="B33">
            <v>86.016000000000005</v>
          </cell>
          <cell r="C33">
            <v>116.0625</v>
          </cell>
          <cell r="D33">
            <v>57.375</v>
          </cell>
          <cell r="E33">
            <v>1.6886187098953058</v>
          </cell>
          <cell r="F33">
            <v>0.06</v>
          </cell>
          <cell r="G33">
            <v>9.0073315081374599</v>
          </cell>
          <cell r="H33">
            <v>2.0410484283914525</v>
          </cell>
          <cell r="I33">
            <v>2.0471069604920809</v>
          </cell>
          <cell r="J33">
            <v>6.125</v>
          </cell>
          <cell r="K33">
            <v>8.375</v>
          </cell>
        </row>
        <row r="34">
          <cell r="A34">
            <v>36781</v>
          </cell>
          <cell r="B34">
            <v>86.125</v>
          </cell>
          <cell r="C34">
            <v>102</v>
          </cell>
          <cell r="D34">
            <v>65.734375</v>
          </cell>
          <cell r="E34">
            <v>1.6880486158001349</v>
          </cell>
          <cell r="F34">
            <v>5.5E-2</v>
          </cell>
          <cell r="G34">
            <v>8.0903620256926327</v>
          </cell>
          <cell r="H34">
            <v>2.1838464359527054</v>
          </cell>
          <cell r="I34">
            <v>2.1901965490408859</v>
          </cell>
          <cell r="J34">
            <v>6</v>
          </cell>
          <cell r="K34">
            <v>8.375</v>
          </cell>
        </row>
        <row r="35">
          <cell r="A35">
            <v>36782</v>
          </cell>
          <cell r="B35">
            <v>86.688000000000002</v>
          </cell>
          <cell r="C35">
            <v>101.625</v>
          </cell>
          <cell r="D35">
            <v>72.75</v>
          </cell>
          <cell r="E35">
            <v>1.5649241146711634</v>
          </cell>
          <cell r="F35">
            <v>0.06</v>
          </cell>
          <cell r="G35">
            <v>8.2060857330679866</v>
          </cell>
          <cell r="H35">
            <v>2.4274163026304776</v>
          </cell>
          <cell r="I35">
            <v>2.4342420299739884</v>
          </cell>
          <cell r="J35">
            <v>6</v>
          </cell>
          <cell r="K35">
            <v>8.25</v>
          </cell>
        </row>
        <row r="36">
          <cell r="A36">
            <v>36783</v>
          </cell>
          <cell r="B36">
            <v>86.703000000000003</v>
          </cell>
          <cell r="C36">
            <v>100.125</v>
          </cell>
          <cell r="D36">
            <v>68.5</v>
          </cell>
          <cell r="E36">
            <v>1.6478342749529193</v>
          </cell>
          <cell r="F36">
            <v>0.06</v>
          </cell>
          <cell r="G36">
            <v>8.2682113865368265</v>
          </cell>
          <cell r="H36">
            <v>2.1744383038369914</v>
          </cell>
          <cell r="I36">
            <v>2.1807726778711478</v>
          </cell>
          <cell r="J36">
            <v>5.875</v>
          </cell>
          <cell r="K36">
            <v>8.375</v>
          </cell>
        </row>
        <row r="37">
          <cell r="A37">
            <v>36784</v>
          </cell>
          <cell r="B37">
            <v>89.438000000000002</v>
          </cell>
          <cell r="C37">
            <v>95.5</v>
          </cell>
          <cell r="D37">
            <v>73.5625</v>
          </cell>
          <cell r="E37">
            <v>1.6520566419420095</v>
          </cell>
          <cell r="F37">
            <v>6.2E-2</v>
          </cell>
          <cell r="G37">
            <v>9.0599249893546876</v>
          </cell>
          <cell r="H37">
            <v>2.1207670955167699</v>
          </cell>
          <cell r="I37">
            <v>2.1269946168917619</v>
          </cell>
          <cell r="J37">
            <v>6</v>
          </cell>
          <cell r="K37">
            <v>8.625</v>
          </cell>
        </row>
        <row r="38">
          <cell r="A38">
            <v>36787</v>
          </cell>
          <cell r="B38">
            <v>89.625</v>
          </cell>
          <cell r="C38">
            <v>88.375</v>
          </cell>
          <cell r="D38">
            <v>70.0625</v>
          </cell>
          <cell r="E38">
            <v>1.6465053763440862</v>
          </cell>
          <cell r="F38">
            <v>0.06</v>
          </cell>
          <cell r="G38">
            <v>9.9177860307027572</v>
          </cell>
          <cell r="H38">
            <v>2.0158078390712428</v>
          </cell>
          <cell r="I38">
            <v>2.0218206504632712</v>
          </cell>
          <cell r="J38">
            <v>6.03125</v>
          </cell>
          <cell r="K38">
            <v>8.25</v>
          </cell>
        </row>
        <row r="39">
          <cell r="A39">
            <v>36788</v>
          </cell>
          <cell r="B39">
            <v>84.875</v>
          </cell>
          <cell r="C39">
            <v>104.1875</v>
          </cell>
          <cell r="D39">
            <v>68.875</v>
          </cell>
          <cell r="E39">
            <v>1.6194331983805668</v>
          </cell>
          <cell r="F39">
            <v>0.06</v>
          </cell>
          <cell r="G39">
            <v>9.3691321638103808</v>
          </cell>
          <cell r="H39">
            <v>2.0184435116186297</v>
          </cell>
          <cell r="I39">
            <v>2.0244597844025094</v>
          </cell>
          <cell r="J39">
            <v>6</v>
          </cell>
          <cell r="K39">
            <v>8.5</v>
          </cell>
        </row>
        <row r="40">
          <cell r="A40">
            <v>36789</v>
          </cell>
          <cell r="B40">
            <v>82.171999999999997</v>
          </cell>
          <cell r="C40">
            <v>112.0625</v>
          </cell>
          <cell r="D40">
            <v>67.3125</v>
          </cell>
          <cell r="E40">
            <v>1.5507011866235165</v>
          </cell>
          <cell r="F40">
            <v>6.5000000000000002E-2</v>
          </cell>
          <cell r="G40">
            <v>9.0066143450196545</v>
          </cell>
          <cell r="H40">
            <v>2.0699238479102693</v>
          </cell>
          <cell r="I40">
            <v>2.0760444195115375</v>
          </cell>
          <cell r="J40">
            <v>6</v>
          </cell>
          <cell r="K40">
            <v>8.625</v>
          </cell>
        </row>
        <row r="41">
          <cell r="A41">
            <v>36790</v>
          </cell>
          <cell r="B41">
            <v>80.75</v>
          </cell>
          <cell r="C41">
            <v>110.625</v>
          </cell>
          <cell r="D41">
            <v>70</v>
          </cell>
          <cell r="E41">
            <v>1.5130119023602986</v>
          </cell>
          <cell r="F41">
            <v>5.5E-2</v>
          </cell>
          <cell r="G41">
            <v>8.1495284877701177</v>
          </cell>
          <cell r="H41">
            <v>2.0194621249881006</v>
          </cell>
          <cell r="I41">
            <v>2.0254784816739431</v>
          </cell>
          <cell r="J41">
            <v>6.875</v>
          </cell>
          <cell r="K41">
            <v>8.5</v>
          </cell>
        </row>
        <row r="42">
          <cell r="A42">
            <v>36791</v>
          </cell>
          <cell r="B42">
            <v>83</v>
          </cell>
          <cell r="C42">
            <v>115.5</v>
          </cell>
          <cell r="D42">
            <v>68.625</v>
          </cell>
          <cell r="E42">
            <v>1.5111827523675199</v>
          </cell>
          <cell r="F42">
            <v>0.06</v>
          </cell>
          <cell r="G42">
            <v>6.9924366501342829</v>
          </cell>
          <cell r="H42">
            <v>2.1575212781101847</v>
          </cell>
          <cell r="I42">
            <v>2.1638234427571188</v>
          </cell>
          <cell r="J42">
            <v>6.625</v>
          </cell>
          <cell r="K42">
            <v>8.75</v>
          </cell>
        </row>
        <row r="43">
          <cell r="A43">
            <v>36794</v>
          </cell>
          <cell r="B43">
            <v>84.438000000000002</v>
          </cell>
          <cell r="C43">
            <v>115.984375</v>
          </cell>
          <cell r="D43">
            <v>66</v>
          </cell>
          <cell r="E43">
            <v>1.3453518094981838</v>
          </cell>
          <cell r="F43">
            <v>5.5E-2</v>
          </cell>
          <cell r="G43">
            <v>6.4486707903632823</v>
          </cell>
          <cell r="H43">
            <v>1.691508710652273</v>
          </cell>
          <cell r="I43">
            <v>1.6968086675415301</v>
          </cell>
          <cell r="J43">
            <v>6.375</v>
          </cell>
          <cell r="K43">
            <v>8.75</v>
          </cell>
        </row>
        <row r="44">
          <cell r="A44">
            <v>36795</v>
          </cell>
          <cell r="B44">
            <v>85.5</v>
          </cell>
          <cell r="C44">
            <v>104.8125</v>
          </cell>
          <cell r="D44">
            <v>64.375</v>
          </cell>
          <cell r="E44">
            <v>1.345080368552021</v>
          </cell>
          <cell r="F44">
            <v>0.05</v>
          </cell>
          <cell r="G44">
            <v>6.8039761022106857</v>
          </cell>
          <cell r="H44">
            <v>1.5582551454775657</v>
          </cell>
          <cell r="I44">
            <v>1.5582551454775659</v>
          </cell>
          <cell r="J44">
            <v>6.25</v>
          </cell>
          <cell r="K44">
            <v>8.75</v>
          </cell>
        </row>
        <row r="45">
          <cell r="A45">
            <v>36796</v>
          </cell>
          <cell r="B45">
            <v>87.453000000000003</v>
          </cell>
          <cell r="C45">
            <v>101.5625</v>
          </cell>
          <cell r="D45">
            <v>65.125</v>
          </cell>
          <cell r="E45">
            <v>1.5379471748579068</v>
          </cell>
          <cell r="F45">
            <v>0.05</v>
          </cell>
          <cell r="G45">
            <v>6.6826166710722541</v>
          </cell>
          <cell r="H45">
            <v>1.682606759577477</v>
          </cell>
          <cell r="I45">
            <v>1.682606759577477</v>
          </cell>
          <cell r="J45">
            <v>6.375</v>
          </cell>
          <cell r="K45">
            <v>8.8125</v>
          </cell>
        </row>
        <row r="46">
          <cell r="A46">
            <v>36797</v>
          </cell>
          <cell r="B46">
            <v>89.25</v>
          </cell>
          <cell r="C46">
            <v>102.875</v>
          </cell>
          <cell r="D46">
            <v>60</v>
          </cell>
          <cell r="E46">
            <v>1.4995001666111296</v>
          </cell>
          <cell r="F46">
            <v>4.4999999999999998E-2</v>
          </cell>
          <cell r="G46">
            <v>6.7739978763979822</v>
          </cell>
          <cell r="H46">
            <v>1.7044618341470379</v>
          </cell>
          <cell r="I46">
            <v>1.7044618341470381</v>
          </cell>
          <cell r="J46">
            <v>6.4375</v>
          </cell>
          <cell r="K46">
            <v>8.8125</v>
          </cell>
        </row>
        <row r="47">
          <cell r="A47">
            <v>36798</v>
          </cell>
          <cell r="B47">
            <v>87.641000000000005</v>
          </cell>
          <cell r="C47">
            <v>95.125</v>
          </cell>
          <cell r="D47">
            <v>62</v>
          </cell>
          <cell r="E47">
            <v>1.5139281388776746</v>
          </cell>
          <cell r="F47">
            <v>5.5E-2</v>
          </cell>
          <cell r="G47">
            <v>10.955957684378545</v>
          </cell>
          <cell r="H47">
            <v>1.8074449703347872</v>
          </cell>
          <cell r="I47">
            <v>1.8074449703347872</v>
          </cell>
          <cell r="J47">
            <v>6.4375</v>
          </cell>
          <cell r="K47">
            <v>9.75</v>
          </cell>
        </row>
        <row r="48">
          <cell r="A48">
            <v>36801</v>
          </cell>
          <cell r="B48">
            <v>86.438000000000002</v>
          </cell>
          <cell r="C48">
            <v>80.375</v>
          </cell>
          <cell r="D48">
            <v>60.875</v>
          </cell>
          <cell r="E48">
            <v>1.4964905310554892</v>
          </cell>
          <cell r="F48">
            <v>4.4999999999999998E-2</v>
          </cell>
          <cell r="G48">
            <v>9.2211513758790726</v>
          </cell>
          <cell r="H48">
            <v>1.7649422292557411</v>
          </cell>
          <cell r="I48">
            <v>1.7649422292557413</v>
          </cell>
          <cell r="J48">
            <v>6.5</v>
          </cell>
          <cell r="K48">
            <v>9.25</v>
          </cell>
        </row>
        <row r="49">
          <cell r="A49">
            <v>36802</v>
          </cell>
          <cell r="B49">
            <v>85.563000000000002</v>
          </cell>
          <cell r="C49">
            <v>84.0625</v>
          </cell>
          <cell r="D49">
            <v>55.5</v>
          </cell>
          <cell r="E49">
            <v>1.429046194749086</v>
          </cell>
          <cell r="F49">
            <v>4.4999999999999998E-2</v>
          </cell>
          <cell r="G49">
            <v>8.9849644026968321</v>
          </cell>
          <cell r="H49">
            <v>1.8227741986306845</v>
          </cell>
          <cell r="I49">
            <v>1.8227741986306845</v>
          </cell>
          <cell r="J49">
            <v>7</v>
          </cell>
          <cell r="K49">
            <v>9.125</v>
          </cell>
        </row>
        <row r="50">
          <cell r="A50">
            <v>36803</v>
          </cell>
          <cell r="B50">
            <v>83.063000000000002</v>
          </cell>
          <cell r="C50">
            <v>80.515625</v>
          </cell>
          <cell r="D50">
            <v>52.125</v>
          </cell>
          <cell r="E50">
            <v>1.4048702167514051</v>
          </cell>
          <cell r="F50">
            <v>4.9000000000000002E-2</v>
          </cell>
          <cell r="G50">
            <v>8.4982173634724507</v>
          </cell>
          <cell r="H50">
            <v>1.8009824203215923</v>
          </cell>
          <cell r="I50">
            <v>1.8009824203215925</v>
          </cell>
          <cell r="J50">
            <v>6.3125</v>
          </cell>
          <cell r="K50">
            <v>9.5</v>
          </cell>
        </row>
        <row r="51">
          <cell r="A51">
            <v>36804</v>
          </cell>
          <cell r="B51">
            <v>83</v>
          </cell>
          <cell r="C51">
            <v>81.5</v>
          </cell>
          <cell r="D51">
            <v>45.0625</v>
          </cell>
          <cell r="E51">
            <v>1.971266288005346</v>
          </cell>
          <cell r="F51">
            <v>0.04</v>
          </cell>
          <cell r="G51">
            <v>8.0096474379452296</v>
          </cell>
          <cell r="H51">
            <v>1.5828566677623843</v>
          </cell>
          <cell r="I51">
            <v>1.5828566677623848</v>
          </cell>
          <cell r="J51">
            <v>6.125</v>
          </cell>
          <cell r="K51">
            <v>9.375</v>
          </cell>
        </row>
        <row r="52">
          <cell r="A52">
            <v>36805</v>
          </cell>
          <cell r="B52">
            <v>81.625</v>
          </cell>
          <cell r="C52">
            <v>77.6875</v>
          </cell>
          <cell r="D52">
            <v>40.875</v>
          </cell>
          <cell r="E52">
            <v>1.9726757747417527</v>
          </cell>
          <cell r="F52">
            <v>0.04</v>
          </cell>
          <cell r="G52">
            <v>7.5118515285041045</v>
          </cell>
          <cell r="H52">
            <v>1.5659120052214175</v>
          </cell>
          <cell r="I52">
            <v>1.5659120052214177</v>
          </cell>
          <cell r="J52">
            <v>5.875</v>
          </cell>
          <cell r="K52">
            <v>8.875</v>
          </cell>
        </row>
        <row r="53">
          <cell r="A53">
            <v>36808</v>
          </cell>
          <cell r="B53">
            <v>83</v>
          </cell>
          <cell r="C53">
            <v>77</v>
          </cell>
          <cell r="D53">
            <v>38</v>
          </cell>
          <cell r="E53">
            <v>1.9726757747417527</v>
          </cell>
          <cell r="F53">
            <v>4.4999999999999998E-2</v>
          </cell>
          <cell r="G53">
            <v>8.1179550569835524</v>
          </cell>
          <cell r="H53">
            <v>1.4383654832453059</v>
          </cell>
          <cell r="I53">
            <v>1.4383654832453061</v>
          </cell>
          <cell r="J53">
            <v>6.25</v>
          </cell>
          <cell r="K53">
            <v>8.9375</v>
          </cell>
        </row>
        <row r="54">
          <cell r="A54">
            <v>36809</v>
          </cell>
          <cell r="B54">
            <v>81.688000000000002</v>
          </cell>
          <cell r="C54">
            <v>69</v>
          </cell>
          <cell r="D54">
            <v>31.75</v>
          </cell>
          <cell r="E54">
            <v>1.9867991199413293</v>
          </cell>
          <cell r="F54">
            <v>4.6875E-2</v>
          </cell>
          <cell r="G54">
            <v>8.1150149025333747</v>
          </cell>
          <cell r="H54">
            <v>1.7342490724924671</v>
          </cell>
          <cell r="I54">
            <v>1.7342490724924673</v>
          </cell>
          <cell r="J54">
            <v>6.125</v>
          </cell>
          <cell r="K54">
            <v>9</v>
          </cell>
        </row>
        <row r="55">
          <cell r="A55">
            <v>36810</v>
          </cell>
          <cell r="B55">
            <v>82.813000000000002</v>
          </cell>
          <cell r="C55">
            <v>78.8125</v>
          </cell>
          <cell r="D55">
            <v>31.875</v>
          </cell>
          <cell r="E55">
            <v>1.9532288068030825</v>
          </cell>
          <cell r="F55">
            <v>4.4999999999999998E-2</v>
          </cell>
          <cell r="G55">
            <v>8.5985421084141116</v>
          </cell>
          <cell r="H55">
            <v>1.7640283578277933</v>
          </cell>
          <cell r="I55">
            <v>1.7640283578277935</v>
          </cell>
          <cell r="J55">
            <v>5.9375</v>
          </cell>
          <cell r="K55">
            <v>9.125</v>
          </cell>
        </row>
        <row r="56">
          <cell r="A56">
            <v>36811</v>
          </cell>
          <cell r="B56">
            <v>79.875</v>
          </cell>
          <cell r="C56">
            <v>76.5</v>
          </cell>
          <cell r="D56">
            <v>38.0625</v>
          </cell>
          <cell r="E56">
            <v>1.9474067695568655</v>
          </cell>
          <cell r="F56">
            <v>0.05</v>
          </cell>
          <cell r="G56">
            <v>9.3216382824494985</v>
          </cell>
          <cell r="H56">
            <v>2.0708625549621424</v>
          </cell>
          <cell r="I56">
            <v>2.0708625549621424</v>
          </cell>
          <cell r="J56">
            <v>5.5</v>
          </cell>
          <cell r="K56">
            <v>9.75</v>
          </cell>
        </row>
        <row r="57">
          <cell r="A57">
            <v>36812</v>
          </cell>
          <cell r="B57">
            <v>79.5</v>
          </cell>
          <cell r="C57">
            <v>81</v>
          </cell>
          <cell r="D57">
            <v>45.25</v>
          </cell>
          <cell r="E57">
            <v>1.9498607242339832</v>
          </cell>
          <cell r="F57">
            <v>0.04</v>
          </cell>
          <cell r="G57">
            <v>8.5857704668200334</v>
          </cell>
          <cell r="H57">
            <v>1.7045029719227713</v>
          </cell>
          <cell r="I57">
            <v>1.7045029719227716</v>
          </cell>
          <cell r="J57">
            <v>5.5</v>
          </cell>
          <cell r="K57">
            <v>9.5</v>
          </cell>
        </row>
        <row r="58">
          <cell r="A58">
            <v>36815</v>
          </cell>
          <cell r="B58">
            <v>80</v>
          </cell>
          <cell r="C58">
            <v>85.6875</v>
          </cell>
          <cell r="D58">
            <v>46.5</v>
          </cell>
          <cell r="E58">
            <v>1.9414281013491281</v>
          </cell>
          <cell r="F58">
            <v>4.9000000000000002E-2</v>
          </cell>
          <cell r="G58">
            <v>8.4069172697627099</v>
          </cell>
          <cell r="H58">
            <v>1.5772032038743855</v>
          </cell>
          <cell r="I58">
            <v>1.5772032038743857</v>
          </cell>
          <cell r="J58">
            <v>5.5625</v>
          </cell>
          <cell r="K58">
            <v>9.5</v>
          </cell>
        </row>
        <row r="59">
          <cell r="A59">
            <v>36816</v>
          </cell>
          <cell r="B59">
            <v>79.188000000000002</v>
          </cell>
          <cell r="C59">
            <v>80.25</v>
          </cell>
          <cell r="D59">
            <v>39.875</v>
          </cell>
          <cell r="E59">
            <v>1.9611714379730174</v>
          </cell>
          <cell r="F59">
            <v>0.05</v>
          </cell>
          <cell r="G59">
            <v>8.2744213351827067</v>
          </cell>
          <cell r="H59">
            <v>1.4857963967467092</v>
          </cell>
          <cell r="I59">
            <v>1.4857963967467094</v>
          </cell>
          <cell r="J59">
            <v>5.75</v>
          </cell>
          <cell r="K59">
            <v>9.4375</v>
          </cell>
        </row>
        <row r="60">
          <cell r="A60">
            <v>36817</v>
          </cell>
          <cell r="B60">
            <v>78.75</v>
          </cell>
          <cell r="C60">
            <v>72</v>
          </cell>
          <cell r="D60">
            <v>37.125</v>
          </cell>
          <cell r="E60">
            <v>1.9525065963060686</v>
          </cell>
          <cell r="F60">
            <v>5.5E-2</v>
          </cell>
          <cell r="G60">
            <v>7.727198456418864</v>
          </cell>
          <cell r="H60">
            <v>1.914272745469241</v>
          </cell>
          <cell r="I60">
            <v>1.9142727454692414</v>
          </cell>
          <cell r="J60">
            <v>5.625</v>
          </cell>
          <cell r="K60">
            <v>8.875</v>
          </cell>
        </row>
        <row r="61">
          <cell r="A61">
            <v>36818</v>
          </cell>
          <cell r="B61">
            <v>79</v>
          </cell>
          <cell r="C61">
            <v>65.25</v>
          </cell>
          <cell r="D61">
            <v>39.3125</v>
          </cell>
          <cell r="E61">
            <v>1.9785600847008999</v>
          </cell>
          <cell r="F61">
            <v>5.6000000000000001E-2</v>
          </cell>
          <cell r="G61">
            <v>7.0021410904302002</v>
          </cell>
          <cell r="H61">
            <v>1.9143657908125191</v>
          </cell>
          <cell r="I61">
            <v>1.9143657908125191</v>
          </cell>
          <cell r="J61">
            <v>5.625</v>
          </cell>
          <cell r="K61">
            <v>9.5</v>
          </cell>
        </row>
        <row r="62">
          <cell r="A62">
            <v>36819</v>
          </cell>
          <cell r="B62">
            <v>80.5</v>
          </cell>
          <cell r="C62">
            <v>67.25</v>
          </cell>
          <cell r="D62">
            <v>40.5</v>
          </cell>
          <cell r="E62">
            <v>1.977251686284883</v>
          </cell>
          <cell r="F62">
            <v>0.05</v>
          </cell>
          <cell r="G62">
            <v>7.0012013687012926</v>
          </cell>
          <cell r="H62">
            <v>1.866036530615832</v>
          </cell>
          <cell r="I62">
            <v>1.8660365306158322</v>
          </cell>
          <cell r="J62">
            <v>5.5</v>
          </cell>
          <cell r="K62">
            <v>9.4375</v>
          </cell>
        </row>
        <row r="63">
          <cell r="A63">
            <v>36822</v>
          </cell>
          <cell r="B63">
            <v>82</v>
          </cell>
          <cell r="C63">
            <v>68</v>
          </cell>
          <cell r="D63">
            <v>39.625</v>
          </cell>
          <cell r="E63">
            <v>1.9622141199867418</v>
          </cell>
          <cell r="F63">
            <v>4.8000000000000001E-2</v>
          </cell>
          <cell r="G63">
            <v>6.5127779878785352</v>
          </cell>
          <cell r="H63">
            <v>1.8775090855798073</v>
          </cell>
          <cell r="I63">
            <v>1.8775090855798078</v>
          </cell>
          <cell r="J63">
            <v>5.5</v>
          </cell>
          <cell r="K63">
            <v>9.4375</v>
          </cell>
        </row>
        <row r="64">
          <cell r="A64">
            <v>36823</v>
          </cell>
          <cell r="B64">
            <v>80.1875</v>
          </cell>
          <cell r="C64">
            <v>62.875</v>
          </cell>
          <cell r="D64">
            <v>47.125</v>
          </cell>
          <cell r="E64">
            <v>1.9828155981493722</v>
          </cell>
          <cell r="F64">
            <v>4.4999999999999998E-2</v>
          </cell>
          <cell r="G64">
            <v>6.1555252791989608</v>
          </cell>
          <cell r="H64">
            <v>1.745664627101829</v>
          </cell>
          <cell r="I64">
            <v>1.745664627101829</v>
          </cell>
          <cell r="J64">
            <v>5.78125</v>
          </cell>
          <cell r="K64">
            <v>9.125</v>
          </cell>
        </row>
        <row r="65">
          <cell r="A65">
            <v>36824</v>
          </cell>
          <cell r="B65">
            <v>76.125</v>
          </cell>
          <cell r="C65">
            <v>51.75</v>
          </cell>
          <cell r="D65">
            <v>41.875</v>
          </cell>
          <cell r="E65">
            <v>1.975633849193283</v>
          </cell>
          <cell r="F65">
            <v>4.4999999999999998E-2</v>
          </cell>
          <cell r="G65">
            <v>5.7438166854938686</v>
          </cell>
          <cell r="H65">
            <v>1.9285620858106052</v>
          </cell>
          <cell r="I65">
            <v>1.9285620858106054</v>
          </cell>
          <cell r="J65">
            <v>5.5</v>
          </cell>
          <cell r="K65">
            <v>8.8125</v>
          </cell>
        </row>
        <row r="66">
          <cell r="A66">
            <v>36825</v>
          </cell>
          <cell r="B66">
            <v>77.5</v>
          </cell>
          <cell r="C66">
            <v>44.125</v>
          </cell>
          <cell r="D66">
            <v>41.9375</v>
          </cell>
          <cell r="E66">
            <v>1.9494584837545126</v>
          </cell>
          <cell r="F66">
            <v>7.015625</v>
          </cell>
          <cell r="G66">
            <v>6.1612067958923262</v>
          </cell>
          <cell r="H66">
            <v>1.4756079801316007</v>
          </cell>
          <cell r="I66">
            <v>1.4756079801316011</v>
          </cell>
          <cell r="J66">
            <v>5.75</v>
          </cell>
          <cell r="K66">
            <v>8.375</v>
          </cell>
        </row>
        <row r="67">
          <cell r="A67">
            <v>36826</v>
          </cell>
          <cell r="B67">
            <v>78.875</v>
          </cell>
          <cell r="C67">
            <v>45.375</v>
          </cell>
          <cell r="D67">
            <v>40.5</v>
          </cell>
          <cell r="E67">
            <v>1.9620667102681493</v>
          </cell>
          <cell r="F67">
            <v>7.125</v>
          </cell>
          <cell r="G67">
            <v>6.6447488453282126</v>
          </cell>
          <cell r="H67">
            <v>1.3597452474216862</v>
          </cell>
          <cell r="I67">
            <v>1.3597452474216865</v>
          </cell>
          <cell r="J67">
            <v>5.25</v>
          </cell>
          <cell r="K67">
            <v>7.875</v>
          </cell>
        </row>
        <row r="68">
          <cell r="A68">
            <v>36829</v>
          </cell>
          <cell r="B68">
            <v>80.688000000000002</v>
          </cell>
          <cell r="C68">
            <v>40</v>
          </cell>
          <cell r="D68">
            <v>36</v>
          </cell>
          <cell r="E68">
            <v>1.9607843137254901</v>
          </cell>
          <cell r="F68">
            <v>7.25</v>
          </cell>
          <cell r="G68">
            <v>6.5229353376158725</v>
          </cell>
          <cell r="H68">
            <v>1.553353027912538</v>
          </cell>
          <cell r="I68">
            <v>1.5533530279125383</v>
          </cell>
          <cell r="J68">
            <v>5.25</v>
          </cell>
          <cell r="K68">
            <v>7.75</v>
          </cell>
        </row>
        <row r="69">
          <cell r="A69">
            <v>36830</v>
          </cell>
          <cell r="B69">
            <v>82.063000000000002</v>
          </cell>
          <cell r="C69">
            <v>43.375</v>
          </cell>
          <cell r="D69">
            <v>38.125</v>
          </cell>
          <cell r="E69">
            <v>1.9837396325988248</v>
          </cell>
          <cell r="F69">
            <v>7</v>
          </cell>
          <cell r="G69">
            <v>6.5224567535726283</v>
          </cell>
          <cell r="H69">
            <v>1.8071015449845458</v>
          </cell>
          <cell r="I69">
            <v>1.807101544984546</v>
          </cell>
          <cell r="J69">
            <v>5.375</v>
          </cell>
          <cell r="K69">
            <v>7.75</v>
          </cell>
        </row>
        <row r="70">
          <cell r="A70">
            <v>36831</v>
          </cell>
          <cell r="B70">
            <v>83.25</v>
          </cell>
          <cell r="C70">
            <v>39.9375</v>
          </cell>
          <cell r="D70">
            <v>36.875</v>
          </cell>
          <cell r="E70">
            <v>1.9566918862509786</v>
          </cell>
          <cell r="F70">
            <v>7.125</v>
          </cell>
          <cell r="G70">
            <v>6.9994077297698452</v>
          </cell>
          <cell r="H70">
            <v>1.7555417194104583</v>
          </cell>
          <cell r="I70">
            <v>1.7555417194104588</v>
          </cell>
          <cell r="J70">
            <v>5.875</v>
          </cell>
          <cell r="K70">
            <v>8.3125</v>
          </cell>
        </row>
        <row r="71">
          <cell r="A71">
            <v>36832</v>
          </cell>
          <cell r="B71">
            <v>81.75</v>
          </cell>
          <cell r="C71">
            <v>45.875</v>
          </cell>
          <cell r="D71">
            <v>33.875</v>
          </cell>
          <cell r="E71">
            <v>1.9595035924232529</v>
          </cell>
          <cell r="F71">
            <v>7</v>
          </cell>
          <cell r="G71">
            <v>6.997660747558375</v>
          </cell>
          <cell r="H71">
            <v>1.6027809623899234</v>
          </cell>
          <cell r="I71">
            <v>1.6027809623899238</v>
          </cell>
          <cell r="J71">
            <v>5.625</v>
          </cell>
          <cell r="K71">
            <v>8.5625</v>
          </cell>
        </row>
        <row r="72">
          <cell r="A72">
            <v>36833</v>
          </cell>
          <cell r="B72">
            <v>77.375</v>
          </cell>
          <cell r="C72">
            <v>50.5</v>
          </cell>
          <cell r="D72">
            <v>31</v>
          </cell>
          <cell r="E72">
            <v>1.95822454308094</v>
          </cell>
          <cell r="F72">
            <v>7.0625</v>
          </cell>
          <cell r="G72">
            <v>6.7048564566785398</v>
          </cell>
          <cell r="H72">
            <v>1.8925239113689141</v>
          </cell>
          <cell r="I72">
            <v>1.8925239113689143</v>
          </cell>
          <cell r="J72">
            <v>5.875</v>
          </cell>
          <cell r="K72">
            <v>9.5</v>
          </cell>
        </row>
        <row r="73">
          <cell r="A73">
            <v>36836</v>
          </cell>
          <cell r="B73">
            <v>81.563000000000002</v>
          </cell>
          <cell r="C73">
            <v>45.125</v>
          </cell>
          <cell r="D73">
            <v>28.5</v>
          </cell>
          <cell r="E73">
            <v>1.9607843137254901</v>
          </cell>
          <cell r="F73">
            <v>7</v>
          </cell>
          <cell r="G73">
            <v>7.4928186714348923</v>
          </cell>
          <cell r="H73">
            <v>1.4437812769695648</v>
          </cell>
          <cell r="I73">
            <v>1.443781276969565</v>
          </cell>
          <cell r="J73">
            <v>5.875</v>
          </cell>
          <cell r="K73">
            <v>9</v>
          </cell>
        </row>
        <row r="74">
          <cell r="A74">
            <v>36837</v>
          </cell>
          <cell r="B74">
            <v>81.813000000000002</v>
          </cell>
          <cell r="C74">
            <v>47.6875</v>
          </cell>
          <cell r="D74">
            <v>27.4375</v>
          </cell>
          <cell r="E74">
            <v>1.9566918862509786</v>
          </cell>
          <cell r="F74">
            <v>7.03125</v>
          </cell>
          <cell r="G74">
            <v>7.1287076732268897</v>
          </cell>
          <cell r="H74">
            <v>1.583818345858016</v>
          </cell>
          <cell r="I74">
            <v>1.583818345858016</v>
          </cell>
          <cell r="J74">
            <v>5.875</v>
          </cell>
          <cell r="K74">
            <v>9.125</v>
          </cell>
        </row>
        <row r="75">
          <cell r="A75">
            <v>36838</v>
          </cell>
          <cell r="B75">
            <v>82.125</v>
          </cell>
          <cell r="C75">
            <v>44.015625</v>
          </cell>
          <cell r="D75">
            <v>26</v>
          </cell>
          <cell r="E75">
            <v>1.948051948051948</v>
          </cell>
          <cell r="F75">
            <v>7</v>
          </cell>
          <cell r="G75">
            <v>7.0071778604253341</v>
          </cell>
          <cell r="H75">
            <v>1.7522777886635528</v>
          </cell>
          <cell r="I75">
            <v>1.7522777886635528</v>
          </cell>
          <cell r="J75">
            <v>5.65625</v>
          </cell>
          <cell r="K75">
            <v>9.25</v>
          </cell>
        </row>
        <row r="76">
          <cell r="A76">
            <v>36839</v>
          </cell>
          <cell r="B76">
            <v>82.938000000000002</v>
          </cell>
          <cell r="C76">
            <v>44.875</v>
          </cell>
          <cell r="D76">
            <v>23.375</v>
          </cell>
          <cell r="E76">
            <v>1.9379844961240309</v>
          </cell>
          <cell r="F76">
            <v>7.0625</v>
          </cell>
          <cell r="G76">
            <v>7.0065392882844399</v>
          </cell>
          <cell r="H76">
            <v>1.7720101180633034</v>
          </cell>
          <cell r="I76">
            <v>1.7720101180633037</v>
          </cell>
          <cell r="J76">
            <v>5.75</v>
          </cell>
          <cell r="K76">
            <v>8.8125</v>
          </cell>
        </row>
        <row r="77">
          <cell r="A77">
            <v>36840</v>
          </cell>
          <cell r="B77">
            <v>82.9375</v>
          </cell>
          <cell r="C77">
            <v>41.25</v>
          </cell>
          <cell r="D77">
            <v>20.5625</v>
          </cell>
          <cell r="E77">
            <v>1.9379844961240309</v>
          </cell>
          <cell r="F77">
            <v>7</v>
          </cell>
          <cell r="G77">
            <v>6.756858773401679</v>
          </cell>
          <cell r="H77">
            <v>1.7841097451449277</v>
          </cell>
          <cell r="I77">
            <v>1.7841097451449279</v>
          </cell>
          <cell r="J77">
            <v>5.75</v>
          </cell>
          <cell r="K77">
            <v>9.125</v>
          </cell>
        </row>
        <row r="78">
          <cell r="A78">
            <v>36843</v>
          </cell>
          <cell r="B78">
            <v>79.438000000000002</v>
          </cell>
          <cell r="C78">
            <v>39.6875</v>
          </cell>
          <cell r="D78">
            <v>20</v>
          </cell>
          <cell r="E78">
            <v>1.9379844961240309</v>
          </cell>
          <cell r="F78">
            <v>7.0625</v>
          </cell>
          <cell r="G78">
            <v>6.8717659724566627</v>
          </cell>
          <cell r="H78">
            <v>1.6451220710228229</v>
          </cell>
          <cell r="I78">
            <v>1.6451220710228232</v>
          </cell>
          <cell r="J78">
            <v>5.75</v>
          </cell>
          <cell r="K78">
            <v>8.8125</v>
          </cell>
        </row>
        <row r="79">
          <cell r="A79">
            <v>36844</v>
          </cell>
          <cell r="B79">
            <v>79.563000000000002</v>
          </cell>
          <cell r="C79">
            <v>43</v>
          </cell>
          <cell r="D79">
            <v>22.875</v>
          </cell>
          <cell r="E79">
            <v>1.9229524117837489</v>
          </cell>
          <cell r="F79">
            <v>7.0625</v>
          </cell>
          <cell r="G79">
            <v>6.9321352961034011</v>
          </cell>
          <cell r="H79">
            <v>1.6868108532553008</v>
          </cell>
          <cell r="I79">
            <v>1.686810853255301</v>
          </cell>
          <cell r="J79">
            <v>5.3125</v>
          </cell>
          <cell r="K79">
            <v>8.875</v>
          </cell>
        </row>
        <row r="80">
          <cell r="A80">
            <v>36845</v>
          </cell>
          <cell r="B80">
            <v>80.375</v>
          </cell>
          <cell r="C80">
            <v>40.4375</v>
          </cell>
          <cell r="D80">
            <v>20.375</v>
          </cell>
          <cell r="E80">
            <v>1.9124275595621381</v>
          </cell>
          <cell r="F80">
            <v>7.0625</v>
          </cell>
          <cell r="G80">
            <v>7.2291544809746489</v>
          </cell>
          <cell r="H80">
            <v>1.6600363531160085</v>
          </cell>
          <cell r="I80">
            <v>1.6600363531160087</v>
          </cell>
          <cell r="J80">
            <v>5.5</v>
          </cell>
          <cell r="K80">
            <v>8.875</v>
          </cell>
        </row>
        <row r="81">
          <cell r="A81">
            <v>36846</v>
          </cell>
          <cell r="B81">
            <v>81.25</v>
          </cell>
          <cell r="C81">
            <v>35.25</v>
          </cell>
          <cell r="D81">
            <v>20.25</v>
          </cell>
          <cell r="E81">
            <v>1.9111969111969114</v>
          </cell>
          <cell r="F81">
            <v>7.03125</v>
          </cell>
          <cell r="G81">
            <v>6.9821827945057411</v>
          </cell>
          <cell r="H81">
            <v>1.6758606606245379</v>
          </cell>
          <cell r="I81">
            <v>1.6758606606245381</v>
          </cell>
          <cell r="J81">
            <v>5.40625</v>
          </cell>
          <cell r="K81">
            <v>9</v>
          </cell>
        </row>
        <row r="82">
          <cell r="A82">
            <v>36847</v>
          </cell>
          <cell r="B82">
            <v>81.5</v>
          </cell>
          <cell r="C82">
            <v>28.875</v>
          </cell>
          <cell r="D82">
            <v>18.6875</v>
          </cell>
          <cell r="E82">
            <v>1.9056785370548606</v>
          </cell>
          <cell r="F82">
            <v>7.0625</v>
          </cell>
          <cell r="G82">
            <v>6.3820367416989185</v>
          </cell>
          <cell r="H82">
            <v>1.6749590795986473</v>
          </cell>
          <cell r="I82">
            <v>1.6749590795986473</v>
          </cell>
          <cell r="J82">
            <v>5.6875</v>
          </cell>
          <cell r="K82">
            <v>9</v>
          </cell>
        </row>
        <row r="83">
          <cell r="A83">
            <v>36850</v>
          </cell>
          <cell r="B83">
            <v>80.25</v>
          </cell>
          <cell r="C83">
            <v>24.25</v>
          </cell>
          <cell r="D83">
            <v>18</v>
          </cell>
          <cell r="E83">
            <v>1.9069020866773676</v>
          </cell>
          <cell r="F83">
            <v>7.0625</v>
          </cell>
          <cell r="G83">
            <v>5.4251303331928877</v>
          </cell>
          <cell r="H83">
            <v>1.5840936981110871</v>
          </cell>
          <cell r="I83">
            <v>1.5840936981110874</v>
          </cell>
          <cell r="J83">
            <v>5.6875</v>
          </cell>
          <cell r="K83">
            <v>8.625</v>
          </cell>
        </row>
        <row r="84">
          <cell r="A84">
            <v>36851</v>
          </cell>
          <cell r="B84">
            <v>80.375</v>
          </cell>
          <cell r="C84">
            <v>26.5</v>
          </cell>
          <cell r="D84">
            <v>18.625</v>
          </cell>
          <cell r="E84">
            <v>1.9155111254434054</v>
          </cell>
          <cell r="F84">
            <v>7.0625</v>
          </cell>
          <cell r="G84">
            <v>5.7837621008653519</v>
          </cell>
          <cell r="H84">
            <v>1.6273755330125435</v>
          </cell>
          <cell r="I84">
            <v>1.6273755330125435</v>
          </cell>
          <cell r="J84">
            <v>5.6875</v>
          </cell>
          <cell r="K84">
            <v>8.75</v>
          </cell>
        </row>
        <row r="85">
          <cell r="A85">
            <v>36852</v>
          </cell>
          <cell r="B85">
            <v>75.563000000000002</v>
          </cell>
          <cell r="C85">
            <v>21.75</v>
          </cell>
          <cell r="D85">
            <v>16.6875</v>
          </cell>
          <cell r="E85">
            <v>1.9411193788417986</v>
          </cell>
          <cell r="F85">
            <v>7.25</v>
          </cell>
          <cell r="G85">
            <v>5.309139352555543</v>
          </cell>
          <cell r="H85">
            <v>1.6675164109199654</v>
          </cell>
          <cell r="I85">
            <v>1.6675164109199656</v>
          </cell>
          <cell r="J85">
            <v>5.25</v>
          </cell>
          <cell r="K85">
            <v>9</v>
          </cell>
        </row>
        <row r="86">
          <cell r="A86">
            <v>36854</v>
          </cell>
          <cell r="B86">
            <v>77.75</v>
          </cell>
          <cell r="C86">
            <v>23.125</v>
          </cell>
          <cell r="D86">
            <v>18.375</v>
          </cell>
          <cell r="E86">
            <v>1.948684637869438</v>
          </cell>
          <cell r="F86">
            <v>7.25</v>
          </cell>
          <cell r="G86">
            <v>6.0159078924329377</v>
          </cell>
          <cell r="H86">
            <v>1.6599811507493187</v>
          </cell>
          <cell r="I86">
            <v>1.6599811507493187</v>
          </cell>
          <cell r="J86">
            <v>5.1875</v>
          </cell>
          <cell r="K86">
            <v>9</v>
          </cell>
        </row>
        <row r="87">
          <cell r="A87">
            <v>36857</v>
          </cell>
          <cell r="B87">
            <v>78.875</v>
          </cell>
          <cell r="C87">
            <v>19.8125</v>
          </cell>
          <cell r="D87">
            <v>17.5</v>
          </cell>
          <cell r="E87">
            <v>1.954397394136808</v>
          </cell>
          <cell r="F87">
            <v>7.25</v>
          </cell>
          <cell r="G87">
            <v>6.0734008973016413</v>
          </cell>
          <cell r="H87">
            <v>1.6529708394015878</v>
          </cell>
          <cell r="I87">
            <v>1.6529708394015881</v>
          </cell>
          <cell r="J87">
            <v>5</v>
          </cell>
          <cell r="K87">
            <v>8.5625</v>
          </cell>
        </row>
        <row r="88">
          <cell r="A88">
            <v>36858</v>
          </cell>
          <cell r="B88">
            <v>78.438000000000002</v>
          </cell>
          <cell r="C88">
            <v>17.0625</v>
          </cell>
          <cell r="D88">
            <v>15.1875</v>
          </cell>
          <cell r="E88">
            <v>1.953125</v>
          </cell>
          <cell r="F88">
            <v>7.0625</v>
          </cell>
          <cell r="G88">
            <v>5.5310799046727492</v>
          </cell>
          <cell r="H88">
            <v>1.6446524819935648</v>
          </cell>
          <cell r="I88">
            <v>1.6446524819935651</v>
          </cell>
          <cell r="J88">
            <v>4.75</v>
          </cell>
          <cell r="K88">
            <v>8.375</v>
          </cell>
        </row>
        <row r="89">
          <cell r="A89">
            <v>36859</v>
          </cell>
          <cell r="B89">
            <v>70.25</v>
          </cell>
          <cell r="C89">
            <v>19.75</v>
          </cell>
          <cell r="D89">
            <v>14.375</v>
          </cell>
          <cell r="E89">
            <v>1.9461563412260783</v>
          </cell>
          <cell r="F89">
            <v>7.0625</v>
          </cell>
          <cell r="G89">
            <v>5.8808694511430328</v>
          </cell>
          <cell r="H89">
            <v>1.6152022377236779</v>
          </cell>
          <cell r="I89">
            <v>1.6152022377236779</v>
          </cell>
          <cell r="J89">
            <v>4.75</v>
          </cell>
          <cell r="K89">
            <v>8.3125</v>
          </cell>
        </row>
        <row r="90">
          <cell r="A90">
            <v>36860</v>
          </cell>
          <cell r="B90">
            <v>64.75</v>
          </cell>
          <cell r="C90">
            <v>21.125</v>
          </cell>
          <cell r="D90">
            <v>13.6875</v>
          </cell>
          <cell r="E90">
            <v>1.912851770198418</v>
          </cell>
          <cell r="F90">
            <v>6.8125</v>
          </cell>
          <cell r="G90">
            <v>5.0406456673465012</v>
          </cell>
          <cell r="H90">
            <v>1.6223638614136326</v>
          </cell>
          <cell r="I90">
            <v>1.6223638614136329</v>
          </cell>
          <cell r="J90">
            <v>4.5625</v>
          </cell>
          <cell r="K90">
            <v>8.1875</v>
          </cell>
        </row>
        <row r="91">
          <cell r="A91">
            <v>36861</v>
          </cell>
          <cell r="B91">
            <v>65.5</v>
          </cell>
          <cell r="C91">
            <v>21.75</v>
          </cell>
          <cell r="D91">
            <v>16.8125</v>
          </cell>
          <cell r="E91">
            <v>1.9087673891944354</v>
          </cell>
          <cell r="F91">
            <v>6.875</v>
          </cell>
          <cell r="G91">
            <v>4.9293080401400369</v>
          </cell>
          <cell r="H91">
            <v>1.6053214467084147</v>
          </cell>
          <cell r="I91">
            <v>1.6053214467084149</v>
          </cell>
          <cell r="J91">
            <v>4.75</v>
          </cell>
          <cell r="K91">
            <v>8</v>
          </cell>
        </row>
        <row r="92">
          <cell r="A92">
            <v>36864</v>
          </cell>
          <cell r="B92">
            <v>65.938000000000002</v>
          </cell>
          <cell r="C92">
            <v>18</v>
          </cell>
          <cell r="D92">
            <v>17</v>
          </cell>
          <cell r="E92">
            <v>1.9118600129617631</v>
          </cell>
          <cell r="F92">
            <v>7</v>
          </cell>
          <cell r="G92">
            <v>5.2769894984504591</v>
          </cell>
          <cell r="H92">
            <v>1.6165351900292262</v>
          </cell>
          <cell r="I92">
            <v>1.6165351900292264</v>
          </cell>
          <cell r="J92">
            <v>4.875</v>
          </cell>
          <cell r="K92">
            <v>8.5</v>
          </cell>
        </row>
        <row r="93">
          <cell r="A93">
            <v>36865</v>
          </cell>
          <cell r="B93">
            <v>68.25</v>
          </cell>
          <cell r="C93">
            <v>31.75</v>
          </cell>
          <cell r="D93">
            <v>20</v>
          </cell>
          <cell r="E93">
            <v>1.7822423849643552</v>
          </cell>
          <cell r="F93">
            <v>7.125</v>
          </cell>
          <cell r="G93">
            <v>5.8598745305891597</v>
          </cell>
          <cell r="H93">
            <v>1.5645515552613194</v>
          </cell>
          <cell r="I93">
            <v>1.5645515552613194</v>
          </cell>
          <cell r="J93">
            <v>4.875</v>
          </cell>
          <cell r="K93">
            <v>8.25</v>
          </cell>
        </row>
        <row r="94">
          <cell r="A94">
            <v>36866</v>
          </cell>
          <cell r="B94">
            <v>71.938000000000002</v>
          </cell>
          <cell r="C94">
            <v>32.375</v>
          </cell>
          <cell r="D94">
            <v>22.625</v>
          </cell>
          <cell r="E94">
            <v>1.8003273322422257</v>
          </cell>
          <cell r="F94">
            <v>7.0625</v>
          </cell>
          <cell r="G94">
            <v>5.3754412250254697</v>
          </cell>
          <cell r="H94">
            <v>1.7208886002658681</v>
          </cell>
          <cell r="I94">
            <v>1.7208886002658681</v>
          </cell>
          <cell r="J94">
            <v>4.875</v>
          </cell>
          <cell r="K94">
            <v>7.875</v>
          </cell>
        </row>
        <row r="95">
          <cell r="A95">
            <v>36867</v>
          </cell>
          <cell r="B95">
            <v>72.875</v>
          </cell>
          <cell r="C95">
            <v>34.5625</v>
          </cell>
          <cell r="D95">
            <v>19.0625</v>
          </cell>
          <cell r="E95">
            <v>1.7983259220507457</v>
          </cell>
          <cell r="F95">
            <v>7.09375</v>
          </cell>
          <cell r="G95">
            <v>5.612296789875284</v>
          </cell>
          <cell r="H95">
            <v>1.7422311286676364</v>
          </cell>
          <cell r="I95">
            <v>1.7422311286676369</v>
          </cell>
          <cell r="J95">
            <v>4.8125</v>
          </cell>
          <cell r="K95">
            <v>7.875</v>
          </cell>
        </row>
        <row r="96">
          <cell r="A96">
            <v>36868</v>
          </cell>
          <cell r="B96">
            <v>73.063000000000002</v>
          </cell>
          <cell r="C96">
            <v>38.9375</v>
          </cell>
          <cell r="D96">
            <v>23.4375</v>
          </cell>
          <cell r="E96">
            <v>1.8101632438125328</v>
          </cell>
          <cell r="F96">
            <v>7.0625</v>
          </cell>
          <cell r="G96">
            <v>5.7352082919193581</v>
          </cell>
          <cell r="H96">
            <v>1.7447523116308872</v>
          </cell>
          <cell r="I96">
            <v>1.7447523116308876</v>
          </cell>
          <cell r="J96">
            <v>4.8125</v>
          </cell>
          <cell r="K96">
            <v>8</v>
          </cell>
        </row>
        <row r="97">
          <cell r="A97">
            <v>36871</v>
          </cell>
          <cell r="B97">
            <v>76.5</v>
          </cell>
          <cell r="C97">
            <v>42.375</v>
          </cell>
          <cell r="D97">
            <v>25.875</v>
          </cell>
          <cell r="E97">
            <v>1.8020969855832241</v>
          </cell>
          <cell r="F97">
            <v>7.1875</v>
          </cell>
          <cell r="G97">
            <v>7.1754096839972901</v>
          </cell>
          <cell r="H97">
            <v>1.6775610545998558</v>
          </cell>
          <cell r="I97">
            <v>1.6775610545998563</v>
          </cell>
          <cell r="J97">
            <v>4.75</v>
          </cell>
          <cell r="K97">
            <v>8.5</v>
          </cell>
        </row>
        <row r="98">
          <cell r="A98">
            <v>36872</v>
          </cell>
          <cell r="B98">
            <v>77.188000000000002</v>
          </cell>
          <cell r="C98">
            <v>40.25</v>
          </cell>
          <cell r="D98">
            <v>23.125</v>
          </cell>
          <cell r="E98">
            <v>1.8003273322422257</v>
          </cell>
          <cell r="F98">
            <v>7.1875</v>
          </cell>
          <cell r="G98">
            <v>5.9727915657064541</v>
          </cell>
          <cell r="H98">
            <v>1.6539509333683664</v>
          </cell>
          <cell r="I98">
            <v>1.6539509333683664</v>
          </cell>
          <cell r="J98">
            <v>4.9375</v>
          </cell>
          <cell r="K98">
            <v>8.25</v>
          </cell>
        </row>
        <row r="99">
          <cell r="A99">
            <v>36873</v>
          </cell>
          <cell r="B99">
            <v>74.5</v>
          </cell>
          <cell r="C99">
            <v>37.6875</v>
          </cell>
          <cell r="D99">
            <v>22.625</v>
          </cell>
          <cell r="E99">
            <v>1.8068331143232588</v>
          </cell>
          <cell r="F99">
            <v>7.125</v>
          </cell>
          <cell r="G99">
            <v>6.6832353740983441</v>
          </cell>
          <cell r="H99">
            <v>1.5824514872797075</v>
          </cell>
          <cell r="I99">
            <v>1.5824514872797075</v>
          </cell>
          <cell r="J99">
            <v>4.875</v>
          </cell>
          <cell r="K99">
            <v>8.125</v>
          </cell>
        </row>
        <row r="100">
          <cell r="A100">
            <v>36874</v>
          </cell>
          <cell r="B100">
            <v>76.5</v>
          </cell>
          <cell r="C100">
            <v>33.3125</v>
          </cell>
          <cell r="D100">
            <v>22.0625</v>
          </cell>
          <cell r="E100">
            <v>1.8121911037891267</v>
          </cell>
          <cell r="F100">
            <v>7.125</v>
          </cell>
          <cell r="G100">
            <v>6.3160225087648705</v>
          </cell>
          <cell r="H100">
            <v>1.6582040111740428</v>
          </cell>
          <cell r="I100">
            <v>1.658204011174043</v>
          </cell>
          <cell r="J100">
            <v>4.625</v>
          </cell>
          <cell r="K100">
            <v>8.1875</v>
          </cell>
          <cell r="L100">
            <v>13.125</v>
          </cell>
        </row>
        <row r="101">
          <cell r="A101">
            <v>36875</v>
          </cell>
          <cell r="B101">
            <v>77.563000000000002</v>
          </cell>
          <cell r="C101">
            <v>31.25</v>
          </cell>
          <cell r="D101">
            <v>19.875</v>
          </cell>
          <cell r="E101">
            <v>1.8104015799868336</v>
          </cell>
          <cell r="F101">
            <v>7.0625</v>
          </cell>
          <cell r="G101">
            <v>5.5965089824180136</v>
          </cell>
          <cell r="H101">
            <v>1.6519507510516966</v>
          </cell>
          <cell r="I101">
            <v>1.6519507510516969</v>
          </cell>
          <cell r="J101">
            <v>4.5</v>
          </cell>
          <cell r="K101">
            <v>8.25</v>
          </cell>
          <cell r="L101">
            <v>12.875</v>
          </cell>
        </row>
        <row r="102">
          <cell r="A102">
            <v>36878</v>
          </cell>
          <cell r="B102">
            <v>79.563000000000002</v>
          </cell>
          <cell r="C102">
            <v>27.9375</v>
          </cell>
          <cell r="D102">
            <v>18.5</v>
          </cell>
          <cell r="E102">
            <v>1.799738219895288</v>
          </cell>
          <cell r="F102">
            <v>7.25</v>
          </cell>
          <cell r="G102">
            <v>6.3644420521948391</v>
          </cell>
          <cell r="H102">
            <v>1.4982622859236998</v>
          </cell>
          <cell r="I102">
            <v>1.4982622859237</v>
          </cell>
          <cell r="J102">
            <v>4.5</v>
          </cell>
          <cell r="K102">
            <v>8.3125</v>
          </cell>
          <cell r="L102">
            <v>13.75</v>
          </cell>
        </row>
        <row r="103">
          <cell r="A103">
            <v>36879</v>
          </cell>
          <cell r="B103">
            <v>79.75</v>
          </cell>
          <cell r="C103">
            <v>22.8125</v>
          </cell>
          <cell r="D103">
            <v>17.625</v>
          </cell>
          <cell r="E103">
            <v>1.6414970453053186</v>
          </cell>
          <cell r="F103">
            <v>7.25</v>
          </cell>
          <cell r="G103">
            <v>5.9482707819414173</v>
          </cell>
          <cell r="H103">
            <v>1.6206359049870502</v>
          </cell>
          <cell r="I103">
            <v>1.6206359049870502</v>
          </cell>
          <cell r="J103">
            <v>4.625</v>
          </cell>
          <cell r="K103">
            <v>8</v>
          </cell>
          <cell r="L103">
            <v>13.688000000000001</v>
          </cell>
        </row>
        <row r="104">
          <cell r="A104">
            <v>36880</v>
          </cell>
          <cell r="B104">
            <v>79.75</v>
          </cell>
          <cell r="C104">
            <v>18.875</v>
          </cell>
          <cell r="D104">
            <v>15.25</v>
          </cell>
          <cell r="E104">
            <v>1.6414970453053186</v>
          </cell>
          <cell r="F104">
            <v>7.5</v>
          </cell>
          <cell r="G104">
            <v>5.5794913609718657</v>
          </cell>
          <cell r="H104">
            <v>1.6691441320188194</v>
          </cell>
          <cell r="I104">
            <v>1.6691441320188194</v>
          </cell>
          <cell r="J104">
            <v>4.4375</v>
          </cell>
          <cell r="K104">
            <v>8</v>
          </cell>
          <cell r="L104">
            <v>14.938000000000001</v>
          </cell>
        </row>
        <row r="105">
          <cell r="A105">
            <v>36881</v>
          </cell>
          <cell r="B105">
            <v>79.313000000000002</v>
          </cell>
          <cell r="C105">
            <v>19.8125</v>
          </cell>
          <cell r="D105">
            <v>16.9375</v>
          </cell>
          <cell r="E105">
            <v>1.6447368421052631</v>
          </cell>
          <cell r="F105">
            <v>7.5</v>
          </cell>
          <cell r="G105">
            <v>4.9833865544885354</v>
          </cell>
          <cell r="H105">
            <v>1.4762109765378695</v>
          </cell>
          <cell r="I105">
            <v>1.4762109765378695</v>
          </cell>
          <cell r="J105">
            <v>4.34375</v>
          </cell>
          <cell r="K105">
            <v>7.875</v>
          </cell>
          <cell r="L105">
            <v>16.5</v>
          </cell>
        </row>
        <row r="106">
          <cell r="A106">
            <v>36882</v>
          </cell>
          <cell r="B106">
            <v>81.188000000000002</v>
          </cell>
          <cell r="C106">
            <v>24.9375</v>
          </cell>
          <cell r="D106">
            <v>17.4375</v>
          </cell>
          <cell r="E106">
            <v>1.6463615409944024</v>
          </cell>
          <cell r="F106">
            <v>7.4375</v>
          </cell>
          <cell r="G106">
            <v>5.2171988717950839</v>
          </cell>
          <cell r="H106">
            <v>1.6151803860861966</v>
          </cell>
          <cell r="I106">
            <v>1.6151803860861969</v>
          </cell>
          <cell r="J106">
            <v>4.75</v>
          </cell>
          <cell r="K106">
            <v>8.25</v>
          </cell>
          <cell r="L106">
            <v>16.4375</v>
          </cell>
        </row>
        <row r="107">
          <cell r="A107">
            <v>36886</v>
          </cell>
          <cell r="B107">
            <v>83.5</v>
          </cell>
          <cell r="C107">
            <v>26.25</v>
          </cell>
          <cell r="D107">
            <v>20.375</v>
          </cell>
          <cell r="E107">
            <v>1.6463615409944024</v>
          </cell>
          <cell r="F107">
            <v>7.75</v>
          </cell>
          <cell r="G107">
            <v>6.1581972684112198</v>
          </cell>
          <cell r="H107">
            <v>1.5817003697159118</v>
          </cell>
          <cell r="I107">
            <v>1.581700369715912</v>
          </cell>
          <cell r="J107">
            <v>4.75</v>
          </cell>
          <cell r="K107">
            <v>8.375</v>
          </cell>
          <cell r="L107">
            <v>16.25</v>
          </cell>
        </row>
        <row r="108">
          <cell r="A108">
            <v>36887</v>
          </cell>
          <cell r="B108">
            <v>82.813000000000002</v>
          </cell>
          <cell r="C108">
            <v>25.25</v>
          </cell>
          <cell r="D108">
            <v>20.875</v>
          </cell>
          <cell r="E108">
            <v>1.6528925619834711</v>
          </cell>
          <cell r="F108">
            <v>7.75</v>
          </cell>
          <cell r="G108">
            <v>5.6890813099384818</v>
          </cell>
          <cell r="H108">
            <v>1.7533046970361272</v>
          </cell>
          <cell r="I108">
            <v>1.7533046970361275</v>
          </cell>
          <cell r="J108">
            <v>4.25</v>
          </cell>
          <cell r="K108">
            <v>8.4375</v>
          </cell>
          <cell r="L108">
            <v>17.25</v>
          </cell>
        </row>
        <row r="109">
          <cell r="A109">
            <v>36888</v>
          </cell>
          <cell r="B109">
            <v>84.625</v>
          </cell>
          <cell r="C109">
            <v>27.5</v>
          </cell>
          <cell r="D109">
            <v>24.5</v>
          </cell>
          <cell r="E109">
            <v>1.665001665001665</v>
          </cell>
          <cell r="F109">
            <v>7.9375</v>
          </cell>
          <cell r="G109">
            <v>5.6930356462311389</v>
          </cell>
          <cell r="H109">
            <v>2.8572894218396732</v>
          </cell>
          <cell r="I109">
            <v>2.8572894218396736</v>
          </cell>
          <cell r="J109">
            <v>4.5</v>
          </cell>
          <cell r="K109">
            <v>9.75</v>
          </cell>
          <cell r="L109">
            <v>18</v>
          </cell>
        </row>
        <row r="110">
          <cell r="A110">
            <v>36889</v>
          </cell>
          <cell r="B110">
            <v>83.125</v>
          </cell>
          <cell r="C110">
            <v>24.625</v>
          </cell>
          <cell r="D110">
            <v>21.9375</v>
          </cell>
          <cell r="E110">
            <v>1.6421439831844455</v>
          </cell>
          <cell r="F110">
            <v>7.875</v>
          </cell>
          <cell r="G110">
            <v>6.0460122072439226</v>
          </cell>
          <cell r="H110">
            <v>2.7149341420213089</v>
          </cell>
          <cell r="I110">
            <v>2.7149341420213093</v>
          </cell>
          <cell r="J110">
            <v>4.5</v>
          </cell>
          <cell r="K110">
            <v>9.625</v>
          </cell>
          <cell r="L110">
            <v>17.25</v>
          </cell>
        </row>
        <row r="111">
          <cell r="A111">
            <v>36893</v>
          </cell>
          <cell r="B111">
            <v>79.875</v>
          </cell>
          <cell r="C111">
            <v>23.25</v>
          </cell>
          <cell r="D111">
            <v>20</v>
          </cell>
          <cell r="E111">
            <v>1.6735841478109519</v>
          </cell>
          <cell r="F111">
            <v>7.5625</v>
          </cell>
          <cell r="G111">
            <v>6.0435838669188291</v>
          </cell>
          <cell r="H111">
            <v>2.2696239550238797</v>
          </cell>
          <cell r="I111">
            <v>2.2696239550238801</v>
          </cell>
          <cell r="J111">
            <v>4.25</v>
          </cell>
          <cell r="K111">
            <v>10.375</v>
          </cell>
          <cell r="L111">
            <v>17.25</v>
          </cell>
        </row>
        <row r="112">
          <cell r="A112">
            <v>36894</v>
          </cell>
          <cell r="B112">
            <v>75.063000000000002</v>
          </cell>
          <cell r="C112">
            <v>26</v>
          </cell>
          <cell r="D112">
            <v>20.5625</v>
          </cell>
          <cell r="E112">
            <v>1.6683350016683351</v>
          </cell>
          <cell r="F112">
            <v>7.375</v>
          </cell>
          <cell r="G112">
            <v>5.4501199301177188</v>
          </cell>
          <cell r="H112">
            <v>2.0972322709202476</v>
          </cell>
          <cell r="I112">
            <v>2.097232270920248</v>
          </cell>
          <cell r="J112">
            <v>4.625</v>
          </cell>
          <cell r="K112">
            <v>9.625</v>
          </cell>
          <cell r="L112">
            <v>16.9375</v>
          </cell>
        </row>
        <row r="113">
          <cell r="A113">
            <v>36895</v>
          </cell>
          <cell r="B113">
            <v>72</v>
          </cell>
          <cell r="C113">
            <v>24.9375</v>
          </cell>
          <cell r="D113">
            <v>19.9375</v>
          </cell>
          <cell r="E113">
            <v>1.6683350016683351</v>
          </cell>
          <cell r="F113">
            <v>7.375</v>
          </cell>
          <cell r="G113">
            <v>5.9085626117347649</v>
          </cell>
          <cell r="H113">
            <v>2.0535231483002558</v>
          </cell>
          <cell r="I113">
            <v>2.0535231483002558</v>
          </cell>
          <cell r="J113">
            <v>4.625</v>
          </cell>
          <cell r="K113">
            <v>9.625</v>
          </cell>
          <cell r="L113">
            <v>16.9375</v>
          </cell>
        </row>
        <row r="114">
          <cell r="A114">
            <v>36896</v>
          </cell>
          <cell r="B114">
            <v>71.375</v>
          </cell>
          <cell r="C114">
            <v>21.3125</v>
          </cell>
          <cell r="D114">
            <v>19.8125</v>
          </cell>
          <cell r="E114">
            <v>1.6666666666666667</v>
          </cell>
          <cell r="F114">
            <v>7.375</v>
          </cell>
          <cell r="G114">
            <v>5.833838234727537</v>
          </cell>
          <cell r="H114">
            <v>2.0314954359804234</v>
          </cell>
          <cell r="I114">
            <v>2.0314954359804238</v>
          </cell>
          <cell r="J114">
            <v>4.75</v>
          </cell>
          <cell r="K114">
            <v>9.875</v>
          </cell>
          <cell r="L114">
            <v>16.0625</v>
          </cell>
        </row>
        <row r="115">
          <cell r="A115">
            <v>36899</v>
          </cell>
          <cell r="B115">
            <v>71.25</v>
          </cell>
          <cell r="C115">
            <v>19.75</v>
          </cell>
          <cell r="D115">
            <v>20.25</v>
          </cell>
          <cell r="E115">
            <v>1.6728002676480429</v>
          </cell>
          <cell r="F115">
            <v>7.1875</v>
          </cell>
          <cell r="G115">
            <v>5.8856863307249592</v>
          </cell>
          <cell r="H115">
            <v>2.0635978248963629</v>
          </cell>
          <cell r="I115">
            <v>2.0635978248963629</v>
          </cell>
          <cell r="J115">
            <v>4.75</v>
          </cell>
          <cell r="K115">
            <v>10</v>
          </cell>
          <cell r="L115">
            <v>15.375</v>
          </cell>
        </row>
        <row r="116">
          <cell r="A116">
            <v>36900</v>
          </cell>
          <cell r="B116">
            <v>68.625</v>
          </cell>
          <cell r="C116">
            <v>26.1875</v>
          </cell>
          <cell r="D116">
            <v>20.5</v>
          </cell>
          <cell r="F116">
            <v>7.1875</v>
          </cell>
          <cell r="G116">
            <v>6.2551472601540778</v>
          </cell>
          <cell r="H116">
            <v>2.3424289733840973</v>
          </cell>
          <cell r="I116">
            <v>2.3424289733840977</v>
          </cell>
          <cell r="J116">
            <v>4.375</v>
          </cell>
          <cell r="L116">
            <v>15</v>
          </cell>
        </row>
        <row r="117">
          <cell r="A117">
            <v>36901</v>
          </cell>
          <cell r="B117">
            <v>68.938000000000002</v>
          </cell>
          <cell r="C117">
            <v>30.125</v>
          </cell>
          <cell r="D117">
            <v>20.125</v>
          </cell>
          <cell r="F117">
            <v>7.25</v>
          </cell>
          <cell r="G117">
            <v>6.0263400672358518</v>
          </cell>
          <cell r="H117">
            <v>2.3763160668635828</v>
          </cell>
          <cell r="I117">
            <v>2.3763160668635832</v>
          </cell>
          <cell r="J117">
            <v>4.375</v>
          </cell>
          <cell r="L117">
            <v>14.75</v>
          </cell>
        </row>
        <row r="118">
          <cell r="A118">
            <v>36902</v>
          </cell>
          <cell r="B118">
            <v>69.438000000000002</v>
          </cell>
          <cell r="C118">
            <v>35.5625</v>
          </cell>
          <cell r="D118">
            <v>22.75</v>
          </cell>
          <cell r="F118">
            <v>7.5</v>
          </cell>
          <cell r="G118">
            <v>6.5955019544926703</v>
          </cell>
          <cell r="H118">
            <v>2.7626275082766352</v>
          </cell>
          <cell r="I118">
            <v>2.7626275082766356</v>
          </cell>
          <cell r="J118">
            <v>4.375</v>
          </cell>
          <cell r="L118">
            <v>14.25</v>
          </cell>
        </row>
        <row r="119">
          <cell r="A119">
            <v>36903</v>
          </cell>
          <cell r="B119">
            <v>70.438000000000002</v>
          </cell>
          <cell r="C119">
            <v>37.125</v>
          </cell>
          <cell r="D119">
            <v>23.625</v>
          </cell>
          <cell r="F119">
            <v>7.4375</v>
          </cell>
          <cell r="G119">
            <v>6.8788591186730903</v>
          </cell>
          <cell r="H119">
            <v>2.8063467404881948</v>
          </cell>
          <cell r="I119">
            <v>2.8063467404881952</v>
          </cell>
          <cell r="J119">
            <v>4.625</v>
          </cell>
          <cell r="L119">
            <v>14.125</v>
          </cell>
        </row>
        <row r="120">
          <cell r="A120">
            <v>36907</v>
          </cell>
          <cell r="B120">
            <v>68.438000000000002</v>
          </cell>
          <cell r="C120">
            <v>33.9375</v>
          </cell>
          <cell r="D120">
            <v>27.625</v>
          </cell>
          <cell r="F120">
            <v>7.375</v>
          </cell>
          <cell r="G120">
            <v>6.6356592826173699</v>
          </cell>
          <cell r="H120">
            <v>2.9311873096763255</v>
          </cell>
          <cell r="I120">
            <v>2.9311873096763259</v>
          </cell>
          <cell r="J120">
            <v>4.75</v>
          </cell>
          <cell r="L120">
            <v>13.9375</v>
          </cell>
        </row>
        <row r="121">
          <cell r="A121">
            <v>36908</v>
          </cell>
          <cell r="B121">
            <v>71.125</v>
          </cell>
          <cell r="C121">
            <v>34.9375</v>
          </cell>
          <cell r="D121">
            <v>24</v>
          </cell>
          <cell r="F121">
            <v>7.5</v>
          </cell>
          <cell r="G121">
            <v>6.9868581748191225</v>
          </cell>
          <cell r="H121">
            <v>2.1699170671545702</v>
          </cell>
          <cell r="I121">
            <v>2.1699170671545707</v>
          </cell>
          <cell r="J121">
            <v>4.75</v>
          </cell>
          <cell r="L121">
            <v>14.375</v>
          </cell>
        </row>
        <row r="122">
          <cell r="A122">
            <v>36909</v>
          </cell>
          <cell r="B122">
            <v>72.063000000000002</v>
          </cell>
          <cell r="C122">
            <v>34.0625</v>
          </cell>
          <cell r="D122">
            <v>26.75</v>
          </cell>
          <cell r="F122">
            <v>7.625</v>
          </cell>
          <cell r="G122">
            <v>6.2530537939159787</v>
          </cell>
          <cell r="H122">
            <v>2.2245120770506888</v>
          </cell>
          <cell r="I122">
            <v>2.2245120770506888</v>
          </cell>
          <cell r="J122">
            <v>4.5</v>
          </cell>
          <cell r="L122">
            <v>14.375</v>
          </cell>
        </row>
        <row r="123">
          <cell r="A123">
            <v>36910</v>
          </cell>
          <cell r="B123">
            <v>70.875</v>
          </cell>
          <cell r="C123">
            <v>31.1875</v>
          </cell>
          <cell r="D123">
            <v>29.0625</v>
          </cell>
          <cell r="F123">
            <v>7.4375</v>
          </cell>
          <cell r="G123">
            <v>5.5459517196196755</v>
          </cell>
          <cell r="H123">
            <v>2.0857989386836935</v>
          </cell>
          <cell r="I123">
            <v>2.0857989386836939</v>
          </cell>
          <cell r="J123">
            <v>4.375</v>
          </cell>
          <cell r="L123">
            <v>14.5</v>
          </cell>
        </row>
        <row r="124">
          <cell r="A124">
            <v>36913</v>
          </cell>
          <cell r="B124">
            <v>75.0625</v>
          </cell>
          <cell r="C124">
            <v>28.875</v>
          </cell>
          <cell r="D124">
            <v>27.3125</v>
          </cell>
          <cell r="F124">
            <v>7.3125</v>
          </cell>
          <cell r="G124">
            <v>5.902411935909412</v>
          </cell>
          <cell r="H124">
            <v>2.0570799938372</v>
          </cell>
          <cell r="I124">
            <v>2.0570799938372004</v>
          </cell>
          <cell r="J124">
            <v>4.8125</v>
          </cell>
          <cell r="L124">
            <v>14.25</v>
          </cell>
        </row>
        <row r="125">
          <cell r="A125">
            <v>36914</v>
          </cell>
          <cell r="B125">
            <v>78.563000000000002</v>
          </cell>
          <cell r="C125">
            <v>37</v>
          </cell>
          <cell r="D125">
            <v>25.5</v>
          </cell>
          <cell r="F125">
            <v>7.1875</v>
          </cell>
          <cell r="G125">
            <v>6.2679448851932715</v>
          </cell>
          <cell r="H125">
            <v>2.0402348147332829</v>
          </cell>
          <cell r="I125">
            <v>2.0402348147332834</v>
          </cell>
          <cell r="J125">
            <v>5</v>
          </cell>
          <cell r="L125">
            <v>14.125</v>
          </cell>
        </row>
        <row r="126">
          <cell r="A126">
            <v>36915</v>
          </cell>
          <cell r="B126">
            <v>79.75</v>
          </cell>
          <cell r="C126">
            <v>33.4375</v>
          </cell>
          <cell r="D126">
            <v>24</v>
          </cell>
          <cell r="F126">
            <v>7.3125</v>
          </cell>
          <cell r="G126">
            <v>6.5077461294767041</v>
          </cell>
          <cell r="H126">
            <v>1.9733257231091157</v>
          </cell>
          <cell r="I126">
            <v>1.9733257231091159</v>
          </cell>
          <cell r="J126">
            <v>5</v>
          </cell>
          <cell r="L126">
            <v>14.3125</v>
          </cell>
        </row>
        <row r="127">
          <cell r="A127">
            <v>36916</v>
          </cell>
          <cell r="B127">
            <v>82</v>
          </cell>
          <cell r="C127">
            <v>31.625</v>
          </cell>
          <cell r="D127">
            <v>20</v>
          </cell>
          <cell r="F127">
            <v>7.25</v>
          </cell>
          <cell r="G127">
            <v>6.630986889355162</v>
          </cell>
          <cell r="H127">
            <v>1.9952322539154397</v>
          </cell>
          <cell r="I127">
            <v>1.9952322539154399</v>
          </cell>
          <cell r="J127">
            <v>5.0625</v>
          </cell>
          <cell r="L127">
            <v>14.125</v>
          </cell>
        </row>
        <row r="128">
          <cell r="A128">
            <v>36917</v>
          </cell>
          <cell r="B128">
            <v>82</v>
          </cell>
          <cell r="C128">
            <v>31.25</v>
          </cell>
          <cell r="D128">
            <v>23</v>
          </cell>
          <cell r="F128">
            <v>7.25</v>
          </cell>
          <cell r="G128">
            <v>6.8693711738126817</v>
          </cell>
          <cell r="H128">
            <v>2.0372206953941956</v>
          </cell>
          <cell r="I128">
            <v>2.0372206953941956</v>
          </cell>
          <cell r="J128">
            <v>5</v>
          </cell>
          <cell r="L128">
            <v>14.3125</v>
          </cell>
        </row>
        <row r="129">
          <cell r="A129">
            <v>36920</v>
          </cell>
          <cell r="B129">
            <v>80.77</v>
          </cell>
          <cell r="C129">
            <v>32</v>
          </cell>
          <cell r="D129">
            <v>22.875</v>
          </cell>
          <cell r="F129">
            <v>7.1875</v>
          </cell>
          <cell r="G129">
            <v>6.9898168168904204</v>
          </cell>
          <cell r="H129">
            <v>2.099980879133561</v>
          </cell>
          <cell r="I129">
            <v>2.099980879133561</v>
          </cell>
          <cell r="J129">
            <v>5</v>
          </cell>
          <cell r="L129">
            <v>14.75</v>
          </cell>
        </row>
        <row r="130">
          <cell r="A130">
            <v>36921</v>
          </cell>
          <cell r="B130">
            <v>78.5</v>
          </cell>
          <cell r="C130">
            <v>32.25</v>
          </cell>
          <cell r="D130">
            <v>25</v>
          </cell>
          <cell r="F130">
            <v>7.21875</v>
          </cell>
          <cell r="G130">
            <v>6.255634766344631</v>
          </cell>
          <cell r="H130">
            <v>1.8812225548594501</v>
          </cell>
          <cell r="I130">
            <v>1.8812225548594501</v>
          </cell>
          <cell r="J130">
            <v>5</v>
          </cell>
          <cell r="L130">
            <v>16</v>
          </cell>
        </row>
        <row r="131">
          <cell r="A131">
            <v>36922</v>
          </cell>
          <cell r="B131">
            <v>80</v>
          </cell>
          <cell r="C131">
            <v>35.5</v>
          </cell>
          <cell r="D131">
            <v>23.75</v>
          </cell>
          <cell r="F131">
            <v>7.8125</v>
          </cell>
          <cell r="G131">
            <v>6.1855024791776874</v>
          </cell>
          <cell r="H131">
            <v>2.2133836526168045</v>
          </cell>
          <cell r="I131">
            <v>2.2133836526168045</v>
          </cell>
          <cell r="J131">
            <v>5</v>
          </cell>
          <cell r="L131">
            <v>16.625</v>
          </cell>
        </row>
        <row r="132">
          <cell r="A132">
            <v>36923</v>
          </cell>
          <cell r="B132">
            <v>78.790000000000006</v>
          </cell>
          <cell r="C132">
            <v>35.8125</v>
          </cell>
          <cell r="D132">
            <v>22</v>
          </cell>
          <cell r="F132">
            <v>7.4375</v>
          </cell>
          <cell r="G132">
            <v>6.5990924617316837</v>
          </cell>
          <cell r="H132">
            <v>2.5261804354772051</v>
          </cell>
          <cell r="I132">
            <v>2.5261804354772055</v>
          </cell>
          <cell r="J132">
            <v>5.125</v>
          </cell>
          <cell r="L132">
            <v>16.25</v>
          </cell>
        </row>
        <row r="133">
          <cell r="A133">
            <v>36924</v>
          </cell>
          <cell r="B133">
            <v>79.98</v>
          </cell>
          <cell r="C133">
            <v>34.5</v>
          </cell>
          <cell r="D133">
            <v>20.5625</v>
          </cell>
          <cell r="F133">
            <v>7.75</v>
          </cell>
          <cell r="G133">
            <v>6.1294722740856757</v>
          </cell>
          <cell r="H133">
            <v>2.3602290088172122</v>
          </cell>
          <cell r="I133">
            <v>2.3602290088172122</v>
          </cell>
          <cell r="J133">
            <v>5.125</v>
          </cell>
          <cell r="L133">
            <v>16.625</v>
          </cell>
        </row>
        <row r="134">
          <cell r="A134">
            <v>36927</v>
          </cell>
          <cell r="B134">
            <v>81.81</v>
          </cell>
          <cell r="C134">
            <v>31.625</v>
          </cell>
          <cell r="D134">
            <v>20.5</v>
          </cell>
          <cell r="F134">
            <v>7.875</v>
          </cell>
          <cell r="G134">
            <v>6.7289934675967782</v>
          </cell>
          <cell r="H134">
            <v>2.4554619224159842</v>
          </cell>
          <cell r="I134">
            <v>2.4554619224159842</v>
          </cell>
          <cell r="J134">
            <v>5.375</v>
          </cell>
          <cell r="L134">
            <v>16.5</v>
          </cell>
        </row>
        <row r="135">
          <cell r="A135">
            <v>36928</v>
          </cell>
          <cell r="B135">
            <v>80.150000000000006</v>
          </cell>
          <cell r="C135">
            <v>31.125</v>
          </cell>
          <cell r="D135">
            <v>23.75</v>
          </cell>
          <cell r="F135">
            <v>8</v>
          </cell>
          <cell r="G135">
            <v>6.2533172439852613</v>
          </cell>
          <cell r="H135">
            <v>2.5351568879710666</v>
          </cell>
          <cell r="I135">
            <v>2.5351568879710666</v>
          </cell>
          <cell r="J135">
            <v>5.75</v>
          </cell>
          <cell r="L135">
            <v>16</v>
          </cell>
        </row>
        <row r="136">
          <cell r="A136">
            <v>36929</v>
          </cell>
          <cell r="B136">
            <v>80.349999999999994</v>
          </cell>
          <cell r="C136">
            <v>27.5625</v>
          </cell>
          <cell r="D136">
            <v>22.6875</v>
          </cell>
          <cell r="F136">
            <v>8</v>
          </cell>
          <cell r="G136">
            <v>6.0421327026879661</v>
          </cell>
          <cell r="H136">
            <v>2.6075636391280859</v>
          </cell>
          <cell r="I136">
            <v>2.6075636391280863</v>
          </cell>
          <cell r="J136">
            <v>5.5625</v>
          </cell>
          <cell r="L136">
            <v>15.875</v>
          </cell>
        </row>
        <row r="137">
          <cell r="A137">
            <v>36930</v>
          </cell>
          <cell r="B137">
            <v>80</v>
          </cell>
          <cell r="C137">
            <v>25.5</v>
          </cell>
          <cell r="D137">
            <v>21.3125</v>
          </cell>
          <cell r="F137">
            <v>8.1875</v>
          </cell>
          <cell r="G137">
            <v>5.8943830258087138</v>
          </cell>
          <cell r="H137">
            <v>2.5821102238383724</v>
          </cell>
          <cell r="I137">
            <v>2.5821102238383729</v>
          </cell>
          <cell r="J137">
            <v>5.4375</v>
          </cell>
          <cell r="L137">
            <v>16.25</v>
          </cell>
        </row>
        <row r="138">
          <cell r="A138">
            <v>36931</v>
          </cell>
          <cell r="B138">
            <v>80.2</v>
          </cell>
          <cell r="C138">
            <v>25.0625</v>
          </cell>
          <cell r="D138">
            <v>20</v>
          </cell>
          <cell r="F138">
            <v>8.25</v>
          </cell>
          <cell r="G138">
            <v>5.7071178057666909</v>
          </cell>
          <cell r="H138">
            <v>2.65255223406644</v>
          </cell>
          <cell r="I138">
            <v>2.6525522340664405</v>
          </cell>
          <cell r="J138">
            <v>5.4375</v>
          </cell>
          <cell r="L138">
            <v>15.6875</v>
          </cell>
        </row>
        <row r="139">
          <cell r="A139">
            <v>36934</v>
          </cell>
          <cell r="B139">
            <v>79.8</v>
          </cell>
          <cell r="C139">
            <v>23.875</v>
          </cell>
          <cell r="D139">
            <v>19.4375</v>
          </cell>
          <cell r="F139">
            <v>8.375</v>
          </cell>
          <cell r="G139">
            <v>5.5439673718800018</v>
          </cell>
          <cell r="H139">
            <v>2.6458290838380072</v>
          </cell>
          <cell r="I139">
            <v>2.6458290838380072</v>
          </cell>
          <cell r="J139">
            <v>5.625</v>
          </cell>
          <cell r="L139">
            <v>14.875</v>
          </cell>
        </row>
        <row r="140">
          <cell r="A140">
            <v>36935</v>
          </cell>
          <cell r="B140">
            <v>81.150000000000006</v>
          </cell>
          <cell r="C140">
            <v>20.75</v>
          </cell>
          <cell r="D140">
            <v>21.0625</v>
          </cell>
          <cell r="F140">
            <v>8.1875</v>
          </cell>
          <cell r="G140">
            <v>5.4735185020466339</v>
          </cell>
          <cell r="H140">
            <v>2.9378089784254766</v>
          </cell>
          <cell r="I140">
            <v>2.9378089784254771</v>
          </cell>
          <cell r="J140">
            <v>5.8125</v>
          </cell>
          <cell r="L140">
            <v>15</v>
          </cell>
        </row>
        <row r="141">
          <cell r="A141">
            <v>36936</v>
          </cell>
          <cell r="B141">
            <v>80</v>
          </cell>
          <cell r="C141">
            <v>19.875</v>
          </cell>
          <cell r="D141">
            <v>20.8125</v>
          </cell>
          <cell r="F141">
            <v>8.5</v>
          </cell>
          <cell r="G141">
            <v>5.3018538670398732</v>
          </cell>
          <cell r="H141">
            <v>2.8709000379734335</v>
          </cell>
          <cell r="I141">
            <v>2.870900037973434</v>
          </cell>
          <cell r="J141">
            <v>5.8125</v>
          </cell>
          <cell r="L141">
            <v>16.125</v>
          </cell>
        </row>
        <row r="142">
          <cell r="A142">
            <v>36937</v>
          </cell>
          <cell r="B142">
            <v>77.900000000000006</v>
          </cell>
          <cell r="C142">
            <v>22.5625</v>
          </cell>
          <cell r="D142">
            <v>20.5</v>
          </cell>
          <cell r="F142">
            <v>8.375</v>
          </cell>
          <cell r="G142">
            <v>5.2776592137661691</v>
          </cell>
          <cell r="H142">
            <v>2.7337031422806715</v>
          </cell>
          <cell r="I142">
            <v>2.7337031422806719</v>
          </cell>
          <cell r="J142">
            <v>6</v>
          </cell>
          <cell r="L142">
            <v>17</v>
          </cell>
        </row>
        <row r="143">
          <cell r="A143">
            <v>36938</v>
          </cell>
          <cell r="B143">
            <v>76.19</v>
          </cell>
          <cell r="C143">
            <v>20.625</v>
          </cell>
          <cell r="D143">
            <v>20.375</v>
          </cell>
          <cell r="F143">
            <v>8.4375</v>
          </cell>
          <cell r="G143">
            <v>5.1756746130571578</v>
          </cell>
          <cell r="H143">
            <v>2.6326436767633159</v>
          </cell>
          <cell r="I143">
            <v>2.6326436767633159</v>
          </cell>
          <cell r="J143">
            <v>6</v>
          </cell>
          <cell r="L143">
            <v>16.9375</v>
          </cell>
        </row>
        <row r="144">
          <cell r="A144">
            <v>36942</v>
          </cell>
          <cell r="B144">
            <v>75.09</v>
          </cell>
          <cell r="C144">
            <v>17.640625</v>
          </cell>
          <cell r="D144">
            <v>20.625</v>
          </cell>
          <cell r="F144">
            <v>8.25</v>
          </cell>
          <cell r="G144">
            <v>5.3497548177857022</v>
          </cell>
          <cell r="H144">
            <v>2.4164318629064239</v>
          </cell>
          <cell r="I144">
            <v>2.4164318629064239</v>
          </cell>
          <cell r="J144">
            <v>5.84375</v>
          </cell>
          <cell r="L144">
            <v>16.9375</v>
          </cell>
        </row>
        <row r="145">
          <cell r="A145">
            <v>36943</v>
          </cell>
          <cell r="B145">
            <v>73.09</v>
          </cell>
          <cell r="C145">
            <v>15.125</v>
          </cell>
          <cell r="D145">
            <v>20.375</v>
          </cell>
          <cell r="F145">
            <v>8.375</v>
          </cell>
          <cell r="G145">
            <v>5.2920242898519003</v>
          </cell>
          <cell r="H145">
            <v>2.6719606603064947</v>
          </cell>
          <cell r="I145">
            <v>2.6719606603064947</v>
          </cell>
          <cell r="J145">
            <v>5.875</v>
          </cell>
          <cell r="L145">
            <v>16.9375</v>
          </cell>
        </row>
        <row r="146">
          <cell r="A146">
            <v>36944</v>
          </cell>
          <cell r="B146">
            <v>72.150000000000006</v>
          </cell>
          <cell r="C146">
            <v>13.0625</v>
          </cell>
          <cell r="D146">
            <v>19.5</v>
          </cell>
          <cell r="F146">
            <v>8.0625</v>
          </cell>
          <cell r="G146">
            <v>4.8758683106020921</v>
          </cell>
          <cell r="H146">
            <v>2.6596689453850995</v>
          </cell>
          <cell r="I146">
            <v>2.6596689453850999</v>
          </cell>
          <cell r="J146">
            <v>5.875</v>
          </cell>
          <cell r="L146">
            <v>16.9375</v>
          </cell>
        </row>
        <row r="147">
          <cell r="A147">
            <v>36945</v>
          </cell>
          <cell r="B147">
            <v>71</v>
          </cell>
          <cell r="C147">
            <v>16.109375</v>
          </cell>
          <cell r="D147">
            <v>20.625</v>
          </cell>
          <cell r="F147">
            <v>7.875</v>
          </cell>
          <cell r="G147">
            <v>4.4037629028498984</v>
          </cell>
          <cell r="H147">
            <v>2.6440963155107453</v>
          </cell>
          <cell r="I147">
            <v>2.6440963155107453</v>
          </cell>
          <cell r="J147">
            <v>5.53125</v>
          </cell>
          <cell r="L147">
            <v>16.9375</v>
          </cell>
        </row>
        <row r="148">
          <cell r="A148">
            <v>36948</v>
          </cell>
          <cell r="B148">
            <v>70.56</v>
          </cell>
          <cell r="C148">
            <v>16.5625</v>
          </cell>
          <cell r="D148">
            <v>21.375</v>
          </cell>
          <cell r="F148">
            <v>7.46875</v>
          </cell>
          <cell r="G148">
            <v>4.4547249613430084</v>
          </cell>
          <cell r="H148">
            <v>2.0625913297302505</v>
          </cell>
          <cell r="I148">
            <v>2.0625913297302509</v>
          </cell>
          <cell r="J148">
            <v>5.6875</v>
          </cell>
          <cell r="L148">
            <v>16.625</v>
          </cell>
        </row>
        <row r="149">
          <cell r="A149">
            <v>36949</v>
          </cell>
          <cell r="B149">
            <v>70.040000000000006</v>
          </cell>
          <cell r="C149">
            <v>15.75</v>
          </cell>
          <cell r="D149">
            <v>21.5625</v>
          </cell>
          <cell r="F149">
            <v>7.125</v>
          </cell>
          <cell r="G149">
            <v>4.5679408718647112</v>
          </cell>
          <cell r="H149">
            <v>2.1054351445246153</v>
          </cell>
          <cell r="I149">
            <v>2.1054351445246158</v>
          </cell>
          <cell r="J149">
            <v>5.6875</v>
          </cell>
          <cell r="L149">
            <v>16.9375</v>
          </cell>
        </row>
        <row r="150">
          <cell r="A150">
            <v>36950</v>
          </cell>
          <cell r="B150">
            <v>68.5</v>
          </cell>
          <cell r="C150">
            <v>15.0625</v>
          </cell>
          <cell r="D150">
            <v>19.875</v>
          </cell>
          <cell r="F150">
            <v>7.125</v>
          </cell>
          <cell r="G150">
            <v>4.3302110859019134</v>
          </cell>
          <cell r="H150">
            <v>2.1893262095961865</v>
          </cell>
          <cell r="I150">
            <v>2.189326209596187</v>
          </cell>
          <cell r="J150">
            <v>5.5</v>
          </cell>
          <cell r="L150">
            <v>16.25</v>
          </cell>
        </row>
        <row r="151">
          <cell r="A151">
            <v>36951</v>
          </cell>
          <cell r="B151">
            <v>68.680000000000007</v>
          </cell>
          <cell r="C151">
            <v>16.25</v>
          </cell>
          <cell r="D151">
            <v>18.75</v>
          </cell>
          <cell r="F151">
            <v>7.125</v>
          </cell>
          <cell r="G151">
            <v>4.0414845288837773</v>
          </cell>
          <cell r="H151">
            <v>2.2565827814896915</v>
          </cell>
          <cell r="I151">
            <v>2.2565827814896919</v>
          </cell>
          <cell r="J151">
            <v>5.375</v>
          </cell>
          <cell r="L151">
            <v>17</v>
          </cell>
        </row>
        <row r="152">
          <cell r="A152">
            <v>36952</v>
          </cell>
          <cell r="B152">
            <v>70.19</v>
          </cell>
          <cell r="C152">
            <v>14.6875</v>
          </cell>
          <cell r="D152">
            <v>18</v>
          </cell>
          <cell r="F152">
            <v>7.375</v>
          </cell>
          <cell r="G152">
            <v>4.3340332640789958</v>
          </cell>
          <cell r="H152">
            <v>2.3118864355389941</v>
          </cell>
          <cell r="I152">
            <v>2.3118864355389945</v>
          </cell>
          <cell r="J152">
            <v>5.875</v>
          </cell>
          <cell r="L152">
            <v>16.8125</v>
          </cell>
        </row>
        <row r="153">
          <cell r="A153">
            <v>36955</v>
          </cell>
          <cell r="B153">
            <v>70.11</v>
          </cell>
          <cell r="C153">
            <v>14.375</v>
          </cell>
          <cell r="D153">
            <v>17.375</v>
          </cell>
          <cell r="F153">
            <v>7.5</v>
          </cell>
          <cell r="G153">
            <v>4.2770905579423859</v>
          </cell>
          <cell r="H153">
            <v>2.5574185620220518</v>
          </cell>
          <cell r="I153">
            <v>2.5574185620220518</v>
          </cell>
          <cell r="J153">
            <v>5.9375</v>
          </cell>
          <cell r="L153">
            <v>17</v>
          </cell>
        </row>
        <row r="154">
          <cell r="A154">
            <v>36956</v>
          </cell>
          <cell r="B154">
            <v>68.87</v>
          </cell>
          <cell r="C154">
            <v>14.0625</v>
          </cell>
          <cell r="D154">
            <v>18.25</v>
          </cell>
          <cell r="F154">
            <v>8.25</v>
          </cell>
          <cell r="G154">
            <v>4.4493155525014467</v>
          </cell>
          <cell r="H154">
            <v>2.5028611848907283</v>
          </cell>
          <cell r="I154">
            <v>2.5028611848907287</v>
          </cell>
          <cell r="J154">
            <v>6</v>
          </cell>
          <cell r="L154">
            <v>17</v>
          </cell>
        </row>
        <row r="155">
          <cell r="A155">
            <v>36957</v>
          </cell>
          <cell r="B155">
            <v>70</v>
          </cell>
          <cell r="C155">
            <v>14.375</v>
          </cell>
          <cell r="D155">
            <v>20.5</v>
          </cell>
          <cell r="F155">
            <v>8.375</v>
          </cell>
          <cell r="G155">
            <v>5.4953956686622893</v>
          </cell>
          <cell r="H155">
            <v>2.7525683632493725</v>
          </cell>
          <cell r="I155">
            <v>2.7525683632493729</v>
          </cell>
          <cell r="J155">
            <v>6</v>
          </cell>
          <cell r="L155">
            <v>16.75</v>
          </cell>
        </row>
        <row r="156">
          <cell r="A156">
            <v>36958</v>
          </cell>
          <cell r="B156">
            <v>70.59</v>
          </cell>
          <cell r="C156">
            <v>13.8125</v>
          </cell>
          <cell r="D156">
            <v>19.5</v>
          </cell>
          <cell r="F156">
            <v>8.1875</v>
          </cell>
          <cell r="G156">
            <v>5.6098320070050143</v>
          </cell>
          <cell r="H156">
            <v>2.8260163654724306</v>
          </cell>
          <cell r="I156">
            <v>2.8260163654724311</v>
          </cell>
          <cell r="J156">
            <v>6</v>
          </cell>
          <cell r="L156">
            <v>17.5</v>
          </cell>
        </row>
        <row r="157">
          <cell r="A157">
            <v>36959</v>
          </cell>
          <cell r="B157">
            <v>68.84</v>
          </cell>
          <cell r="C157">
            <v>13.9375</v>
          </cell>
          <cell r="D157">
            <v>18.75</v>
          </cell>
          <cell r="F157">
            <v>8.1875</v>
          </cell>
          <cell r="G157">
            <v>5.1428918983446046</v>
          </cell>
          <cell r="H157">
            <v>2.8586155579726116</v>
          </cell>
          <cell r="I157">
            <v>2.8586155579726116</v>
          </cell>
          <cell r="J157">
            <v>6</v>
          </cell>
          <cell r="L157">
            <v>17.875</v>
          </cell>
        </row>
        <row r="158">
          <cell r="A158">
            <v>36962</v>
          </cell>
          <cell r="B158">
            <v>61.27</v>
          </cell>
          <cell r="C158">
            <v>10.3125</v>
          </cell>
          <cell r="D158">
            <v>17.5625</v>
          </cell>
          <cell r="F158">
            <v>8.3125</v>
          </cell>
          <cell r="G158">
            <v>4.6702217882267902</v>
          </cell>
          <cell r="H158">
            <v>2.5504560589854597</v>
          </cell>
          <cell r="I158">
            <v>2.5504560589854601</v>
          </cell>
          <cell r="J158">
            <v>5.84375</v>
          </cell>
          <cell r="L158">
            <v>17.6875</v>
          </cell>
        </row>
        <row r="159">
          <cell r="A159">
            <v>36963</v>
          </cell>
          <cell r="B159">
            <v>62.05</v>
          </cell>
          <cell r="C159">
            <v>13.9375</v>
          </cell>
          <cell r="D159">
            <v>17.75</v>
          </cell>
          <cell r="F159">
            <v>8.4375</v>
          </cell>
          <cell r="G159">
            <v>3.8387553251777611</v>
          </cell>
          <cell r="H159">
            <v>2.5479736639857706</v>
          </cell>
          <cell r="I159">
            <v>2.5479736639857711</v>
          </cell>
          <cell r="J159">
            <v>5.6875</v>
          </cell>
          <cell r="L159">
            <v>17.5625</v>
          </cell>
        </row>
        <row r="160">
          <cell r="A160">
            <v>36964</v>
          </cell>
          <cell r="B160">
            <v>62.75</v>
          </cell>
          <cell r="C160">
            <v>13.5625</v>
          </cell>
          <cell r="D160">
            <v>17.125</v>
          </cell>
          <cell r="F160">
            <v>8.25</v>
          </cell>
          <cell r="G160">
            <v>3.87038288250247</v>
          </cell>
          <cell r="H160">
            <v>2.2556962529479399</v>
          </cell>
          <cell r="I160">
            <v>2.2556962529479403</v>
          </cell>
          <cell r="J160">
            <v>5.25</v>
          </cell>
          <cell r="L160">
            <v>17.125</v>
          </cell>
        </row>
        <row r="161">
          <cell r="A161">
            <v>36965</v>
          </cell>
          <cell r="B161">
            <v>66.53</v>
          </cell>
          <cell r="C161">
            <v>14.8125</v>
          </cell>
          <cell r="D161">
            <v>18.5</v>
          </cell>
          <cell r="F161">
            <v>8.375</v>
          </cell>
          <cell r="G161">
            <v>3.7343773352563261</v>
          </cell>
          <cell r="H161">
            <v>2.2407035463059071</v>
          </cell>
          <cell r="I161">
            <v>2.2407035463059075</v>
          </cell>
          <cell r="J161">
            <v>5.4375</v>
          </cell>
          <cell r="L161">
            <v>16.9375</v>
          </cell>
        </row>
        <row r="162">
          <cell r="A162">
            <v>36966</v>
          </cell>
          <cell r="B162">
            <v>62.24</v>
          </cell>
          <cell r="C162">
            <v>15.5</v>
          </cell>
          <cell r="D162">
            <v>17.75</v>
          </cell>
          <cell r="F162">
            <v>8.375</v>
          </cell>
          <cell r="G162">
            <v>3.1768234385331358</v>
          </cell>
          <cell r="H162">
            <v>2.2862332292208878</v>
          </cell>
          <cell r="I162">
            <v>2.2862332292208882</v>
          </cell>
          <cell r="J162">
            <v>5.3125</v>
          </cell>
          <cell r="L162">
            <v>16.875</v>
          </cell>
        </row>
        <row r="163">
          <cell r="A163">
            <v>36969</v>
          </cell>
          <cell r="B163">
            <v>61.8</v>
          </cell>
          <cell r="C163">
            <v>17.484375</v>
          </cell>
          <cell r="D163">
            <v>18</v>
          </cell>
          <cell r="F163">
            <v>8.375</v>
          </cell>
          <cell r="G163">
            <v>2.8012704979294401</v>
          </cell>
          <cell r="H163">
            <v>2.2867265741225458</v>
          </cell>
          <cell r="I163">
            <v>2.2867265741225458</v>
          </cell>
          <cell r="J163">
            <v>5.625</v>
          </cell>
          <cell r="L163">
            <v>17</v>
          </cell>
        </row>
        <row r="164">
          <cell r="A164">
            <v>36970</v>
          </cell>
          <cell r="B164">
            <v>60.95</v>
          </cell>
          <cell r="C164">
            <v>15.375</v>
          </cell>
          <cell r="D164">
            <v>18.5</v>
          </cell>
          <cell r="F164">
            <v>8.375</v>
          </cell>
          <cell r="G164">
            <v>3.064811618161094</v>
          </cell>
          <cell r="H164">
            <v>2.2745068050967419</v>
          </cell>
          <cell r="I164">
            <v>2.2745068050967419</v>
          </cell>
          <cell r="J164">
            <v>5.125</v>
          </cell>
          <cell r="L164">
            <v>17.25</v>
          </cell>
        </row>
        <row r="165">
          <cell r="A165">
            <v>36971</v>
          </cell>
          <cell r="B165">
            <v>55.89</v>
          </cell>
          <cell r="C165">
            <v>14.875</v>
          </cell>
          <cell r="D165">
            <v>17.1875</v>
          </cell>
          <cell r="F165">
            <v>8.125</v>
          </cell>
          <cell r="G165">
            <v>3.063484521023931</v>
          </cell>
          <cell r="H165">
            <v>2.2699609021044189</v>
          </cell>
          <cell r="I165">
            <v>2.2699609021044189</v>
          </cell>
          <cell r="J165">
            <v>5.0625</v>
          </cell>
          <cell r="L165">
            <v>17</v>
          </cell>
        </row>
        <row r="166">
          <cell r="A166">
            <v>36972</v>
          </cell>
          <cell r="B166">
            <v>55.02</v>
          </cell>
          <cell r="C166">
            <v>14.4375</v>
          </cell>
          <cell r="D166">
            <v>17.5</v>
          </cell>
          <cell r="F166">
            <v>8.1875</v>
          </cell>
          <cell r="G166">
            <v>3.6089256527873181</v>
          </cell>
          <cell r="H166">
            <v>2.2833831522016399</v>
          </cell>
          <cell r="I166">
            <v>2.2833831522016403</v>
          </cell>
          <cell r="J166">
            <v>5.125</v>
          </cell>
          <cell r="L166">
            <v>16.4375</v>
          </cell>
        </row>
        <row r="167">
          <cell r="A167">
            <v>36973</v>
          </cell>
          <cell r="B167">
            <v>59.4</v>
          </cell>
          <cell r="C167">
            <v>13.5</v>
          </cell>
          <cell r="D167">
            <v>18</v>
          </cell>
          <cell r="F167">
            <v>8.125</v>
          </cell>
          <cell r="G167">
            <v>3.0909181318857035</v>
          </cell>
          <cell r="H167">
            <v>2.1959396173644428</v>
          </cell>
          <cell r="I167">
            <v>2.1959396173644432</v>
          </cell>
          <cell r="J167">
            <v>5.4375</v>
          </cell>
          <cell r="L167">
            <v>17.4375</v>
          </cell>
        </row>
        <row r="168">
          <cell r="A168">
            <v>36976</v>
          </cell>
          <cell r="B168">
            <v>61.48</v>
          </cell>
          <cell r="C168">
            <v>13.421875</v>
          </cell>
          <cell r="D168">
            <v>18.375</v>
          </cell>
          <cell r="F168">
            <v>8.09375</v>
          </cell>
          <cell r="G168">
            <v>3.065302407500174</v>
          </cell>
          <cell r="H168">
            <v>1.7648348598575949</v>
          </cell>
          <cell r="I168">
            <v>1.7648348598575951</v>
          </cell>
          <cell r="J168">
            <v>5.5</v>
          </cell>
          <cell r="L168">
            <v>17</v>
          </cell>
        </row>
        <row r="169">
          <cell r="A169">
            <v>36977</v>
          </cell>
          <cell r="B169">
            <v>60.46</v>
          </cell>
          <cell r="C169">
            <v>12.3125</v>
          </cell>
          <cell r="D169">
            <v>19.875</v>
          </cell>
          <cell r="F169">
            <v>8.0625</v>
          </cell>
          <cell r="G169">
            <v>3.7406440374401533</v>
          </cell>
          <cell r="H169">
            <v>1.9065093317203059</v>
          </cell>
          <cell r="I169">
            <v>1.9065093317203059</v>
          </cell>
          <cell r="J169">
            <v>5.5</v>
          </cell>
          <cell r="L169">
            <v>18</v>
          </cell>
        </row>
        <row r="170">
          <cell r="A170">
            <v>36978</v>
          </cell>
          <cell r="B170">
            <v>58.1</v>
          </cell>
          <cell r="C170">
            <v>10.375</v>
          </cell>
          <cell r="D170">
            <v>19.8125</v>
          </cell>
          <cell r="F170">
            <v>8.3125</v>
          </cell>
          <cell r="G170">
            <v>3.6261375781101965</v>
          </cell>
          <cell r="H170">
            <v>1.7706647757950764</v>
          </cell>
          <cell r="I170">
            <v>1.7706647757950766</v>
          </cell>
          <cell r="J170">
            <v>5.5</v>
          </cell>
          <cell r="L170">
            <v>17.625</v>
          </cell>
        </row>
        <row r="171">
          <cell r="A171">
            <v>36979</v>
          </cell>
          <cell r="B171">
            <v>55.31</v>
          </cell>
          <cell r="C171">
            <v>9.6875</v>
          </cell>
          <cell r="D171">
            <v>19.4375</v>
          </cell>
          <cell r="F171">
            <v>8.3125</v>
          </cell>
          <cell r="G171">
            <v>3.9604321751432074</v>
          </cell>
          <cell r="H171">
            <v>1.6595806933098769</v>
          </cell>
          <cell r="I171">
            <v>1.6595806933098769</v>
          </cell>
          <cell r="J171">
            <v>5.4375</v>
          </cell>
          <cell r="L171">
            <v>19.1875</v>
          </cell>
        </row>
        <row r="172">
          <cell r="A172">
            <v>36980</v>
          </cell>
          <cell r="B172">
            <v>58.1</v>
          </cell>
          <cell r="C172">
            <v>8</v>
          </cell>
          <cell r="D172">
            <v>20.3125</v>
          </cell>
          <cell r="F172">
            <v>8.40625</v>
          </cell>
          <cell r="G172">
            <v>3.503023746448624</v>
          </cell>
          <cell r="H172">
            <v>1.8181706897765029</v>
          </cell>
          <cell r="I172">
            <v>1.8181706897765029</v>
          </cell>
          <cell r="J172">
            <v>5.25</v>
          </cell>
          <cell r="L172">
            <v>20.9375</v>
          </cell>
        </row>
        <row r="173">
          <cell r="A173">
            <v>36981</v>
          </cell>
          <cell r="B173">
            <v>58.1</v>
          </cell>
          <cell r="C173">
            <v>8</v>
          </cell>
          <cell r="D173">
            <v>20.3125</v>
          </cell>
          <cell r="F173">
            <v>8.40625</v>
          </cell>
          <cell r="G173">
            <v>3.503023746448624</v>
          </cell>
          <cell r="H173">
            <v>1.8181706897765029</v>
          </cell>
          <cell r="I173">
            <v>1.8181706897765029</v>
          </cell>
          <cell r="J173">
            <v>5.25</v>
          </cell>
          <cell r="L173">
            <v>20.9375</v>
          </cell>
        </row>
        <row r="174">
          <cell r="A174">
            <v>36983</v>
          </cell>
          <cell r="B174">
            <v>56.57</v>
          </cell>
          <cell r="C174">
            <v>8.8125</v>
          </cell>
          <cell r="D174">
            <v>18.9375</v>
          </cell>
          <cell r="F174">
            <v>8.25</v>
          </cell>
          <cell r="G174">
            <v>3.229547182031443</v>
          </cell>
          <cell r="H174">
            <v>1.6904337078600156</v>
          </cell>
          <cell r="I174">
            <v>1.6904337078600156</v>
          </cell>
          <cell r="J174">
            <v>5.1875</v>
          </cell>
          <cell r="L174">
            <v>19.5625</v>
          </cell>
        </row>
        <row r="175">
          <cell r="A175">
            <v>36984</v>
          </cell>
          <cell r="B175">
            <v>54.06</v>
          </cell>
          <cell r="C175">
            <v>8.8125</v>
          </cell>
          <cell r="D175">
            <v>17.25</v>
          </cell>
          <cell r="F175">
            <v>8.21875</v>
          </cell>
          <cell r="G175">
            <v>2.9492999869609569</v>
          </cell>
          <cell r="H175">
            <v>1.4976840746673115</v>
          </cell>
          <cell r="I175">
            <v>1.4976840746673115</v>
          </cell>
          <cell r="J175">
            <v>5.125</v>
          </cell>
          <cell r="L175">
            <v>19.5625</v>
          </cell>
        </row>
        <row r="176">
          <cell r="A176">
            <v>36985</v>
          </cell>
          <cell r="B176">
            <v>53.72</v>
          </cell>
          <cell r="C176">
            <v>8.28125</v>
          </cell>
          <cell r="D176">
            <v>16.375</v>
          </cell>
          <cell r="F176">
            <v>8.25</v>
          </cell>
          <cell r="G176">
            <v>3.3018173042170926</v>
          </cell>
          <cell r="H176">
            <v>1.5131552331119151</v>
          </cell>
          <cell r="I176">
            <v>1.5131552331119151</v>
          </cell>
          <cell r="J176">
            <v>4.96875</v>
          </cell>
          <cell r="L176">
            <v>17.125</v>
          </cell>
        </row>
        <row r="177">
          <cell r="A177">
            <v>36986</v>
          </cell>
          <cell r="B177">
            <v>55.7</v>
          </cell>
          <cell r="C177">
            <v>9.5625</v>
          </cell>
          <cell r="D177">
            <v>17.75</v>
          </cell>
          <cell r="F177">
            <v>8.3125</v>
          </cell>
          <cell r="G177">
            <v>3.2822679657291811</v>
          </cell>
          <cell r="H177">
            <v>1.6030707920647109</v>
          </cell>
          <cell r="I177">
            <v>1.6030707920647109</v>
          </cell>
          <cell r="J177">
            <v>5.03125</v>
          </cell>
          <cell r="L177">
            <v>16.6875</v>
          </cell>
        </row>
        <row r="178">
          <cell r="A178">
            <v>36987</v>
          </cell>
          <cell r="B178">
            <v>53.5</v>
          </cell>
          <cell r="C178">
            <v>8</v>
          </cell>
          <cell r="D178">
            <v>19.125</v>
          </cell>
          <cell r="F178">
            <v>8.5</v>
          </cell>
          <cell r="G178">
            <v>3.2674522310399965</v>
          </cell>
          <cell r="H178">
            <v>1.662892412133159</v>
          </cell>
          <cell r="I178">
            <v>1.662892412133159</v>
          </cell>
          <cell r="J178">
            <v>5.125</v>
          </cell>
          <cell r="L178">
            <v>17.125</v>
          </cell>
        </row>
        <row r="179">
          <cell r="A179">
            <v>36990</v>
          </cell>
          <cell r="B179">
            <v>55.96</v>
          </cell>
          <cell r="C179">
            <v>8.5500000000000007</v>
          </cell>
          <cell r="D179">
            <v>18.62</v>
          </cell>
          <cell r="F179">
            <v>8.5</v>
          </cell>
          <cell r="G179">
            <v>3.1545998891114828</v>
          </cell>
          <cell r="H179">
            <v>1.7946949298810504</v>
          </cell>
          <cell r="I179">
            <v>1.7946949298810508</v>
          </cell>
          <cell r="J179">
            <v>5.3</v>
          </cell>
          <cell r="L179">
            <v>16.850000000000001</v>
          </cell>
        </row>
        <row r="180">
          <cell r="A180">
            <v>36991</v>
          </cell>
          <cell r="B180">
            <v>58.82</v>
          </cell>
          <cell r="C180">
            <v>11.24</v>
          </cell>
          <cell r="D180">
            <v>19.57</v>
          </cell>
          <cell r="F180">
            <v>8.7200000000000006</v>
          </cell>
          <cell r="G180">
            <v>3.4566714155116887</v>
          </cell>
          <cell r="H180">
            <v>1.8472428783037369</v>
          </cell>
          <cell r="I180">
            <v>1.8472428783037373</v>
          </cell>
          <cell r="J180">
            <v>5</v>
          </cell>
          <cell r="L180">
            <v>17.12</v>
          </cell>
        </row>
        <row r="181">
          <cell r="A181">
            <v>36992</v>
          </cell>
          <cell r="B181">
            <v>58.51</v>
          </cell>
          <cell r="C181">
            <v>11.23</v>
          </cell>
          <cell r="D181">
            <v>20.170000000000002</v>
          </cell>
          <cell r="F181">
            <v>8.51</v>
          </cell>
          <cell r="G181">
            <v>4.1738358004761666</v>
          </cell>
          <cell r="H181">
            <v>1.7657483306524575</v>
          </cell>
          <cell r="I181">
            <v>1.7657483306524577</v>
          </cell>
          <cell r="J181">
            <v>5</v>
          </cell>
          <cell r="L181">
            <v>15.88</v>
          </cell>
        </row>
        <row r="182">
          <cell r="A182">
            <v>36993</v>
          </cell>
          <cell r="B182">
            <v>57.3</v>
          </cell>
          <cell r="C182">
            <v>12.75</v>
          </cell>
          <cell r="D182">
            <v>20.41</v>
          </cell>
          <cell r="F182">
            <v>8.4</v>
          </cell>
          <cell r="G182">
            <v>4.2648952610578652</v>
          </cell>
          <cell r="H182">
            <v>2.0310753558113701</v>
          </cell>
          <cell r="I182">
            <v>2.0310753558113701</v>
          </cell>
          <cell r="J182">
            <v>5</v>
          </cell>
          <cell r="L182">
            <v>16</v>
          </cell>
        </row>
        <row r="183">
          <cell r="A183">
            <v>36997</v>
          </cell>
          <cell r="B183">
            <v>59.44</v>
          </cell>
          <cell r="C183">
            <v>12.29</v>
          </cell>
          <cell r="D183">
            <v>19.829999999999998</v>
          </cell>
          <cell r="F183">
            <v>8.5</v>
          </cell>
          <cell r="G183">
            <v>4.1604400417473952</v>
          </cell>
          <cell r="H183">
            <v>2.3076400004465127</v>
          </cell>
          <cell r="I183">
            <v>2.3076400004465132</v>
          </cell>
          <cell r="J183">
            <v>5</v>
          </cell>
          <cell r="L183">
            <v>16</v>
          </cell>
        </row>
        <row r="184">
          <cell r="A184">
            <v>36998</v>
          </cell>
          <cell r="B184">
            <v>60</v>
          </cell>
          <cell r="C184">
            <v>12.81</v>
          </cell>
          <cell r="D184">
            <v>21.5</v>
          </cell>
          <cell r="F184">
            <v>8.4</v>
          </cell>
          <cell r="G184">
            <v>4.051489621888436</v>
          </cell>
          <cell r="H184">
            <v>2.3092931535073844</v>
          </cell>
          <cell r="I184">
            <v>2.3092931535073844</v>
          </cell>
          <cell r="J184">
            <v>5</v>
          </cell>
          <cell r="L184">
            <v>16.059999999999999</v>
          </cell>
        </row>
        <row r="185">
          <cell r="A185">
            <v>36999</v>
          </cell>
          <cell r="B185">
            <v>61.62</v>
          </cell>
          <cell r="C185">
            <v>14.3</v>
          </cell>
          <cell r="D185">
            <v>23.05</v>
          </cell>
          <cell r="F185">
            <v>8.35</v>
          </cell>
          <cell r="G185">
            <v>4.0545560624198203</v>
          </cell>
          <cell r="H185">
            <v>2.2861988552963197</v>
          </cell>
          <cell r="I185">
            <v>2.2861988552963202</v>
          </cell>
          <cell r="J185">
            <v>5.15</v>
          </cell>
          <cell r="L185">
            <v>16</v>
          </cell>
        </row>
        <row r="186">
          <cell r="A186">
            <v>37000</v>
          </cell>
          <cell r="B186">
            <v>61.16</v>
          </cell>
          <cell r="C186">
            <v>14.86</v>
          </cell>
          <cell r="D186">
            <v>20.260000000000002</v>
          </cell>
          <cell r="F186">
            <v>8.5</v>
          </cell>
          <cell r="G186">
            <v>4.1197238357658481</v>
          </cell>
          <cell r="H186">
            <v>2.1193994178584434</v>
          </cell>
          <cell r="I186">
            <v>2.1193994178584439</v>
          </cell>
          <cell r="J186">
            <v>5</v>
          </cell>
          <cell r="L186">
            <v>15.6</v>
          </cell>
        </row>
        <row r="187">
          <cell r="A187">
            <v>37001</v>
          </cell>
          <cell r="B187">
            <v>59.99</v>
          </cell>
          <cell r="C187">
            <v>14.07</v>
          </cell>
          <cell r="D187">
            <v>21.5</v>
          </cell>
          <cell r="F187">
            <v>8.5</v>
          </cell>
          <cell r="G187">
            <v>4.1184391451692601</v>
          </cell>
          <cell r="H187">
            <v>1.9818291486453321</v>
          </cell>
          <cell r="I187">
            <v>1.9818291486453326</v>
          </cell>
          <cell r="J187">
            <v>4.99</v>
          </cell>
          <cell r="L187">
            <v>14.5</v>
          </cell>
        </row>
        <row r="188">
          <cell r="A188">
            <v>37004</v>
          </cell>
          <cell r="B188">
            <v>61.65</v>
          </cell>
          <cell r="C188">
            <v>11.54</v>
          </cell>
          <cell r="D188">
            <v>21</v>
          </cell>
          <cell r="F188">
            <v>8.4</v>
          </cell>
          <cell r="G188">
            <v>4.1530223319584492</v>
          </cell>
          <cell r="H188">
            <v>1.966325696566376</v>
          </cell>
          <cell r="I188">
            <v>1.9663256965663762</v>
          </cell>
          <cell r="J188">
            <v>5.22</v>
          </cell>
          <cell r="L188">
            <v>14.8</v>
          </cell>
        </row>
        <row r="189">
          <cell r="A189">
            <v>37005</v>
          </cell>
          <cell r="B189">
            <v>61.87</v>
          </cell>
          <cell r="C189">
            <v>11.37</v>
          </cell>
          <cell r="D189">
            <v>20.420000000000002</v>
          </cell>
          <cell r="F189">
            <v>8.0500000000000007</v>
          </cell>
          <cell r="G189">
            <v>4.0705817539141229</v>
          </cell>
          <cell r="H189">
            <v>2.135995475318694</v>
          </cell>
          <cell r="I189">
            <v>2.1359954753186945</v>
          </cell>
          <cell r="J189">
            <v>5.2</v>
          </cell>
          <cell r="L189">
            <v>14.75</v>
          </cell>
        </row>
        <row r="190">
          <cell r="A190">
            <v>37006</v>
          </cell>
          <cell r="B190">
            <v>62.88</v>
          </cell>
          <cell r="C190">
            <v>11.37</v>
          </cell>
          <cell r="D190">
            <v>21.31</v>
          </cell>
          <cell r="F190">
            <v>7.95</v>
          </cell>
          <cell r="G190">
            <v>4.0775650161222821</v>
          </cell>
          <cell r="H190">
            <v>2.2155825146100159</v>
          </cell>
          <cell r="I190">
            <v>2.2155825146100159</v>
          </cell>
          <cell r="J190">
            <v>5.23</v>
          </cell>
          <cell r="L190">
            <v>15.25</v>
          </cell>
        </row>
        <row r="191">
          <cell r="A191">
            <v>37007</v>
          </cell>
          <cell r="B191">
            <v>63.66</v>
          </cell>
          <cell r="C191">
            <v>10.32</v>
          </cell>
          <cell r="D191">
            <v>22.45</v>
          </cell>
          <cell r="F191">
            <v>7.95</v>
          </cell>
          <cell r="G191">
            <v>4.1797934781772099</v>
          </cell>
          <cell r="H191">
            <v>2.261236281582272</v>
          </cell>
          <cell r="I191">
            <v>2.2612362815822724</v>
          </cell>
          <cell r="J191">
            <v>5.22</v>
          </cell>
          <cell r="L191">
            <v>14.9</v>
          </cell>
        </row>
        <row r="192">
          <cell r="A192">
            <v>37008</v>
          </cell>
          <cell r="B192">
            <v>63.5</v>
          </cell>
          <cell r="C192">
            <v>10.08</v>
          </cell>
          <cell r="D192">
            <v>22.78</v>
          </cell>
          <cell r="F192">
            <v>7.93</v>
          </cell>
          <cell r="G192">
            <v>4.1915969194361251</v>
          </cell>
          <cell r="H192">
            <v>2.2435354275092529</v>
          </cell>
          <cell r="I192">
            <v>2.2435354275092534</v>
          </cell>
          <cell r="J192">
            <v>5.51</v>
          </cell>
          <cell r="L192">
            <v>15.52</v>
          </cell>
        </row>
        <row r="193">
          <cell r="A193">
            <v>37011</v>
          </cell>
          <cell r="B193">
            <v>62.72</v>
          </cell>
          <cell r="C193">
            <v>10.1</v>
          </cell>
          <cell r="D193">
            <v>22.35</v>
          </cell>
          <cell r="F193">
            <v>8.0500000000000007</v>
          </cell>
          <cell r="G193">
            <v>3.9728845347462252</v>
          </cell>
          <cell r="H193">
            <v>2.2311393129462251</v>
          </cell>
          <cell r="I193">
            <v>2.2311393129462256</v>
          </cell>
          <cell r="J193">
            <v>5.77</v>
          </cell>
          <cell r="L193">
            <v>16.5</v>
          </cell>
        </row>
        <row r="194">
          <cell r="A194">
            <v>37012</v>
          </cell>
          <cell r="B194">
            <v>62.41</v>
          </cell>
          <cell r="C194">
            <v>11.51</v>
          </cell>
          <cell r="D194">
            <v>25.36</v>
          </cell>
          <cell r="F194">
            <v>8</v>
          </cell>
          <cell r="G194">
            <v>4.3342941197279847</v>
          </cell>
          <cell r="H194">
            <v>2.2515229540276613</v>
          </cell>
          <cell r="I194">
            <v>2.2515229540276613</v>
          </cell>
          <cell r="J194">
            <v>5.79</v>
          </cell>
          <cell r="L194">
            <v>16</v>
          </cell>
        </row>
        <row r="195">
          <cell r="A195">
            <v>37013</v>
          </cell>
          <cell r="B195">
            <v>60.5</v>
          </cell>
          <cell r="C195">
            <v>13.99</v>
          </cell>
          <cell r="D195">
            <v>24.59</v>
          </cell>
          <cell r="F195">
            <v>8</v>
          </cell>
          <cell r="G195">
            <v>4.1878373017578472</v>
          </cell>
          <cell r="H195">
            <v>2.0850100664507241</v>
          </cell>
          <cell r="I195">
            <v>2.0850100664507245</v>
          </cell>
          <cell r="J195">
            <v>5.55</v>
          </cell>
          <cell r="L195">
            <v>17.22</v>
          </cell>
        </row>
        <row r="196">
          <cell r="A196">
            <v>37014</v>
          </cell>
          <cell r="B196">
            <v>58.35</v>
          </cell>
          <cell r="C196">
            <v>14.65</v>
          </cell>
          <cell r="D196">
            <v>24.16</v>
          </cell>
          <cell r="F196">
            <v>7.89</v>
          </cell>
          <cell r="G196">
            <v>3.9900184767917781</v>
          </cell>
          <cell r="H196">
            <v>2.0663534841728746</v>
          </cell>
          <cell r="I196">
            <v>2.066353484172875</v>
          </cell>
          <cell r="J196">
            <v>5.56</v>
          </cell>
          <cell r="L196">
            <v>17.05</v>
          </cell>
        </row>
        <row r="197">
          <cell r="A197">
            <v>37015</v>
          </cell>
          <cell r="B197">
            <v>59.48</v>
          </cell>
          <cell r="C197">
            <v>14.98</v>
          </cell>
          <cell r="D197">
            <v>24.6</v>
          </cell>
          <cell r="F197">
            <v>7.96</v>
          </cell>
          <cell r="G197">
            <v>3.9286522995330593</v>
          </cell>
          <cell r="H197">
            <v>2.0874148665473995</v>
          </cell>
          <cell r="I197">
            <v>2.0874148665473999</v>
          </cell>
          <cell r="J197">
            <v>5.56</v>
          </cell>
          <cell r="L197">
            <v>17</v>
          </cell>
        </row>
        <row r="198">
          <cell r="A198">
            <v>37018</v>
          </cell>
          <cell r="B198">
            <v>58.04</v>
          </cell>
          <cell r="C198">
            <v>14.64</v>
          </cell>
          <cell r="D198">
            <v>24.65</v>
          </cell>
          <cell r="F198">
            <v>7.88</v>
          </cell>
          <cell r="G198">
            <v>3.9990376155877927</v>
          </cell>
          <cell r="H198">
            <v>2.1371104195793542</v>
          </cell>
          <cell r="I198">
            <v>2.1371104195793547</v>
          </cell>
          <cell r="J198">
            <v>5.6</v>
          </cell>
          <cell r="L198">
            <v>16.149999999999999</v>
          </cell>
        </row>
        <row r="199">
          <cell r="A199">
            <v>37019</v>
          </cell>
          <cell r="B199">
            <v>56.11</v>
          </cell>
          <cell r="C199">
            <v>14.25</v>
          </cell>
          <cell r="D199">
            <v>24.2</v>
          </cell>
          <cell r="F199">
            <v>7.9</v>
          </cell>
          <cell r="G199">
            <v>3.752263900114809</v>
          </cell>
          <cell r="H199">
            <v>2.1173610990757172</v>
          </cell>
          <cell r="I199">
            <v>2.1173610990757177</v>
          </cell>
          <cell r="J199">
            <v>5.6</v>
          </cell>
          <cell r="L199">
            <v>16.399999999999999</v>
          </cell>
        </row>
        <row r="200">
          <cell r="A200">
            <v>37020</v>
          </cell>
          <cell r="B200">
            <v>59.2</v>
          </cell>
          <cell r="C200">
            <v>13.51</v>
          </cell>
          <cell r="D200">
            <v>25.65</v>
          </cell>
          <cell r="F200">
            <v>7.91</v>
          </cell>
          <cell r="G200">
            <v>3.8306737839421889</v>
          </cell>
          <cell r="H200">
            <v>2.0238847910115938</v>
          </cell>
          <cell r="I200">
            <v>2.0238847910115942</v>
          </cell>
          <cell r="J200">
            <v>5.79</v>
          </cell>
          <cell r="L200">
            <v>18</v>
          </cell>
        </row>
        <row r="201">
          <cell r="A201">
            <v>37021</v>
          </cell>
          <cell r="B201">
            <v>57.6</v>
          </cell>
          <cell r="C201">
            <v>12.86</v>
          </cell>
          <cell r="D201">
            <v>25.8</v>
          </cell>
          <cell r="F201">
            <v>7.91</v>
          </cell>
          <cell r="G201">
            <v>3.8018473886509416</v>
          </cell>
          <cell r="H201">
            <v>2.1148808845909128</v>
          </cell>
          <cell r="I201">
            <v>2.1148808845909128</v>
          </cell>
          <cell r="J201">
            <v>5.6</v>
          </cell>
          <cell r="L201">
            <v>17.95</v>
          </cell>
        </row>
        <row r="202">
          <cell r="A202">
            <v>37022</v>
          </cell>
          <cell r="B202">
            <v>58.2</v>
          </cell>
          <cell r="C202">
            <v>13.59</v>
          </cell>
          <cell r="D202">
            <v>26.66</v>
          </cell>
          <cell r="F202">
            <v>7.92</v>
          </cell>
          <cell r="G202">
            <v>3.7296239070341608</v>
          </cell>
          <cell r="H202">
            <v>2.2122049610743706</v>
          </cell>
          <cell r="I202">
            <v>2.212204961074371</v>
          </cell>
          <cell r="J202">
            <v>5.55</v>
          </cell>
          <cell r="L202">
            <v>17.399999999999999</v>
          </cell>
        </row>
        <row r="203">
          <cell r="A203">
            <v>37025</v>
          </cell>
          <cell r="B203">
            <v>58.75</v>
          </cell>
          <cell r="C203">
            <v>12.62</v>
          </cell>
          <cell r="D203">
            <v>26.1</v>
          </cell>
          <cell r="F203">
            <v>7.87</v>
          </cell>
          <cell r="G203">
            <v>3.8123205977415378</v>
          </cell>
          <cell r="H203">
            <v>2.2182877179304663</v>
          </cell>
          <cell r="I203">
            <v>2.2182877179304663</v>
          </cell>
          <cell r="J203">
            <v>5.6</v>
          </cell>
          <cell r="L203">
            <v>17.850000000000001</v>
          </cell>
        </row>
        <row r="204">
          <cell r="A204">
            <v>37026</v>
          </cell>
          <cell r="B204">
            <v>56.99</v>
          </cell>
          <cell r="C204">
            <v>11.54</v>
          </cell>
          <cell r="D204">
            <v>26.17</v>
          </cell>
          <cell r="F204">
            <v>7.95</v>
          </cell>
          <cell r="G204">
            <v>3.9753241503330283</v>
          </cell>
          <cell r="H204">
            <v>2.9821846312101052</v>
          </cell>
          <cell r="I204">
            <v>2.9821846312101052</v>
          </cell>
          <cell r="J204">
            <v>5.6</v>
          </cell>
          <cell r="L204">
            <v>17.899999999999999</v>
          </cell>
        </row>
        <row r="205">
          <cell r="A205">
            <v>37027</v>
          </cell>
          <cell r="B205">
            <v>55.01</v>
          </cell>
          <cell r="C205">
            <v>12.4</v>
          </cell>
          <cell r="D205">
            <v>27.12</v>
          </cell>
          <cell r="F205">
            <v>8</v>
          </cell>
          <cell r="G205">
            <v>4.1653116441080478</v>
          </cell>
          <cell r="H205">
            <v>2.7684888341283393</v>
          </cell>
          <cell r="I205">
            <v>2.7684888341283398</v>
          </cell>
          <cell r="J205">
            <v>5.5</v>
          </cell>
          <cell r="L205">
            <v>18.2</v>
          </cell>
        </row>
        <row r="206">
          <cell r="A206">
            <v>37028</v>
          </cell>
          <cell r="B206">
            <v>52.2</v>
          </cell>
          <cell r="C206">
            <v>12.4</v>
          </cell>
          <cell r="D206">
            <v>28.75</v>
          </cell>
          <cell r="F206">
            <v>8.0500000000000007</v>
          </cell>
          <cell r="G206">
            <v>4.2982278958111211</v>
          </cell>
          <cell r="H206">
            <v>2.8171155919609494</v>
          </cell>
          <cell r="I206">
            <v>2.8171155919609503</v>
          </cell>
          <cell r="J206">
            <v>5.47</v>
          </cell>
          <cell r="L206">
            <v>19.350000000000001</v>
          </cell>
        </row>
        <row r="207">
          <cell r="A207">
            <v>37029</v>
          </cell>
          <cell r="B207">
            <v>54.9</v>
          </cell>
          <cell r="C207">
            <v>12.79</v>
          </cell>
          <cell r="D207">
            <v>29.95</v>
          </cell>
          <cell r="F207">
            <v>8.19</v>
          </cell>
          <cell r="G207">
            <v>4.2797933631535612</v>
          </cell>
          <cell r="H207">
            <v>3.3327043376110903</v>
          </cell>
          <cell r="I207">
            <v>3.3327043376110908</v>
          </cell>
          <cell r="J207">
            <v>5.5</v>
          </cell>
          <cell r="L207">
            <v>20.46</v>
          </cell>
        </row>
        <row r="208">
          <cell r="A208">
            <v>37032</v>
          </cell>
          <cell r="B208">
            <v>54.99</v>
          </cell>
          <cell r="C208">
            <v>13.7</v>
          </cell>
          <cell r="D208">
            <v>29.13</v>
          </cell>
          <cell r="F208">
            <v>8.2799999999999994</v>
          </cell>
          <cell r="G208">
            <v>4.27721649720469</v>
          </cell>
          <cell r="H208">
            <v>3.4151416541838926</v>
          </cell>
          <cell r="I208">
            <v>3.4151416541838935</v>
          </cell>
          <cell r="J208">
            <v>5.5</v>
          </cell>
          <cell r="L208">
            <v>21.8</v>
          </cell>
        </row>
        <row r="209">
          <cell r="A209">
            <v>37033</v>
          </cell>
          <cell r="B209">
            <v>54.95</v>
          </cell>
          <cell r="C209">
            <v>14.57</v>
          </cell>
          <cell r="D209">
            <v>28.05</v>
          </cell>
          <cell r="F209">
            <v>8.4499999999999993</v>
          </cell>
          <cell r="G209">
            <v>4.2191170599222865</v>
          </cell>
          <cell r="H209">
            <v>3.2574388945915147</v>
          </cell>
          <cell r="I209">
            <v>3.2574388945915151</v>
          </cell>
          <cell r="J209">
            <v>5.51</v>
          </cell>
          <cell r="L209">
            <v>20.79</v>
          </cell>
        </row>
        <row r="210">
          <cell r="A210">
            <v>37034</v>
          </cell>
          <cell r="B210">
            <v>55.35</v>
          </cell>
          <cell r="C210">
            <v>13.62</v>
          </cell>
          <cell r="D210">
            <v>24.94</v>
          </cell>
          <cell r="F210">
            <v>8.5500000000000007</v>
          </cell>
          <cell r="G210">
            <v>4.0590760406882085</v>
          </cell>
          <cell r="H210">
            <v>3.1185347979273734</v>
          </cell>
          <cell r="I210">
            <v>3.118534797927373</v>
          </cell>
          <cell r="J210">
            <v>5.75</v>
          </cell>
          <cell r="L210">
            <v>19.809999999999999</v>
          </cell>
        </row>
        <row r="211">
          <cell r="A211">
            <v>37035</v>
          </cell>
          <cell r="B211">
            <v>54.16</v>
          </cell>
          <cell r="C211">
            <v>13.94</v>
          </cell>
          <cell r="D211">
            <v>26.4</v>
          </cell>
          <cell r="F211">
            <v>8.5500000000000007</v>
          </cell>
          <cell r="G211">
            <v>4.0376975529376908</v>
          </cell>
          <cell r="H211">
            <v>3.1390453075893165</v>
          </cell>
          <cell r="I211">
            <v>3.1390453075893165</v>
          </cell>
          <cell r="J211">
            <v>6</v>
          </cell>
          <cell r="L211">
            <v>19.75</v>
          </cell>
        </row>
        <row r="212">
          <cell r="A212">
            <v>37036</v>
          </cell>
          <cell r="B212">
            <v>53</v>
          </cell>
          <cell r="C212">
            <v>13.27</v>
          </cell>
          <cell r="D212">
            <v>27.3</v>
          </cell>
          <cell r="F212">
            <v>8.74</v>
          </cell>
          <cell r="G212">
            <v>3.9896057425156592</v>
          </cell>
          <cell r="H212">
            <v>3.1677562318328576</v>
          </cell>
          <cell r="I212">
            <v>3.1677562318328576</v>
          </cell>
          <cell r="J212">
            <v>6.59</v>
          </cell>
          <cell r="L212">
            <v>20.98</v>
          </cell>
        </row>
        <row r="213">
          <cell r="A213">
            <v>37040</v>
          </cell>
          <cell r="B213">
            <v>53.05</v>
          </cell>
          <cell r="C213">
            <v>11.42</v>
          </cell>
          <cell r="D213">
            <v>27.36</v>
          </cell>
          <cell r="F213">
            <v>8.6</v>
          </cell>
          <cell r="G213">
            <v>3.8887759299719744</v>
          </cell>
          <cell r="H213">
            <v>3.0861905659630557</v>
          </cell>
          <cell r="I213">
            <v>3.0861905659630562</v>
          </cell>
          <cell r="J213">
            <v>6.68</v>
          </cell>
          <cell r="L213">
            <v>20.75</v>
          </cell>
        </row>
        <row r="214">
          <cell r="A214">
            <v>37041</v>
          </cell>
          <cell r="B214">
            <v>53.23</v>
          </cell>
          <cell r="C214">
            <v>10.11</v>
          </cell>
          <cell r="D214">
            <v>24.03</v>
          </cell>
          <cell r="F214">
            <v>8.19</v>
          </cell>
          <cell r="G214">
            <v>3.8245097313026095</v>
          </cell>
          <cell r="H214">
            <v>2.1664458289082846</v>
          </cell>
          <cell r="I214">
            <v>2.1664458289082851</v>
          </cell>
          <cell r="J214">
            <v>6.3</v>
          </cell>
          <cell r="L214">
            <v>19.47</v>
          </cell>
        </row>
        <row r="215">
          <cell r="A215">
            <v>37042</v>
          </cell>
          <cell r="B215">
            <v>52.91</v>
          </cell>
          <cell r="C215">
            <v>10.130000000000001</v>
          </cell>
          <cell r="D215">
            <v>24.45</v>
          </cell>
          <cell r="F215">
            <v>8.14</v>
          </cell>
          <cell r="G215">
            <v>3.6158082572534083</v>
          </cell>
          <cell r="H215">
            <v>2.4250599066710681</v>
          </cell>
          <cell r="I215">
            <v>2.4250599066710685</v>
          </cell>
          <cell r="J215">
            <v>6.34</v>
          </cell>
          <cell r="L215">
            <v>19.25</v>
          </cell>
        </row>
        <row r="216">
          <cell r="A216">
            <v>37043</v>
          </cell>
          <cell r="B216">
            <v>53.04</v>
          </cell>
          <cell r="C216">
            <v>10.18</v>
          </cell>
          <cell r="D216">
            <v>24.9</v>
          </cell>
          <cell r="F216">
            <v>7.95</v>
          </cell>
          <cell r="G216">
            <v>3.0479830801003791</v>
          </cell>
          <cell r="H216">
            <v>2.5673450476294928</v>
          </cell>
          <cell r="I216">
            <v>2.5673450476294932</v>
          </cell>
          <cell r="J216">
            <v>6.33</v>
          </cell>
          <cell r="L216">
            <v>19.2</v>
          </cell>
        </row>
        <row r="217">
          <cell r="A217">
            <v>37046</v>
          </cell>
          <cell r="B217">
            <v>54.54</v>
          </cell>
          <cell r="C217">
            <v>10.35</v>
          </cell>
          <cell r="D217">
            <v>22.68</v>
          </cell>
          <cell r="F217">
            <v>8.0500000000000007</v>
          </cell>
          <cell r="G217">
            <v>3.4743524796174081</v>
          </cell>
          <cell r="H217">
            <v>2.6317208365078897</v>
          </cell>
          <cell r="I217">
            <v>2.6317208365078901</v>
          </cell>
          <cell r="J217">
            <v>6.5</v>
          </cell>
          <cell r="L217">
            <v>19.95</v>
          </cell>
        </row>
        <row r="218">
          <cell r="A218">
            <v>37047</v>
          </cell>
          <cell r="B218">
            <v>53.75</v>
          </cell>
          <cell r="C218">
            <v>10.99</v>
          </cell>
          <cell r="D218">
            <v>24.87</v>
          </cell>
          <cell r="F218">
            <v>8</v>
          </cell>
          <cell r="G218">
            <v>3.6726135797846116</v>
          </cell>
          <cell r="H218">
            <v>2.9619019274875242</v>
          </cell>
          <cell r="I218">
            <v>2.9619019274875242</v>
          </cell>
          <cell r="J218">
            <v>6.45</v>
          </cell>
          <cell r="L218">
            <v>20.37</v>
          </cell>
        </row>
        <row r="219">
          <cell r="A219">
            <v>37048</v>
          </cell>
          <cell r="B219">
            <v>52.33</v>
          </cell>
          <cell r="C219">
            <v>10.210000000000001</v>
          </cell>
          <cell r="D219">
            <v>25.9</v>
          </cell>
          <cell r="F219">
            <v>7.85</v>
          </cell>
          <cell r="G219">
            <v>3.2625215690985954</v>
          </cell>
          <cell r="H219">
            <v>3.230221877233689</v>
          </cell>
          <cell r="I219">
            <v>3.2302218772336895</v>
          </cell>
          <cell r="J219">
            <v>6.35</v>
          </cell>
          <cell r="L219">
            <v>20.350000000000001</v>
          </cell>
        </row>
        <row r="220">
          <cell r="A220">
            <v>37049</v>
          </cell>
          <cell r="B220">
            <v>50.52</v>
          </cell>
          <cell r="C220">
            <v>10.32</v>
          </cell>
          <cell r="D220">
            <v>24.83</v>
          </cell>
          <cell r="F220">
            <v>7.83</v>
          </cell>
          <cell r="G220">
            <v>3.2736269582456576</v>
          </cell>
          <cell r="H220">
            <v>3.1185198650354149</v>
          </cell>
          <cell r="I220">
            <v>3.1185198650354153</v>
          </cell>
          <cell r="J220">
            <v>6.73</v>
          </cell>
          <cell r="L220">
            <v>20.9</v>
          </cell>
        </row>
        <row r="221">
          <cell r="A221">
            <v>37050</v>
          </cell>
          <cell r="B221">
            <v>51.13</v>
          </cell>
          <cell r="C221">
            <v>9.24</v>
          </cell>
          <cell r="D221">
            <v>22.97</v>
          </cell>
          <cell r="F221">
            <v>7.85</v>
          </cell>
          <cell r="G221">
            <v>3.552050911566186</v>
          </cell>
          <cell r="H221">
            <v>3.1321062277455027</v>
          </cell>
          <cell r="I221">
            <v>3.1321062277455036</v>
          </cell>
          <cell r="J221">
            <v>6.63</v>
          </cell>
          <cell r="L221">
            <v>21.1</v>
          </cell>
        </row>
        <row r="222">
          <cell r="A222">
            <v>37053</v>
          </cell>
          <cell r="B222">
            <v>51</v>
          </cell>
          <cell r="C222">
            <v>8.8000000000000007</v>
          </cell>
          <cell r="D222">
            <v>22</v>
          </cell>
          <cell r="F222">
            <v>7.9</v>
          </cell>
          <cell r="G222">
            <v>3.1328249184432826</v>
          </cell>
          <cell r="H222">
            <v>3.2172486158727107</v>
          </cell>
          <cell r="I222">
            <v>3.2172486158727112</v>
          </cell>
          <cell r="J222">
            <v>6.6</v>
          </cell>
          <cell r="L222">
            <v>20.61</v>
          </cell>
        </row>
        <row r="223">
          <cell r="A223">
            <v>37054</v>
          </cell>
          <cell r="B223">
            <v>50.37</v>
          </cell>
          <cell r="C223">
            <v>8.52</v>
          </cell>
          <cell r="D223">
            <v>20.95</v>
          </cell>
          <cell r="F223">
            <v>8</v>
          </cell>
          <cell r="G223">
            <v>3.1021089136416142</v>
          </cell>
          <cell r="H223">
            <v>2.8879027685488192</v>
          </cell>
          <cell r="I223">
            <v>2.8879027685488192</v>
          </cell>
          <cell r="J223">
            <v>6.67</v>
          </cell>
          <cell r="L223">
            <v>19.649999999999999</v>
          </cell>
        </row>
        <row r="224">
          <cell r="A224">
            <v>37055</v>
          </cell>
          <cell r="B224">
            <v>49.92</v>
          </cell>
          <cell r="C224">
            <v>8</v>
          </cell>
          <cell r="D224">
            <v>19.75</v>
          </cell>
          <cell r="F224">
            <v>8</v>
          </cell>
          <cell r="G224">
            <v>3.0900129103568683</v>
          </cell>
          <cell r="H224">
            <v>2.575803306223222</v>
          </cell>
          <cell r="I224">
            <v>2.575803306223222</v>
          </cell>
          <cell r="J224">
            <v>6.7</v>
          </cell>
          <cell r="L224">
            <v>19</v>
          </cell>
        </row>
        <row r="225">
          <cell r="A225">
            <v>37056</v>
          </cell>
          <cell r="B225">
            <v>47.91</v>
          </cell>
          <cell r="C225">
            <v>7.44</v>
          </cell>
          <cell r="D225">
            <v>19.079999999999998</v>
          </cell>
          <cell r="F225">
            <v>7.79</v>
          </cell>
          <cell r="G225">
            <v>2.9354501459142415</v>
          </cell>
          <cell r="H225">
            <v>2.575986947495172</v>
          </cell>
          <cell r="I225">
            <v>2.575986947495172</v>
          </cell>
          <cell r="J225">
            <v>6.47</v>
          </cell>
          <cell r="L225">
            <v>17.899999999999999</v>
          </cell>
        </row>
        <row r="226">
          <cell r="A226">
            <v>37057</v>
          </cell>
          <cell r="B226">
            <v>47.26</v>
          </cell>
          <cell r="C226">
            <v>6.84</v>
          </cell>
          <cell r="D226">
            <v>20.95</v>
          </cell>
          <cell r="F226">
            <v>8</v>
          </cell>
          <cell r="G226">
            <v>3.1882017206076543</v>
          </cell>
          <cell r="H226">
            <v>2.679636942092269</v>
          </cell>
          <cell r="I226">
            <v>2.679636942092269</v>
          </cell>
          <cell r="J226">
            <v>6.31</v>
          </cell>
          <cell r="L226">
            <v>17.239999999999998</v>
          </cell>
        </row>
        <row r="227">
          <cell r="A227">
            <v>37060</v>
          </cell>
          <cell r="B227">
            <v>44.7</v>
          </cell>
          <cell r="C227">
            <v>6.05</v>
          </cell>
          <cell r="D227">
            <v>19.02</v>
          </cell>
          <cell r="F227">
            <v>7.6</v>
          </cell>
          <cell r="G227">
            <v>3.0076506316145335</v>
          </cell>
          <cell r="H227">
            <v>2.2986457276839594</v>
          </cell>
          <cell r="I227">
            <v>2.2986457276839598</v>
          </cell>
          <cell r="J227">
            <v>6.07</v>
          </cell>
          <cell r="L227">
            <v>17.010000000000002</v>
          </cell>
        </row>
        <row r="228">
          <cell r="A228">
            <v>37061</v>
          </cell>
          <cell r="B228">
            <v>46.18</v>
          </cell>
          <cell r="C228">
            <v>5.17</v>
          </cell>
          <cell r="D228">
            <v>18.25</v>
          </cell>
          <cell r="F228">
            <v>7.65</v>
          </cell>
          <cell r="G228">
            <v>2.8344279591404566</v>
          </cell>
          <cell r="H228">
            <v>2.041799355368878</v>
          </cell>
          <cell r="I228">
            <v>2.041799355368878</v>
          </cell>
          <cell r="J228">
            <v>6.15</v>
          </cell>
          <cell r="L228">
            <v>16.600000000000001</v>
          </cell>
        </row>
        <row r="229">
          <cell r="A229">
            <v>37062</v>
          </cell>
          <cell r="B229">
            <v>45.8</v>
          </cell>
          <cell r="C229">
            <v>5.33</v>
          </cell>
          <cell r="D229">
            <v>15.5</v>
          </cell>
          <cell r="F229">
            <v>7.55</v>
          </cell>
          <cell r="G229">
            <v>2.4083559878813716</v>
          </cell>
          <cell r="H229">
            <v>1.9104754924314489</v>
          </cell>
          <cell r="I229">
            <v>1.9104754924314491</v>
          </cell>
          <cell r="J229">
            <v>6.15</v>
          </cell>
          <cell r="L229">
            <v>17.07</v>
          </cell>
        </row>
        <row r="230">
          <cell r="A230">
            <v>37063</v>
          </cell>
          <cell r="B230">
            <v>44.05</v>
          </cell>
          <cell r="C230">
            <v>6.97</v>
          </cell>
          <cell r="D230">
            <v>17.579999999999998</v>
          </cell>
          <cell r="F230">
            <v>7.6</v>
          </cell>
          <cell r="G230">
            <v>2.3683366676231676</v>
          </cell>
          <cell r="H230">
            <v>1.6709943124066229</v>
          </cell>
          <cell r="I230">
            <v>1.6709943124066233</v>
          </cell>
          <cell r="J230">
            <v>6</v>
          </cell>
          <cell r="L230">
            <v>17.07</v>
          </cell>
        </row>
        <row r="231">
          <cell r="A231">
            <v>37064</v>
          </cell>
          <cell r="B231">
            <v>44.88</v>
          </cell>
          <cell r="C231">
            <v>6.9</v>
          </cell>
          <cell r="D231">
            <v>18.47</v>
          </cell>
          <cell r="F231">
            <v>7.52</v>
          </cell>
          <cell r="G231">
            <v>2.1184338409859582</v>
          </cell>
          <cell r="H231">
            <v>1.631437786352919</v>
          </cell>
          <cell r="I231">
            <v>1.631437786352919</v>
          </cell>
          <cell r="J231">
            <v>6.28</v>
          </cell>
          <cell r="L231">
            <v>16.649999999999999</v>
          </cell>
        </row>
        <row r="232">
          <cell r="A232">
            <v>37067</v>
          </cell>
          <cell r="B232">
            <v>44.07</v>
          </cell>
          <cell r="C232">
            <v>7.45</v>
          </cell>
          <cell r="D232">
            <v>19.73</v>
          </cell>
          <cell r="F232">
            <v>7.64</v>
          </cell>
          <cell r="G232">
            <v>2.0749424411316233</v>
          </cell>
          <cell r="H232">
            <v>1.928185050259924</v>
          </cell>
          <cell r="I232">
            <v>1.928185050259924</v>
          </cell>
          <cell r="J232">
            <v>6.15</v>
          </cell>
          <cell r="L232">
            <v>16</v>
          </cell>
        </row>
        <row r="233">
          <cell r="A233">
            <v>37068</v>
          </cell>
          <cell r="B233">
            <v>44.19</v>
          </cell>
          <cell r="C233">
            <v>7.7</v>
          </cell>
          <cell r="D233">
            <v>17.05</v>
          </cell>
          <cell r="F233">
            <v>7.5</v>
          </cell>
          <cell r="G233">
            <v>2.9008108737788851</v>
          </cell>
          <cell r="H233">
            <v>1.7109495437622129</v>
          </cell>
          <cell r="I233">
            <v>1.7109495437622133</v>
          </cell>
          <cell r="J233">
            <v>6.2</v>
          </cell>
          <cell r="L233">
            <v>17.25</v>
          </cell>
        </row>
        <row r="234">
          <cell r="A234">
            <v>37069</v>
          </cell>
          <cell r="B234">
            <v>46.72</v>
          </cell>
          <cell r="C234">
            <v>7.5</v>
          </cell>
          <cell r="D234">
            <v>15.76</v>
          </cell>
          <cell r="F234">
            <v>7.53</v>
          </cell>
          <cell r="G234">
            <v>3.1014971501611792</v>
          </cell>
          <cell r="H234">
            <v>1.6322815550306968</v>
          </cell>
          <cell r="I234">
            <v>1.6322815550306966E-6</v>
          </cell>
          <cell r="J234">
            <v>6.26</v>
          </cell>
          <cell r="L234">
            <v>17.12</v>
          </cell>
        </row>
        <row r="235">
          <cell r="A235">
            <v>37070</v>
          </cell>
          <cell r="B235">
            <v>48.34</v>
          </cell>
          <cell r="C235">
            <v>7.98</v>
          </cell>
          <cell r="D235">
            <v>15.98</v>
          </cell>
          <cell r="F235">
            <v>6.66</v>
          </cell>
          <cell r="G235">
            <v>3.1110595784602673</v>
          </cell>
          <cell r="H235">
            <v>1.6427224051843146</v>
          </cell>
          <cell r="I235">
            <v>1.6427224051843146E-6</v>
          </cell>
          <cell r="J235">
            <v>6.16</v>
          </cell>
          <cell r="L235">
            <v>17.25</v>
          </cell>
        </row>
        <row r="236">
          <cell r="A236">
            <v>37071</v>
          </cell>
          <cell r="B236">
            <v>49.1</v>
          </cell>
          <cell r="C236">
            <v>8.57</v>
          </cell>
          <cell r="D236">
            <v>16.68</v>
          </cell>
          <cell r="F236">
            <v>6.55</v>
          </cell>
          <cell r="G236">
            <v>3.1150347075357376</v>
          </cell>
          <cell r="H236">
            <v>1.6435454094753994</v>
          </cell>
          <cell r="I236">
            <v>1.6435454094753997E-6</v>
          </cell>
          <cell r="J236">
            <v>6.25</v>
          </cell>
          <cell r="L236">
            <v>21.7</v>
          </cell>
        </row>
        <row r="237">
          <cell r="A237">
            <v>37083</v>
          </cell>
          <cell r="B237">
            <v>49.1</v>
          </cell>
          <cell r="C237">
            <v>6.78</v>
          </cell>
          <cell r="D237">
            <v>14.86</v>
          </cell>
          <cell r="F237">
            <v>6.75</v>
          </cell>
          <cell r="G237">
            <v>3.0889599221573838</v>
          </cell>
          <cell r="H237">
            <v>1.5935661880426313</v>
          </cell>
          <cell r="I237">
            <v>1.5935661880426314E-6</v>
          </cell>
          <cell r="J237">
            <v>6</v>
          </cell>
          <cell r="L237">
            <v>18.28</v>
          </cell>
        </row>
        <row r="238">
          <cell r="A238">
            <v>37084</v>
          </cell>
          <cell r="B238">
            <v>49.55</v>
          </cell>
          <cell r="C238">
            <v>7.12</v>
          </cell>
          <cell r="D238">
            <v>14.9</v>
          </cell>
          <cell r="F238">
            <v>6.95</v>
          </cell>
          <cell r="G238">
            <v>3.0859413666065429</v>
          </cell>
          <cell r="H238">
            <v>1.588937079581866</v>
          </cell>
          <cell r="I238">
            <v>1.5889370795818664E-6</v>
          </cell>
          <cell r="J238">
            <v>5.97</v>
          </cell>
          <cell r="L238">
            <v>18.760000000000002</v>
          </cell>
        </row>
        <row r="239">
          <cell r="A239">
            <v>37085</v>
          </cell>
          <cell r="B239">
            <v>48.78</v>
          </cell>
          <cell r="C239">
            <v>6.86</v>
          </cell>
          <cell r="D239">
            <v>13.61</v>
          </cell>
          <cell r="F239">
            <v>6.95</v>
          </cell>
          <cell r="G239">
            <v>3.0880348190494771</v>
          </cell>
          <cell r="H239">
            <v>1.5905997965438661</v>
          </cell>
          <cell r="I239">
            <v>1.5905997965438663E-6</v>
          </cell>
          <cell r="J239">
            <v>6.1</v>
          </cell>
          <cell r="L239">
            <v>19.45</v>
          </cell>
        </row>
        <row r="240">
          <cell r="A240">
            <v>37088</v>
          </cell>
          <cell r="B240">
            <v>49.12</v>
          </cell>
          <cell r="C240">
            <v>6.51</v>
          </cell>
          <cell r="D240">
            <v>14.1</v>
          </cell>
          <cell r="F240">
            <v>6.9</v>
          </cell>
          <cell r="G240">
            <v>3.0832289614502941</v>
          </cell>
          <cell r="H240">
            <v>1.5803050026171341</v>
          </cell>
          <cell r="I240">
            <v>1.5803050026171345E-6</v>
          </cell>
          <cell r="J240">
            <v>5.88</v>
          </cell>
          <cell r="L240">
            <v>18.66</v>
          </cell>
        </row>
        <row r="241">
          <cell r="A241">
            <v>37089</v>
          </cell>
          <cell r="B241">
            <v>49.85</v>
          </cell>
          <cell r="C241">
            <v>6.15</v>
          </cell>
          <cell r="D241">
            <v>14.15</v>
          </cell>
          <cell r="F241">
            <v>6.85</v>
          </cell>
          <cell r="G241">
            <v>3.0829069983370734</v>
          </cell>
          <cell r="H241">
            <v>1.5780025440952885</v>
          </cell>
          <cell r="I241">
            <v>1.5780025440952888E-6</v>
          </cell>
          <cell r="J241">
            <v>6</v>
          </cell>
          <cell r="L241">
            <v>18.89</v>
          </cell>
        </row>
        <row r="242">
          <cell r="A242">
            <v>37090</v>
          </cell>
          <cell r="B242">
            <v>48.97</v>
          </cell>
          <cell r="C242">
            <v>5.76</v>
          </cell>
          <cell r="D242">
            <v>12.38</v>
          </cell>
          <cell r="F242">
            <v>6.75</v>
          </cell>
          <cell r="G242">
            <v>3.07279178790222</v>
          </cell>
          <cell r="H242">
            <v>1.5640213357105264</v>
          </cell>
          <cell r="I242">
            <v>1.5640213357105264E-6</v>
          </cell>
          <cell r="J242">
            <v>5.7</v>
          </cell>
          <cell r="L242">
            <v>18.45</v>
          </cell>
        </row>
        <row r="243">
          <cell r="A243">
            <v>37091</v>
          </cell>
          <cell r="B243">
            <v>49.08</v>
          </cell>
          <cell r="C243">
            <v>5.79</v>
          </cell>
          <cell r="D243">
            <v>9.1999999999999993</v>
          </cell>
          <cell r="F243">
            <v>6.86</v>
          </cell>
          <cell r="G243">
            <v>3.0736632741591263</v>
          </cell>
          <cell r="H243">
            <v>1.5633937457947304</v>
          </cell>
          <cell r="I243">
            <v>1.5633937457947308E-6</v>
          </cell>
          <cell r="J243">
            <v>5.78</v>
          </cell>
          <cell r="L243">
            <v>17.95</v>
          </cell>
        </row>
        <row r="244">
          <cell r="A244">
            <v>37092</v>
          </cell>
          <cell r="B244">
            <v>48.16</v>
          </cell>
          <cell r="C244">
            <v>5.25</v>
          </cell>
          <cell r="D244">
            <v>7.95</v>
          </cell>
          <cell r="F244">
            <v>6.74</v>
          </cell>
          <cell r="G244">
            <v>3.0721891732144258</v>
          </cell>
          <cell r="H244">
            <v>1.5600448487567546</v>
          </cell>
          <cell r="I244">
            <v>1.5600448487567548E-6</v>
          </cell>
          <cell r="J244">
            <v>6</v>
          </cell>
          <cell r="L244">
            <v>18.5</v>
          </cell>
        </row>
        <row r="245">
          <cell r="A245">
            <v>37095</v>
          </cell>
          <cell r="B245">
            <v>46.66</v>
          </cell>
          <cell r="C245">
            <v>5.0199999999999996</v>
          </cell>
          <cell r="D245">
            <v>8.4</v>
          </cell>
          <cell r="F245">
            <v>6.68</v>
          </cell>
          <cell r="G245">
            <v>3.0701108212403869</v>
          </cell>
          <cell r="H245">
            <v>1.5527191162392606</v>
          </cell>
          <cell r="I245">
            <v>1.5527191162392608E-6</v>
          </cell>
          <cell r="J245">
            <v>6.03</v>
          </cell>
          <cell r="L245">
            <v>17.649999999999999</v>
          </cell>
        </row>
        <row r="246">
          <cell r="A246">
            <v>37096</v>
          </cell>
          <cell r="B246">
            <v>43.24</v>
          </cell>
          <cell r="C246">
            <v>4.2699999999999996</v>
          </cell>
          <cell r="D246">
            <v>8.0500000000000007</v>
          </cell>
          <cell r="F246">
            <v>6.55</v>
          </cell>
          <cell r="G246">
            <v>3.0678581103092442</v>
          </cell>
          <cell r="H246">
            <v>1.5484803611253541</v>
          </cell>
          <cell r="I246">
            <v>1.5484803611253546E-6</v>
          </cell>
          <cell r="J246">
            <v>6.02</v>
          </cell>
          <cell r="L246">
            <v>16.649999999999999</v>
          </cell>
        </row>
        <row r="247">
          <cell r="A247">
            <v>37097</v>
          </cell>
          <cell r="B247">
            <v>44.96</v>
          </cell>
          <cell r="C247">
            <v>4.53</v>
          </cell>
          <cell r="D247">
            <v>7.95</v>
          </cell>
          <cell r="F247">
            <v>6.6</v>
          </cell>
          <cell r="G247">
            <v>3.0710130332388568</v>
          </cell>
          <cell r="H247">
            <v>1.549923323615658</v>
          </cell>
          <cell r="I247">
            <v>1.549923323615658E-6</v>
          </cell>
          <cell r="J247">
            <v>6.13</v>
          </cell>
          <cell r="L247">
            <v>16.5</v>
          </cell>
        </row>
        <row r="248">
          <cell r="A248">
            <v>37098</v>
          </cell>
          <cell r="B248">
            <v>46.84</v>
          </cell>
          <cell r="C248">
            <v>4.68</v>
          </cell>
          <cell r="D248">
            <v>9.0500000000000007</v>
          </cell>
          <cell r="F248">
            <v>6.55</v>
          </cell>
          <cell r="G248">
            <v>3.0671004371241994</v>
          </cell>
          <cell r="H248">
            <v>1.5426816155272989</v>
          </cell>
          <cell r="I248">
            <v>1.5426816155272987E-6</v>
          </cell>
          <cell r="J248">
            <v>6.17</v>
          </cell>
          <cell r="L248">
            <v>16.45</v>
          </cell>
        </row>
        <row r="249">
          <cell r="A249">
            <v>37099</v>
          </cell>
          <cell r="B249">
            <v>46.1</v>
          </cell>
          <cell r="C249">
            <v>4.8600000000000003</v>
          </cell>
          <cell r="D249">
            <v>9.4</v>
          </cell>
          <cell r="F249">
            <v>7</v>
          </cell>
          <cell r="G249">
            <v>3.0613665213717365</v>
          </cell>
          <cell r="H249">
            <v>1.5347437858430921</v>
          </cell>
          <cell r="I249">
            <v>1.5347437858430923E-6</v>
          </cell>
          <cell r="J249">
            <v>6.25</v>
          </cell>
          <cell r="L249">
            <v>16.149999999999999</v>
          </cell>
        </row>
        <row r="250">
          <cell r="A250">
            <v>37102</v>
          </cell>
          <cell r="B250">
            <v>45.73</v>
          </cell>
          <cell r="C250">
            <v>4.7</v>
          </cell>
          <cell r="D250">
            <v>9.4600000000000009</v>
          </cell>
          <cell r="F250">
            <v>6.95</v>
          </cell>
          <cell r="G250">
            <v>3.0565881586770858</v>
          </cell>
          <cell r="H250">
            <v>1.5246530109044563</v>
          </cell>
          <cell r="I250">
            <v>1.5246530109044565E-6</v>
          </cell>
          <cell r="J250">
            <v>6.4</v>
          </cell>
          <cell r="L250">
            <v>15.9</v>
          </cell>
        </row>
        <row r="251">
          <cell r="A251">
            <v>37103</v>
          </cell>
          <cell r="B251">
            <v>45.35</v>
          </cell>
          <cell r="C251">
            <v>4.45</v>
          </cell>
          <cell r="D251">
            <v>8.9</v>
          </cell>
          <cell r="F251">
            <v>7</v>
          </cell>
          <cell r="G251">
            <v>3.050867855073097</v>
          </cell>
          <cell r="H251">
            <v>1.5162531748303905</v>
          </cell>
          <cell r="I251">
            <v>1.5162531748303906E-6</v>
          </cell>
          <cell r="J251">
            <v>6.35</v>
          </cell>
          <cell r="L251">
            <v>16.2</v>
          </cell>
        </row>
        <row r="252">
          <cell r="A252">
            <v>37104</v>
          </cell>
          <cell r="B252">
            <v>45.61</v>
          </cell>
          <cell r="C252">
            <v>4.41</v>
          </cell>
          <cell r="D252">
            <v>8.8000000000000007</v>
          </cell>
          <cell r="F252">
            <v>6.81</v>
          </cell>
          <cell r="G252">
            <v>3.0544819445164562</v>
          </cell>
          <cell r="H252">
            <v>1.5189852618810753</v>
          </cell>
          <cell r="I252">
            <v>1.5189852618810758E-6</v>
          </cell>
          <cell r="J252">
            <v>6.5</v>
          </cell>
          <cell r="L252">
            <v>16.670000000000002</v>
          </cell>
        </row>
        <row r="253">
          <cell r="A253">
            <v>37105</v>
          </cell>
          <cell r="B253">
            <v>45.58</v>
          </cell>
          <cell r="C253">
            <v>4.53</v>
          </cell>
          <cell r="D253">
            <v>8.51</v>
          </cell>
          <cell r="F253">
            <v>6.95</v>
          </cell>
          <cell r="G253">
            <v>3.0595263648027902</v>
          </cell>
          <cell r="H253">
            <v>1.5222644744289937</v>
          </cell>
          <cell r="I253">
            <v>1.5222644744289939E-6</v>
          </cell>
          <cell r="J253">
            <v>6.6</v>
          </cell>
          <cell r="L253">
            <v>16.02</v>
          </cell>
        </row>
        <row r="254">
          <cell r="A254">
            <v>37106</v>
          </cell>
          <cell r="B254">
            <v>45.36</v>
          </cell>
          <cell r="C254">
            <v>4.6500000000000004</v>
          </cell>
          <cell r="D254">
            <v>8.5500000000000007</v>
          </cell>
          <cell r="F254">
            <v>6.99</v>
          </cell>
          <cell r="G254">
            <v>3.0595263648027902</v>
          </cell>
          <cell r="H254">
            <v>1.5222644744289937</v>
          </cell>
          <cell r="I254">
            <v>1.5222644744289939E-6</v>
          </cell>
          <cell r="J254">
            <v>6.7</v>
          </cell>
          <cell r="L254">
            <v>15.75</v>
          </cell>
        </row>
        <row r="255">
          <cell r="A255">
            <v>37109</v>
          </cell>
          <cell r="B255">
            <v>44.5</v>
          </cell>
          <cell r="C255">
            <v>4.71</v>
          </cell>
          <cell r="D255">
            <v>7.83</v>
          </cell>
          <cell r="F255">
            <v>6.75</v>
          </cell>
          <cell r="G255">
            <v>3.0570245287802704</v>
          </cell>
          <cell r="H255">
            <v>1.5120477570973199</v>
          </cell>
          <cell r="I255">
            <v>1.5120477570973201E-6</v>
          </cell>
          <cell r="J255">
            <v>6.56</v>
          </cell>
          <cell r="L255">
            <v>13.89</v>
          </cell>
        </row>
        <row r="256">
          <cell r="A256">
            <v>37110</v>
          </cell>
          <cell r="B256">
            <v>43.6</v>
          </cell>
          <cell r="C256">
            <v>5.04</v>
          </cell>
          <cell r="D256">
            <v>7.75</v>
          </cell>
          <cell r="F256">
            <v>6.75</v>
          </cell>
          <cell r="G256">
            <v>3.0563894543813004</v>
          </cell>
          <cell r="H256">
            <v>1.5102209791336216</v>
          </cell>
          <cell r="I256">
            <v>1.5102209791336217E-6</v>
          </cell>
          <cell r="J256">
            <v>6.25</v>
          </cell>
          <cell r="L256">
            <v>12.18</v>
          </cell>
        </row>
        <row r="257">
          <cell r="A257">
            <v>37111</v>
          </cell>
          <cell r="B257">
            <v>42.85</v>
          </cell>
          <cell r="C257">
            <v>4.79</v>
          </cell>
          <cell r="D257">
            <v>7.83</v>
          </cell>
          <cell r="F257">
            <v>6.55</v>
          </cell>
          <cell r="G257">
            <v>3.0463289254680497</v>
          </cell>
          <cell r="H257">
            <v>1.4967194924062968</v>
          </cell>
          <cell r="I257">
            <v>1.4967194924062969E-6</v>
          </cell>
          <cell r="J257">
            <v>6.08</v>
          </cell>
          <cell r="L257">
            <v>10.51</v>
          </cell>
        </row>
        <row r="258">
          <cell r="A258">
            <v>37112</v>
          </cell>
          <cell r="B258">
            <v>42.78</v>
          </cell>
          <cell r="C258">
            <v>4.42</v>
          </cell>
          <cell r="D258">
            <v>7.54</v>
          </cell>
          <cell r="F258">
            <v>6.65</v>
          </cell>
          <cell r="G258">
            <v>3.0462697212114112</v>
          </cell>
          <cell r="H258">
            <v>1.493953815448323</v>
          </cell>
          <cell r="I258">
            <v>1.4939538154483232E-6</v>
          </cell>
          <cell r="J258">
            <v>6.07</v>
          </cell>
          <cell r="L258">
            <v>10.45</v>
          </cell>
        </row>
        <row r="259">
          <cell r="A259">
            <v>37113</v>
          </cell>
          <cell r="B259">
            <v>42.81</v>
          </cell>
          <cell r="C259">
            <v>4.28</v>
          </cell>
          <cell r="D259">
            <v>7</v>
          </cell>
          <cell r="F259">
            <v>6.68</v>
          </cell>
          <cell r="G259">
            <v>3.0433176733828144</v>
          </cell>
          <cell r="H259">
            <v>1.4895445894109463</v>
          </cell>
          <cell r="I259">
            <v>1.4895445894109465E-6</v>
          </cell>
          <cell r="J259">
            <v>6.07</v>
          </cell>
          <cell r="L259">
            <v>10.63</v>
          </cell>
        </row>
        <row r="260">
          <cell r="A260">
            <v>37116</v>
          </cell>
          <cell r="B260">
            <v>42.15</v>
          </cell>
          <cell r="C260">
            <v>4.32</v>
          </cell>
          <cell r="D260">
            <v>6.35</v>
          </cell>
          <cell r="F260">
            <v>6.11</v>
          </cell>
          <cell r="G260">
            <v>3.0378606854533658</v>
          </cell>
          <cell r="H260">
            <v>1.4771852339529778</v>
          </cell>
          <cell r="I260">
            <v>1.4771852339529783E-6</v>
          </cell>
          <cell r="J260">
            <v>6.05</v>
          </cell>
          <cell r="L260">
            <v>10.66</v>
          </cell>
        </row>
        <row r="261">
          <cell r="A261">
            <v>37117</v>
          </cell>
          <cell r="B261">
            <v>42.93</v>
          </cell>
          <cell r="C261">
            <v>4.2</v>
          </cell>
          <cell r="D261">
            <v>5.63</v>
          </cell>
          <cell r="F261">
            <v>6</v>
          </cell>
          <cell r="G261">
            <v>3.0406783829587685</v>
          </cell>
          <cell r="H261">
            <v>1.4811054632353793</v>
          </cell>
          <cell r="I261">
            <v>1.4811054632353794E-6</v>
          </cell>
          <cell r="J261">
            <v>5.96</v>
          </cell>
          <cell r="L261">
            <v>10.451000000000001</v>
          </cell>
        </row>
        <row r="262">
          <cell r="A262">
            <v>37118</v>
          </cell>
          <cell r="B262">
            <v>40.25</v>
          </cell>
          <cell r="C262">
            <v>4.0999999999999996</v>
          </cell>
          <cell r="D262">
            <v>6</v>
          </cell>
          <cell r="F262">
            <v>5.95</v>
          </cell>
          <cell r="G262">
            <v>3.0442676832401303</v>
          </cell>
          <cell r="H262">
            <v>1.4837229910432201</v>
          </cell>
          <cell r="I262">
            <v>1.4837229910432204E-6</v>
          </cell>
          <cell r="J262">
            <v>6.03</v>
          </cell>
          <cell r="L262">
            <v>10</v>
          </cell>
        </row>
        <row r="263">
          <cell r="A263">
            <v>37119</v>
          </cell>
          <cell r="B263">
            <v>36.85</v>
          </cell>
          <cell r="C263">
            <v>3.91</v>
          </cell>
          <cell r="D263">
            <v>6.06</v>
          </cell>
          <cell r="F263">
            <v>5.95</v>
          </cell>
          <cell r="G263">
            <v>3.039287773694757</v>
          </cell>
          <cell r="H263">
            <v>1.4762790880875718</v>
          </cell>
          <cell r="I263">
            <v>1.4762790880875717E-6</v>
          </cell>
          <cell r="J263">
            <v>6.2</v>
          </cell>
          <cell r="L263">
            <v>9.4600000000000009</v>
          </cell>
        </row>
        <row r="264">
          <cell r="A264">
            <v>37120</v>
          </cell>
          <cell r="B264">
            <v>36.67</v>
          </cell>
          <cell r="C264">
            <v>3.81</v>
          </cell>
          <cell r="D264">
            <v>5.95</v>
          </cell>
          <cell r="F264">
            <v>5.61</v>
          </cell>
          <cell r="G264">
            <v>3.0321527029972501</v>
          </cell>
          <cell r="H264">
            <v>1.467524396709643</v>
          </cell>
          <cell r="I264">
            <v>1.4675243967096431E-6</v>
          </cell>
          <cell r="J264">
            <v>6.03</v>
          </cell>
          <cell r="L264">
            <v>9.0500000000000007</v>
          </cell>
        </row>
        <row r="265">
          <cell r="A265">
            <v>37123</v>
          </cell>
          <cell r="B265">
            <v>36.25</v>
          </cell>
          <cell r="C265">
            <v>3.65</v>
          </cell>
          <cell r="D265">
            <v>6.36</v>
          </cell>
          <cell r="F265">
            <v>5.8</v>
          </cell>
          <cell r="G265">
            <v>3.0354748185277458</v>
          </cell>
          <cell r="H265">
            <v>1.466271915674402</v>
          </cell>
          <cell r="I265">
            <v>1.4662719156744023E-6</v>
          </cell>
          <cell r="J265">
            <v>6</v>
          </cell>
          <cell r="L265">
            <v>9.0589999999999993</v>
          </cell>
        </row>
        <row r="266">
          <cell r="A266">
            <v>37124</v>
          </cell>
          <cell r="B266">
            <v>36.880000000000003</v>
          </cell>
          <cell r="C266">
            <v>3.65</v>
          </cell>
          <cell r="D266">
            <v>6.89</v>
          </cell>
          <cell r="F266">
            <v>5.95</v>
          </cell>
          <cell r="G266">
            <v>3.0335838434361055</v>
          </cell>
          <cell r="H266">
            <v>1.462283311336146</v>
          </cell>
          <cell r="I266">
            <v>1.4622833113361462E-6</v>
          </cell>
          <cell r="J266">
            <v>6.03</v>
          </cell>
          <cell r="L266">
            <v>9.02</v>
          </cell>
        </row>
        <row r="267">
          <cell r="A267">
            <v>37125</v>
          </cell>
          <cell r="B267">
            <v>37.26</v>
          </cell>
          <cell r="C267">
            <v>3.78</v>
          </cell>
          <cell r="D267">
            <v>6.93</v>
          </cell>
          <cell r="F267">
            <v>5.99</v>
          </cell>
          <cell r="G267">
            <v>3.0361406745750377</v>
          </cell>
          <cell r="H267">
            <v>1.4644946117224915</v>
          </cell>
          <cell r="I267">
            <v>1.4644946117224917E-6</v>
          </cell>
          <cell r="J267">
            <v>6.03</v>
          </cell>
          <cell r="L267">
            <v>8.4</v>
          </cell>
        </row>
        <row r="268">
          <cell r="A268">
            <v>37126</v>
          </cell>
          <cell r="B268">
            <v>36.96</v>
          </cell>
          <cell r="C268">
            <v>4.04</v>
          </cell>
          <cell r="D268">
            <v>6.9</v>
          </cell>
          <cell r="F268">
            <v>6.23</v>
          </cell>
          <cell r="G268">
            <v>3.033140817059039</v>
          </cell>
          <cell r="H268">
            <v>1.4595429261331381</v>
          </cell>
          <cell r="I268">
            <v>1.4595429261331384E-6</v>
          </cell>
          <cell r="J268">
            <v>6.03</v>
          </cell>
          <cell r="L268">
            <v>8.73</v>
          </cell>
        </row>
        <row r="269">
          <cell r="A269">
            <v>37127</v>
          </cell>
          <cell r="B269">
            <v>36.35</v>
          </cell>
          <cell r="C269">
            <v>4.21</v>
          </cell>
          <cell r="D269">
            <v>6.9</v>
          </cell>
          <cell r="F269">
            <v>6.35</v>
          </cell>
          <cell r="G269">
            <v>3.0343259894804793</v>
          </cell>
          <cell r="H269">
            <v>1.4589403352248373</v>
          </cell>
          <cell r="I269">
            <v>1.4589403352248377E-6</v>
          </cell>
          <cell r="J269">
            <v>6.01</v>
          </cell>
          <cell r="L269">
            <v>9</v>
          </cell>
        </row>
        <row r="270">
          <cell r="A270">
            <v>37130</v>
          </cell>
          <cell r="B270">
            <v>37.76</v>
          </cell>
          <cell r="C270">
            <v>3.8</v>
          </cell>
          <cell r="D270">
            <v>6.75</v>
          </cell>
          <cell r="F270">
            <v>6.25</v>
          </cell>
          <cell r="G270">
            <v>3.0337790983356614</v>
          </cell>
          <cell r="H270">
            <v>1.4533893996068334</v>
          </cell>
          <cell r="I270">
            <v>1.4533893996068336E-6</v>
          </cell>
          <cell r="J270">
            <v>5.9</v>
          </cell>
          <cell r="L270">
            <v>8.75</v>
          </cell>
        </row>
        <row r="271">
          <cell r="A271">
            <v>37131</v>
          </cell>
          <cell r="B271">
            <v>38.159999999999997</v>
          </cell>
          <cell r="C271">
            <v>3.69</v>
          </cell>
          <cell r="D271">
            <v>6.34</v>
          </cell>
          <cell r="F271">
            <v>6.1</v>
          </cell>
          <cell r="G271">
            <v>3.026947624997689</v>
          </cell>
          <cell r="H271">
            <v>1.4442676092584463</v>
          </cell>
          <cell r="I271">
            <v>1.4442676092584467E-6</v>
          </cell>
          <cell r="J271">
            <v>5.83</v>
          </cell>
          <cell r="L271">
            <v>8.35</v>
          </cell>
        </row>
        <row r="272">
          <cell r="A272">
            <v>37132</v>
          </cell>
          <cell r="B272">
            <v>37.299999999999997</v>
          </cell>
          <cell r="C272">
            <v>3.5</v>
          </cell>
          <cell r="D272">
            <v>6.05</v>
          </cell>
          <cell r="F272">
            <v>5.9</v>
          </cell>
          <cell r="G272">
            <v>3.0229480390104624</v>
          </cell>
          <cell r="H272">
            <v>1.4390314379080738</v>
          </cell>
          <cell r="I272">
            <v>1.4390314379080739E-6</v>
          </cell>
          <cell r="J272">
            <v>5.75</v>
          </cell>
          <cell r="L272">
            <v>8</v>
          </cell>
        </row>
        <row r="273">
          <cell r="A273">
            <v>37133</v>
          </cell>
          <cell r="B273">
            <v>35.5</v>
          </cell>
          <cell r="C273">
            <v>3.45</v>
          </cell>
          <cell r="D273">
            <v>5.9</v>
          </cell>
          <cell r="F273">
            <v>6.07</v>
          </cell>
          <cell r="G273">
            <v>3.020434131829663</v>
          </cell>
          <cell r="H273">
            <v>1.4331281574554158</v>
          </cell>
          <cell r="I273">
            <v>1.433128157455416E-6</v>
          </cell>
          <cell r="J273">
            <v>5.75</v>
          </cell>
          <cell r="L273">
            <v>8</v>
          </cell>
        </row>
        <row r="274">
          <cell r="A274">
            <v>37134</v>
          </cell>
          <cell r="B274">
            <v>34.99</v>
          </cell>
          <cell r="C274">
            <v>3.3</v>
          </cell>
          <cell r="D274">
            <v>5.56</v>
          </cell>
          <cell r="F274">
            <v>6</v>
          </cell>
          <cell r="G274">
            <v>3.0209981816457643</v>
          </cell>
          <cell r="H274">
            <v>1.4323509588281222</v>
          </cell>
          <cell r="I274">
            <v>1.4323509588281225E-6</v>
          </cell>
          <cell r="J274">
            <v>6.05</v>
          </cell>
          <cell r="L274">
            <v>7.95</v>
          </cell>
        </row>
        <row r="275">
          <cell r="A275">
            <v>37138</v>
          </cell>
          <cell r="B275">
            <v>35</v>
          </cell>
          <cell r="C275">
            <v>3.2</v>
          </cell>
          <cell r="D275">
            <v>6.18</v>
          </cell>
          <cell r="F275">
            <v>5.798</v>
          </cell>
          <cell r="G275">
            <v>3.0182301013848791</v>
          </cell>
          <cell r="H275">
            <v>1.4227767939201943</v>
          </cell>
          <cell r="I275">
            <v>1.4227767939201945E-6</v>
          </cell>
          <cell r="J275">
            <v>5.79</v>
          </cell>
          <cell r="L275">
            <v>8.15</v>
          </cell>
        </row>
        <row r="276">
          <cell r="A276">
            <v>37139</v>
          </cell>
          <cell r="B276">
            <v>32.36</v>
          </cell>
          <cell r="C276">
            <v>3.07</v>
          </cell>
          <cell r="D276">
            <v>6.01</v>
          </cell>
          <cell r="F276">
            <v>6</v>
          </cell>
          <cell r="G276">
            <v>3.0293265443024837</v>
          </cell>
          <cell r="H276">
            <v>1.4328734883718286</v>
          </cell>
          <cell r="I276">
            <v>1.4328734883718289E-6</v>
          </cell>
          <cell r="J276">
            <v>5.31</v>
          </cell>
          <cell r="L276">
            <v>8.24</v>
          </cell>
        </row>
        <row r="277">
          <cell r="A277">
            <v>37140</v>
          </cell>
          <cell r="B277">
            <v>30.49</v>
          </cell>
          <cell r="C277">
            <v>2.82</v>
          </cell>
          <cell r="D277">
            <v>5.79</v>
          </cell>
          <cell r="F277">
            <v>6.0350000000000001</v>
          </cell>
          <cell r="G277">
            <v>3.0187021594518226</v>
          </cell>
          <cell r="H277">
            <v>1.4197378297521555</v>
          </cell>
          <cell r="I277">
            <v>1.4197378297521558E-6</v>
          </cell>
          <cell r="J277">
            <v>5.5</v>
          </cell>
          <cell r="L277">
            <v>8.19</v>
          </cell>
        </row>
        <row r="278">
          <cell r="A278">
            <v>37141</v>
          </cell>
          <cell r="B278">
            <v>31.57</v>
          </cell>
          <cell r="C278">
            <v>2.78</v>
          </cell>
          <cell r="D278">
            <v>5.39</v>
          </cell>
          <cell r="F278">
            <v>6.3</v>
          </cell>
          <cell r="G278">
            <v>3.0094997869327464</v>
          </cell>
          <cell r="H278">
            <v>1.4077167905064445</v>
          </cell>
          <cell r="I278">
            <v>1.4077167905064444E-6</v>
          </cell>
          <cell r="J278">
            <v>5.44</v>
          </cell>
          <cell r="L278">
            <v>8.1</v>
          </cell>
        </row>
        <row r="279">
          <cell r="A279">
            <v>37144</v>
          </cell>
          <cell r="B279">
            <v>32.76</v>
          </cell>
          <cell r="C279">
            <v>1.99</v>
          </cell>
          <cell r="D279">
            <v>5</v>
          </cell>
          <cell r="F279">
            <v>6.05</v>
          </cell>
          <cell r="G279">
            <v>3.0080768990155344</v>
          </cell>
          <cell r="H279">
            <v>1.4007740286690367</v>
          </cell>
          <cell r="I279">
            <v>1.400774028669037E-6</v>
          </cell>
          <cell r="J279">
            <v>5.2</v>
          </cell>
          <cell r="L279">
            <v>8</v>
          </cell>
        </row>
        <row r="280">
          <cell r="A280">
            <v>37148</v>
          </cell>
          <cell r="B280">
            <v>32.76</v>
          </cell>
          <cell r="C280">
            <v>1.99</v>
          </cell>
          <cell r="D280">
            <v>5</v>
          </cell>
          <cell r="F280">
            <v>6.05</v>
          </cell>
          <cell r="G280">
            <v>2.9606853122703898</v>
          </cell>
          <cell r="H280">
            <v>1.3414897618114736</v>
          </cell>
          <cell r="I280">
            <v>1.3414897618114739E-6</v>
          </cell>
          <cell r="J280">
            <v>5.2</v>
          </cell>
          <cell r="L280">
            <v>8</v>
          </cell>
        </row>
        <row r="281">
          <cell r="A281">
            <v>37151</v>
          </cell>
          <cell r="B281">
            <v>30.67</v>
          </cell>
          <cell r="C281">
            <v>2.0299999999999998</v>
          </cell>
          <cell r="D281">
            <v>5.12</v>
          </cell>
          <cell r="F281">
            <v>5.9</v>
          </cell>
          <cell r="G281">
            <v>2.9635452501861392</v>
          </cell>
          <cell r="H281">
            <v>1.3393870344221672</v>
          </cell>
          <cell r="I281">
            <v>1.3393870344221674E-6</v>
          </cell>
          <cell r="J281">
            <v>5</v>
          </cell>
          <cell r="L281">
            <v>7.12</v>
          </cell>
        </row>
        <row r="282">
          <cell r="A282">
            <v>37152</v>
          </cell>
          <cell r="B282">
            <v>28.08</v>
          </cell>
          <cell r="C282">
            <v>1.89</v>
          </cell>
          <cell r="D282">
            <v>4.6500000000000004</v>
          </cell>
          <cell r="F282">
            <v>6.5</v>
          </cell>
          <cell r="G282">
            <v>2.9656674022304896</v>
          </cell>
          <cell r="H282">
            <v>1.3390041597595257</v>
          </cell>
          <cell r="I282">
            <v>1.3390041597595257E-6</v>
          </cell>
          <cell r="J282">
            <v>4.5599999999999996</v>
          </cell>
          <cell r="L282">
            <v>7.1</v>
          </cell>
        </row>
        <row r="283">
          <cell r="A283">
            <v>37153</v>
          </cell>
          <cell r="B283">
            <v>26.41</v>
          </cell>
          <cell r="C283">
            <v>1.7949999999999999</v>
          </cell>
          <cell r="D283">
            <v>4.1399999999999997</v>
          </cell>
          <cell r="F283">
            <v>5.95</v>
          </cell>
          <cell r="G283">
            <v>2.9559081613268847</v>
          </cell>
          <cell r="H283">
            <v>1.3262167101141116</v>
          </cell>
          <cell r="I283">
            <v>1.3262167101141116E-6</v>
          </cell>
          <cell r="J283">
            <v>3.89</v>
          </cell>
          <cell r="L283">
            <v>6.82</v>
          </cell>
        </row>
        <row r="284">
          <cell r="A284">
            <v>37154</v>
          </cell>
          <cell r="B284">
            <v>28.39</v>
          </cell>
          <cell r="C284">
            <v>1.59</v>
          </cell>
          <cell r="D284">
            <v>4</v>
          </cell>
          <cell r="F284">
            <v>5.65</v>
          </cell>
          <cell r="G284">
            <v>2.9630876459241309</v>
          </cell>
          <cell r="H284">
            <v>1.3329067105566259</v>
          </cell>
          <cell r="I284">
            <v>1.3329067105566262E-6</v>
          </cell>
          <cell r="J284">
            <v>3.8</v>
          </cell>
          <cell r="L284">
            <v>5.95</v>
          </cell>
        </row>
        <row r="285">
          <cell r="A285">
            <v>37155</v>
          </cell>
          <cell r="B285">
            <v>28.3</v>
          </cell>
          <cell r="C285">
            <v>1.68</v>
          </cell>
          <cell r="D285">
            <v>4.7</v>
          </cell>
          <cell r="F285">
            <v>5.55</v>
          </cell>
          <cell r="G285">
            <v>2.959355231645052</v>
          </cell>
          <cell r="H285">
            <v>1.3274859320328289</v>
          </cell>
          <cell r="I285">
            <v>1.3274859320328289E-6</v>
          </cell>
          <cell r="J285">
            <v>4.0999999999999996</v>
          </cell>
          <cell r="L285">
            <v>6.15</v>
          </cell>
        </row>
        <row r="286">
          <cell r="A286">
            <v>37158</v>
          </cell>
          <cell r="B286">
            <v>27</v>
          </cell>
          <cell r="C286">
            <v>1.65</v>
          </cell>
          <cell r="D286">
            <v>5.2</v>
          </cell>
          <cell r="F286">
            <v>5.74</v>
          </cell>
          <cell r="G286">
            <v>2.9606499257024961</v>
          </cell>
          <cell r="H286">
            <v>1.3237524443854154</v>
          </cell>
          <cell r="I286">
            <v>1.3237524443854157E-6</v>
          </cell>
          <cell r="J286">
            <v>4.18</v>
          </cell>
          <cell r="L286">
            <v>6.14</v>
          </cell>
        </row>
        <row r="287">
          <cell r="A287">
            <v>37159</v>
          </cell>
          <cell r="B287">
            <v>27</v>
          </cell>
          <cell r="C287">
            <v>1.46</v>
          </cell>
          <cell r="D287">
            <v>5.25</v>
          </cell>
          <cell r="F287">
            <v>5.5</v>
          </cell>
          <cell r="G287">
            <v>2.959960540242792</v>
          </cell>
          <cell r="H287">
            <v>1.3214426361992722</v>
          </cell>
          <cell r="I287">
            <v>1.3214426361992722E-6</v>
          </cell>
          <cell r="J287">
            <v>3.69</v>
          </cell>
          <cell r="L287">
            <v>7.1</v>
          </cell>
        </row>
        <row r="288">
          <cell r="A288">
            <v>37160</v>
          </cell>
          <cell r="B288">
            <v>25.15</v>
          </cell>
          <cell r="C288">
            <v>1.22</v>
          </cell>
          <cell r="D288">
            <v>5.29</v>
          </cell>
          <cell r="F288">
            <v>5.25</v>
          </cell>
          <cell r="G288">
            <v>2.9511008271957797</v>
          </cell>
          <cell r="H288">
            <v>1.3101495982820808</v>
          </cell>
          <cell r="I288">
            <v>1.3101495982820809E-6</v>
          </cell>
          <cell r="J288">
            <v>3.7</v>
          </cell>
          <cell r="L288">
            <v>7.25</v>
          </cell>
        </row>
        <row r="289">
          <cell r="A289">
            <v>37161</v>
          </cell>
          <cell r="B289">
            <v>25.25</v>
          </cell>
          <cell r="C289">
            <v>1.17</v>
          </cell>
          <cell r="D289">
            <v>5</v>
          </cell>
          <cell r="F289">
            <v>5.4</v>
          </cell>
          <cell r="G289">
            <v>2.9409419704735926</v>
          </cell>
          <cell r="H289">
            <v>1.3036963389685119</v>
          </cell>
          <cell r="I289">
            <v>1.303696338968512E-6</v>
          </cell>
          <cell r="J289">
            <v>3.9</v>
          </cell>
          <cell r="L289">
            <v>7.72</v>
          </cell>
        </row>
        <row r="377">
          <cell r="A377" t="str">
            <v>End of Range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F25"/>
  <sheetViews>
    <sheetView tabSelected="1" workbookViewId="0"/>
  </sheetViews>
  <sheetFormatPr defaultRowHeight="15.6" x14ac:dyDescent="0.3"/>
  <cols>
    <col min="2" max="2" width="30.8984375" bestFit="1" customWidth="1"/>
    <col min="3" max="5" width="15.59765625" customWidth="1"/>
  </cols>
  <sheetData>
    <row r="1" spans="1:6" x14ac:dyDescent="0.3">
      <c r="A1" s="59"/>
      <c r="B1" s="60"/>
      <c r="C1" s="60"/>
      <c r="D1" s="60"/>
      <c r="E1" s="60"/>
      <c r="F1" s="61"/>
    </row>
    <row r="2" spans="1:6" ht="17.399999999999999" x14ac:dyDescent="0.3">
      <c r="A2" s="62"/>
      <c r="B2" s="290" t="s">
        <v>192</v>
      </c>
      <c r="C2" s="290"/>
      <c r="D2" s="290"/>
      <c r="E2" s="290"/>
      <c r="F2" s="63"/>
    </row>
    <row r="3" spans="1:6" x14ac:dyDescent="0.3">
      <c r="A3" s="62"/>
      <c r="B3" s="64"/>
      <c r="C3" s="64"/>
      <c r="D3" s="64"/>
      <c r="E3" s="64"/>
      <c r="F3" s="63"/>
    </row>
    <row r="4" spans="1:6" x14ac:dyDescent="0.3">
      <c r="A4" s="62"/>
      <c r="B4" s="75" t="s">
        <v>0</v>
      </c>
      <c r="C4" s="66"/>
      <c r="D4" s="64"/>
      <c r="E4" s="64"/>
      <c r="F4" s="63"/>
    </row>
    <row r="5" spans="1:6" x14ac:dyDescent="0.3">
      <c r="A5" s="62"/>
      <c r="B5" s="64" t="s">
        <v>13</v>
      </c>
      <c r="C5" s="66">
        <f>+'Stock Prices'!A346</f>
        <v>37161</v>
      </c>
      <c r="D5" s="67" t="s">
        <v>18</v>
      </c>
      <c r="E5" s="68">
        <f>+C5-1</f>
        <v>37160</v>
      </c>
      <c r="F5" s="63"/>
    </row>
    <row r="6" spans="1:6" x14ac:dyDescent="0.3">
      <c r="A6" s="62"/>
      <c r="B6" s="64"/>
      <c r="C6" s="64"/>
      <c r="D6" s="64"/>
      <c r="E6" s="64"/>
      <c r="F6" s="63"/>
    </row>
    <row r="7" spans="1:6" x14ac:dyDescent="0.3">
      <c r="A7" s="62"/>
      <c r="B7" s="64"/>
      <c r="C7" s="64"/>
      <c r="D7" s="64"/>
      <c r="E7" s="64"/>
      <c r="F7" s="63"/>
    </row>
    <row r="8" spans="1:6" x14ac:dyDescent="0.3">
      <c r="A8" s="62"/>
      <c r="B8" s="75" t="s">
        <v>116</v>
      </c>
      <c r="C8" s="64"/>
      <c r="D8" s="64"/>
      <c r="E8" s="64"/>
      <c r="F8" s="63"/>
    </row>
    <row r="9" spans="1:6" x14ac:dyDescent="0.3">
      <c r="A9" s="62"/>
      <c r="B9" s="65"/>
      <c r="C9" s="64"/>
      <c r="D9" s="64"/>
      <c r="E9" s="64"/>
      <c r="F9" s="63"/>
    </row>
    <row r="10" spans="1:6" x14ac:dyDescent="0.3">
      <c r="A10" s="62"/>
      <c r="B10" s="64" t="s">
        <v>8</v>
      </c>
      <c r="C10" s="58" t="s">
        <v>7</v>
      </c>
      <c r="D10" s="58" t="s">
        <v>5</v>
      </c>
      <c r="E10" s="58" t="s">
        <v>6</v>
      </c>
      <c r="F10" s="63"/>
    </row>
    <row r="11" spans="1:6" x14ac:dyDescent="0.3">
      <c r="A11" s="62"/>
      <c r="B11" s="64"/>
      <c r="C11" s="69"/>
      <c r="D11" s="69"/>
      <c r="E11" s="69"/>
      <c r="F11" s="63"/>
    </row>
    <row r="12" spans="1:6" x14ac:dyDescent="0.3">
      <c r="A12" s="62"/>
      <c r="B12" s="64" t="s">
        <v>9</v>
      </c>
      <c r="C12" s="70">
        <f>+'Daily Position'!T13</f>
        <v>-53095720</v>
      </c>
      <c r="D12" s="70">
        <f>+'Daily Position'!S13</f>
        <v>-11278182.528000001</v>
      </c>
      <c r="E12" s="70">
        <f>+C12-D12</f>
        <v>-41817537.472000003</v>
      </c>
      <c r="F12" s="63"/>
    </row>
    <row r="13" spans="1:6" x14ac:dyDescent="0.3">
      <c r="A13" s="62"/>
      <c r="B13" s="64" t="s">
        <v>10</v>
      </c>
      <c r="C13" s="56">
        <f>+C15-C12</f>
        <v>0</v>
      </c>
      <c r="D13" s="56">
        <f>+D15-D12</f>
        <v>0</v>
      </c>
      <c r="E13" s="56">
        <f>+E15-E12</f>
        <v>0</v>
      </c>
      <c r="F13" s="63"/>
    </row>
    <row r="14" spans="1:6" x14ac:dyDescent="0.3">
      <c r="A14" s="62"/>
      <c r="B14" s="64"/>
      <c r="C14" s="70"/>
      <c r="D14" s="70"/>
      <c r="E14" s="70"/>
      <c r="F14" s="63"/>
    </row>
    <row r="15" spans="1:6" ht="16.2" thickBot="1" x14ac:dyDescent="0.35">
      <c r="A15" s="62"/>
      <c r="B15" s="64" t="s">
        <v>11</v>
      </c>
      <c r="C15" s="57">
        <f>+'Daily Position'!R13</f>
        <v>-53095720</v>
      </c>
      <c r="D15" s="57">
        <f>+'Daily Position'!Q13</f>
        <v>-11278182.528000001</v>
      </c>
      <c r="E15" s="57">
        <f>+C15-D15</f>
        <v>-41817537.472000003</v>
      </c>
      <c r="F15" s="63"/>
    </row>
    <row r="16" spans="1:6" ht="16.2" thickTop="1" x14ac:dyDescent="0.3">
      <c r="A16" s="62"/>
      <c r="B16" s="64"/>
      <c r="C16" s="70"/>
      <c r="D16" s="70"/>
      <c r="E16" s="70"/>
      <c r="F16" s="63"/>
    </row>
    <row r="17" spans="1:6" x14ac:dyDescent="0.3">
      <c r="A17" s="62"/>
      <c r="B17" s="64"/>
      <c r="C17" s="64"/>
      <c r="D17" s="64"/>
      <c r="E17" s="64"/>
      <c r="F17" s="63"/>
    </row>
    <row r="18" spans="1:6" x14ac:dyDescent="0.3">
      <c r="A18" s="62"/>
      <c r="B18" s="64" t="s">
        <v>3</v>
      </c>
      <c r="C18" s="70">
        <f>IF(+Financials!P27&lt;0,"No Capacity Available",+Financials!P27)</f>
        <v>11275008.883311268</v>
      </c>
      <c r="D18" s="64"/>
      <c r="E18" s="64"/>
      <c r="F18" s="63"/>
    </row>
    <row r="19" spans="1:6" x14ac:dyDescent="0.3">
      <c r="A19" s="62"/>
      <c r="B19" s="64"/>
      <c r="C19" s="70"/>
      <c r="D19" s="64"/>
      <c r="E19" s="64"/>
      <c r="F19" s="63"/>
    </row>
    <row r="20" spans="1:6" x14ac:dyDescent="0.3">
      <c r="A20" s="62"/>
      <c r="B20" s="64"/>
      <c r="C20" s="70"/>
      <c r="D20" s="64"/>
      <c r="E20" s="64"/>
      <c r="F20" s="63"/>
    </row>
    <row r="21" spans="1:6" x14ac:dyDescent="0.3">
      <c r="A21" s="62"/>
      <c r="B21" s="64" t="s">
        <v>2</v>
      </c>
      <c r="C21" s="70">
        <f>+Financials!I42</f>
        <v>145945609.6638726</v>
      </c>
      <c r="D21" s="64"/>
      <c r="E21" s="64"/>
      <c r="F21" s="63"/>
    </row>
    <row r="22" spans="1:6" x14ac:dyDescent="0.3">
      <c r="A22" s="62"/>
      <c r="B22" s="64"/>
      <c r="C22" s="70"/>
      <c r="D22" s="130"/>
      <c r="E22" s="64"/>
      <c r="F22" s="63"/>
    </row>
    <row r="23" spans="1:6" x14ac:dyDescent="0.3">
      <c r="A23" s="62"/>
      <c r="B23" s="64"/>
      <c r="C23" s="70"/>
      <c r="D23" s="64"/>
      <c r="E23" s="64"/>
      <c r="F23" s="63"/>
    </row>
    <row r="24" spans="1:6" x14ac:dyDescent="0.3">
      <c r="A24" s="62"/>
      <c r="B24" s="71" t="s">
        <v>120</v>
      </c>
      <c r="C24" s="70">
        <f>1500000000-'Daily Position'!I13</f>
        <v>986904280</v>
      </c>
      <c r="D24" s="64"/>
      <c r="E24" s="64"/>
      <c r="F24" s="63"/>
    </row>
    <row r="25" spans="1:6" ht="16.2" thickBot="1" x14ac:dyDescent="0.35">
      <c r="A25" s="72"/>
      <c r="B25" s="73"/>
      <c r="C25" s="73"/>
      <c r="D25" s="73"/>
      <c r="E25" s="73"/>
      <c r="F25" s="74"/>
    </row>
  </sheetData>
  <mergeCells count="1">
    <mergeCell ref="B2:E2"/>
  </mergeCells>
  <phoneticPr fontId="0" type="noConversion"/>
  <pageMargins left="0.75" right="0.75" top="1" bottom="1" header="0.5" footer="0.5"/>
  <pageSetup scale="87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CL79"/>
  <sheetViews>
    <sheetView workbookViewId="0">
      <selection sqref="A1:IV65536"/>
    </sheetView>
  </sheetViews>
  <sheetFormatPr defaultRowHeight="15.6" outlineLevelRow="3" x14ac:dyDescent="0.3"/>
  <cols>
    <col min="1" max="1" width="47.19921875" bestFit="1" customWidth="1"/>
    <col min="2" max="2" width="31.8984375" bestFit="1" customWidth="1"/>
    <col min="3" max="3" width="11.19921875" bestFit="1" customWidth="1"/>
    <col min="4" max="4" width="12.09765625" hidden="1" customWidth="1"/>
    <col min="5" max="5" width="36.59765625" bestFit="1" customWidth="1"/>
    <col min="6" max="6" width="8.59765625" bestFit="1" customWidth="1"/>
    <col min="7" max="7" width="27.8984375" bestFit="1" customWidth="1"/>
    <col min="8" max="8" width="8.69921875" hidden="1" customWidth="1"/>
    <col min="9" max="9" width="16" hidden="1" customWidth="1"/>
    <col min="10" max="10" width="11.8984375" bestFit="1" customWidth="1"/>
    <col min="11" max="11" width="13.09765625" hidden="1" customWidth="1"/>
    <col min="12" max="13" width="7.09765625" hidden="1" customWidth="1"/>
    <col min="14" max="14" width="6.09765625" hidden="1" customWidth="1"/>
    <col min="15" max="15" width="13.09765625" hidden="1" customWidth="1"/>
    <col min="16" max="16" width="12.19921875" hidden="1" customWidth="1"/>
    <col min="17" max="17" width="11" hidden="1" customWidth="1"/>
    <col min="18" max="18" width="7.09765625" hidden="1" customWidth="1"/>
    <col min="19" max="19" width="11.5" hidden="1" customWidth="1"/>
    <col min="20" max="20" width="11.19921875" hidden="1" customWidth="1"/>
    <col min="21" max="21" width="14.5" bestFit="1" customWidth="1"/>
    <col min="22" max="22" width="16" hidden="1" customWidth="1"/>
    <col min="23" max="23" width="13.59765625" hidden="1" customWidth="1"/>
    <col min="24" max="24" width="6" hidden="1" customWidth="1"/>
    <col min="25" max="25" width="13.59765625" hidden="1" customWidth="1"/>
    <col min="26" max="26" width="5.59765625" hidden="1" customWidth="1"/>
    <col min="27" max="27" width="6" hidden="1" customWidth="1"/>
    <col min="28" max="28" width="5.5" hidden="1" customWidth="1"/>
    <col min="29" max="29" width="14.5" bestFit="1" customWidth="1"/>
    <col min="30" max="30" width="13.19921875" bestFit="1" customWidth="1"/>
    <col min="31" max="31" width="10.59765625" bestFit="1" customWidth="1"/>
    <col min="32" max="32" width="12.8984375" bestFit="1" customWidth="1"/>
    <col min="33" max="33" width="9.59765625" bestFit="1" customWidth="1"/>
    <col min="34" max="34" width="14.09765625" bestFit="1" customWidth="1"/>
    <col min="35" max="35" width="10.59765625" bestFit="1" customWidth="1"/>
    <col min="36" max="36" width="13.59765625" bestFit="1" customWidth="1"/>
    <col min="37" max="37" width="9.59765625" bestFit="1" customWidth="1"/>
    <col min="38" max="38" width="11.09765625" hidden="1" customWidth="1"/>
    <col min="39" max="39" width="14.5" bestFit="1" customWidth="1"/>
    <col min="40" max="40" width="4.59765625" hidden="1" customWidth="1"/>
    <col min="41" max="41" width="7.19921875" hidden="1" customWidth="1"/>
    <col min="42" max="42" width="14.5" hidden="1" customWidth="1"/>
    <col min="43" max="43" width="12.8984375" hidden="1" customWidth="1"/>
    <col min="44" max="44" width="14" hidden="1" customWidth="1"/>
    <col min="45" max="45" width="16.8984375" hidden="1" customWidth="1"/>
    <col min="46" max="46" width="11.8984375" hidden="1" customWidth="1"/>
    <col min="47" max="47" width="10.59765625" hidden="1" customWidth="1"/>
    <col min="48" max="48" width="12.8984375" hidden="1" customWidth="1"/>
    <col min="49" max="49" width="9.59765625" hidden="1" customWidth="1"/>
    <col min="50" max="50" width="15" hidden="1" customWidth="1"/>
    <col min="51" max="51" width="10.59765625" hidden="1" customWidth="1"/>
    <col min="52" max="52" width="14.5" hidden="1" customWidth="1"/>
    <col min="53" max="53" width="9.59765625" hidden="1" customWidth="1"/>
    <col min="54" max="54" width="8.8984375" bestFit="1" customWidth="1"/>
    <col min="55" max="55" width="12.09765625" bestFit="1" customWidth="1"/>
    <col min="56" max="56" width="11.19921875" hidden="1" customWidth="1"/>
    <col min="57" max="57" width="10.59765625" hidden="1" customWidth="1"/>
    <col min="58" max="58" width="12.8984375" hidden="1" customWidth="1"/>
    <col min="59" max="59" width="9.59765625" hidden="1" customWidth="1"/>
    <col min="60" max="60" width="13.59765625" hidden="1" customWidth="1"/>
    <col min="61" max="61" width="10.59765625" hidden="1" customWidth="1"/>
    <col min="62" max="62" width="13.09765625" hidden="1" customWidth="1"/>
    <col min="63" max="63" width="9.59765625" hidden="1" customWidth="1"/>
    <col min="64" max="64" width="14" hidden="1" customWidth="1"/>
    <col min="65" max="65" width="9.8984375" hidden="1" customWidth="1"/>
    <col min="66" max="66" width="15.8984375" hidden="1" customWidth="1"/>
    <col min="67" max="67" width="12" hidden="1" customWidth="1"/>
    <col min="68" max="68" width="13.09765625" hidden="1" customWidth="1"/>
    <col min="69" max="69" width="10.69921875" hidden="1" customWidth="1"/>
    <col min="70" max="70" width="12.19921875" hidden="1" customWidth="1"/>
    <col min="71" max="71" width="9.09765625" hidden="1" customWidth="1"/>
    <col min="72" max="72" width="10.3984375" hidden="1" customWidth="1"/>
    <col min="73" max="73" width="15.69921875" hidden="1" customWidth="1"/>
    <col min="74" max="74" width="9.59765625" hidden="1" customWidth="1"/>
    <col min="75" max="76" width="9.19921875" hidden="1" customWidth="1"/>
    <col min="77" max="77" width="12.69921875" hidden="1" customWidth="1"/>
    <col min="78" max="78" width="12.19921875" hidden="1" customWidth="1"/>
    <col min="79" max="79" width="13.59765625" bestFit="1" customWidth="1"/>
    <col min="80" max="80" width="13.59765625" hidden="1" customWidth="1"/>
    <col min="81" max="84" width="11.5" hidden="1" customWidth="1"/>
    <col min="85" max="85" width="13.59765625" hidden="1" customWidth="1"/>
    <col min="86" max="86" width="10.59765625" hidden="1" customWidth="1"/>
    <col min="87" max="87" width="13.09765625" hidden="1" customWidth="1"/>
    <col min="88" max="88" width="9.59765625" hidden="1" customWidth="1"/>
    <col min="89" max="89" width="9.69921875" hidden="1" customWidth="1"/>
    <col min="90" max="90" width="10" hidden="1" customWidth="1"/>
  </cols>
  <sheetData>
    <row r="1" spans="1:90" ht="16.2" thickBot="1" x14ac:dyDescent="0.35">
      <c r="A1" s="155"/>
      <c r="B1" s="155"/>
      <c r="C1" s="155"/>
      <c r="D1" s="155"/>
      <c r="E1" s="155"/>
      <c r="F1" s="155"/>
      <c r="G1" s="155"/>
      <c r="H1" s="155"/>
      <c r="I1" s="156"/>
      <c r="J1" s="157" t="s">
        <v>219</v>
      </c>
      <c r="K1" s="157" t="s">
        <v>220</v>
      </c>
      <c r="L1" s="158"/>
      <c r="M1" s="157"/>
      <c r="N1" s="159"/>
      <c r="O1" s="158" t="s">
        <v>221</v>
      </c>
      <c r="P1" s="158" t="s">
        <v>222</v>
      </c>
      <c r="Q1" s="158" t="s">
        <v>223</v>
      </c>
      <c r="R1" s="316" t="s">
        <v>224</v>
      </c>
      <c r="S1" s="316"/>
      <c r="T1" s="316"/>
      <c r="U1" s="160" t="s">
        <v>221</v>
      </c>
      <c r="V1" s="158" t="s">
        <v>4</v>
      </c>
      <c r="W1" s="158"/>
      <c r="X1" s="161"/>
      <c r="Y1" s="158"/>
      <c r="Z1" s="161"/>
      <c r="AA1" s="161"/>
      <c r="AB1" s="161"/>
      <c r="AC1" s="160" t="s">
        <v>225</v>
      </c>
      <c r="AD1" s="314" t="s">
        <v>226</v>
      </c>
      <c r="AE1" s="314"/>
      <c r="AF1" s="314"/>
      <c r="AG1" s="314"/>
      <c r="AH1" s="314"/>
      <c r="AI1" s="314"/>
      <c r="AJ1" s="314"/>
      <c r="AK1" s="314"/>
      <c r="AL1" s="162"/>
      <c r="AM1" s="161"/>
      <c r="AN1" s="162"/>
      <c r="AO1" s="161"/>
      <c r="AP1" s="161"/>
      <c r="AQ1" s="161" t="s">
        <v>227</v>
      </c>
      <c r="AR1" s="159"/>
      <c r="AS1" s="158" t="s">
        <v>221</v>
      </c>
      <c r="AT1" s="314" t="s">
        <v>228</v>
      </c>
      <c r="AU1" s="314"/>
      <c r="AV1" s="314"/>
      <c r="AW1" s="314"/>
      <c r="AX1" s="314"/>
      <c r="AY1" s="314"/>
      <c r="AZ1" s="314"/>
      <c r="BA1" s="314"/>
      <c r="BB1" s="161" t="s">
        <v>219</v>
      </c>
      <c r="BC1" s="161" t="s">
        <v>220</v>
      </c>
      <c r="BD1" s="314" t="s">
        <v>229</v>
      </c>
      <c r="BE1" s="314"/>
      <c r="BF1" s="314"/>
      <c r="BG1" s="314"/>
      <c r="BH1" s="314"/>
      <c r="BI1" s="314"/>
      <c r="BJ1" s="314"/>
      <c r="BK1" s="314"/>
      <c r="BL1" s="161" t="s">
        <v>220</v>
      </c>
      <c r="BM1" s="161" t="s">
        <v>230</v>
      </c>
      <c r="BN1" s="161" t="s">
        <v>231</v>
      </c>
      <c r="BO1" s="161" t="s">
        <v>232</v>
      </c>
      <c r="BP1" s="161"/>
      <c r="BQ1" s="158"/>
      <c r="BR1" s="157"/>
      <c r="BS1" s="161"/>
      <c r="BT1" s="161" t="s">
        <v>233</v>
      </c>
      <c r="BU1" s="163" t="s">
        <v>234</v>
      </c>
      <c r="BV1" s="161"/>
      <c r="BW1" s="161" t="s">
        <v>233</v>
      </c>
      <c r="BX1" s="161" t="s">
        <v>235</v>
      </c>
      <c r="BY1" s="158"/>
      <c r="BZ1" s="158"/>
      <c r="CA1" s="158"/>
      <c r="CB1" s="158"/>
      <c r="CC1" s="158"/>
      <c r="CD1" s="158"/>
      <c r="CE1" s="158"/>
      <c r="CF1" s="158"/>
      <c r="CG1" s="311" t="s">
        <v>236</v>
      </c>
      <c r="CH1" s="311"/>
      <c r="CI1" s="311"/>
      <c r="CJ1" s="311"/>
      <c r="CK1" s="157" t="s">
        <v>237</v>
      </c>
      <c r="CL1" s="157" t="s">
        <v>238</v>
      </c>
    </row>
    <row r="2" spans="1:90" x14ac:dyDescent="0.3">
      <c r="A2" s="164"/>
      <c r="B2" s="164"/>
      <c r="C2" s="164" t="s">
        <v>239</v>
      </c>
      <c r="D2" s="164"/>
      <c r="E2" s="164"/>
      <c r="F2" s="164"/>
      <c r="G2" s="164"/>
      <c r="H2" s="164" t="s">
        <v>240</v>
      </c>
      <c r="I2" s="165"/>
      <c r="J2" s="166" t="s">
        <v>241</v>
      </c>
      <c r="K2" s="166" t="s">
        <v>241</v>
      </c>
      <c r="L2" s="167"/>
      <c r="M2" s="166" t="s">
        <v>242</v>
      </c>
      <c r="N2" s="168"/>
      <c r="O2" s="167" t="s">
        <v>132</v>
      </c>
      <c r="P2" s="167" t="s">
        <v>243</v>
      </c>
      <c r="Q2" s="167" t="s">
        <v>243</v>
      </c>
      <c r="R2" s="167" t="s">
        <v>293</v>
      </c>
      <c r="S2" s="167"/>
      <c r="T2" s="167" t="s">
        <v>538</v>
      </c>
      <c r="U2" s="169" t="s">
        <v>132</v>
      </c>
      <c r="V2" s="167" t="s">
        <v>244</v>
      </c>
      <c r="W2" s="167" t="s">
        <v>245</v>
      </c>
      <c r="X2" s="167" t="s">
        <v>246</v>
      </c>
      <c r="Y2" s="167" t="s">
        <v>55</v>
      </c>
      <c r="Z2" s="167" t="s">
        <v>245</v>
      </c>
      <c r="AA2" s="167" t="s">
        <v>246</v>
      </c>
      <c r="AB2" s="167" t="s">
        <v>55</v>
      </c>
      <c r="AC2" s="169" t="s">
        <v>221</v>
      </c>
      <c r="AD2" s="312" t="s">
        <v>247</v>
      </c>
      <c r="AE2" s="312"/>
      <c r="AF2" s="312"/>
      <c r="AG2" s="312"/>
      <c r="AH2" s="313" t="s">
        <v>248</v>
      </c>
      <c r="AI2" s="314"/>
      <c r="AJ2" s="314"/>
      <c r="AK2" s="315"/>
      <c r="AL2" s="170">
        <v>36525</v>
      </c>
      <c r="AM2" s="171" t="s">
        <v>249</v>
      </c>
      <c r="AN2" s="167" t="s">
        <v>250</v>
      </c>
      <c r="AO2" s="167" t="s">
        <v>251</v>
      </c>
      <c r="AP2" s="167" t="s">
        <v>252</v>
      </c>
      <c r="AQ2" s="167" t="s">
        <v>253</v>
      </c>
      <c r="AR2" s="168" t="s">
        <v>254</v>
      </c>
      <c r="AS2" s="167" t="s">
        <v>132</v>
      </c>
      <c r="AT2" s="312" t="s">
        <v>255</v>
      </c>
      <c r="AU2" s="312"/>
      <c r="AV2" s="312"/>
      <c r="AW2" s="312"/>
      <c r="AX2" s="312" t="s">
        <v>250</v>
      </c>
      <c r="AY2" s="312"/>
      <c r="AZ2" s="312"/>
      <c r="BA2" s="312"/>
      <c r="BB2" s="167" t="s">
        <v>253</v>
      </c>
      <c r="BC2" s="167" t="s">
        <v>253</v>
      </c>
      <c r="BD2" s="312" t="s">
        <v>255</v>
      </c>
      <c r="BE2" s="312"/>
      <c r="BF2" s="312"/>
      <c r="BG2" s="312"/>
      <c r="BH2" s="312" t="s">
        <v>250</v>
      </c>
      <c r="BI2" s="312"/>
      <c r="BJ2" s="312"/>
      <c r="BK2" s="312"/>
      <c r="BL2" s="167" t="s">
        <v>252</v>
      </c>
      <c r="BM2" s="167" t="s">
        <v>256</v>
      </c>
      <c r="BN2" s="167" t="s">
        <v>257</v>
      </c>
      <c r="BO2" s="167" t="s">
        <v>258</v>
      </c>
      <c r="BP2" s="172" t="s">
        <v>220</v>
      </c>
      <c r="BQ2" s="167" t="s">
        <v>259</v>
      </c>
      <c r="BR2" s="166" t="s">
        <v>19</v>
      </c>
      <c r="BS2" s="167" t="s">
        <v>260</v>
      </c>
      <c r="BT2" s="167" t="s">
        <v>238</v>
      </c>
      <c r="BU2" s="173" t="s">
        <v>261</v>
      </c>
      <c r="BV2" s="172" t="s">
        <v>262</v>
      </c>
      <c r="BW2" s="167" t="s">
        <v>253</v>
      </c>
      <c r="BX2" s="167" t="s">
        <v>253</v>
      </c>
      <c r="BY2" s="167" t="s">
        <v>247</v>
      </c>
      <c r="BZ2" s="167" t="s">
        <v>255</v>
      </c>
      <c r="CA2" s="167" t="s">
        <v>248</v>
      </c>
      <c r="CB2" s="167" t="s">
        <v>250</v>
      </c>
      <c r="CC2" s="167" t="s">
        <v>247</v>
      </c>
      <c r="CD2" s="167" t="s">
        <v>255</v>
      </c>
      <c r="CE2" s="167" t="s">
        <v>248</v>
      </c>
      <c r="CF2" s="167" t="s">
        <v>250</v>
      </c>
      <c r="CG2" s="312" t="s">
        <v>263</v>
      </c>
      <c r="CH2" s="312"/>
      <c r="CI2" s="312"/>
      <c r="CJ2" s="312"/>
      <c r="CK2" s="166" t="s">
        <v>264</v>
      </c>
      <c r="CL2" s="166" t="s">
        <v>237</v>
      </c>
    </row>
    <row r="3" spans="1:90" x14ac:dyDescent="0.3">
      <c r="A3" s="174" t="s">
        <v>265</v>
      </c>
      <c r="B3" s="174" t="s">
        <v>266</v>
      </c>
      <c r="C3" s="174" t="s">
        <v>267</v>
      </c>
      <c r="D3" s="174" t="s">
        <v>268</v>
      </c>
      <c r="E3" s="174" t="s">
        <v>245</v>
      </c>
      <c r="F3" s="174" t="s">
        <v>137</v>
      </c>
      <c r="G3" s="174" t="s">
        <v>242</v>
      </c>
      <c r="H3" s="174" t="s">
        <v>269</v>
      </c>
      <c r="I3" s="175" t="s">
        <v>260</v>
      </c>
      <c r="J3" s="176" t="s">
        <v>270</v>
      </c>
      <c r="K3" s="176" t="s">
        <v>270</v>
      </c>
      <c r="L3" s="177" t="s">
        <v>251</v>
      </c>
      <c r="M3" s="176" t="s">
        <v>271</v>
      </c>
      <c r="N3" s="176" t="s">
        <v>254</v>
      </c>
      <c r="O3" s="177" t="s">
        <v>272</v>
      </c>
      <c r="P3" s="177" t="s">
        <v>272</v>
      </c>
      <c r="Q3" s="177" t="s">
        <v>272</v>
      </c>
      <c r="R3" s="178" t="s">
        <v>539</v>
      </c>
      <c r="S3" s="178" t="s">
        <v>273</v>
      </c>
      <c r="T3" s="178" t="s">
        <v>540</v>
      </c>
      <c r="U3" s="179">
        <v>37161</v>
      </c>
      <c r="V3" s="178" t="s">
        <v>274</v>
      </c>
      <c r="W3" s="178" t="s">
        <v>7</v>
      </c>
      <c r="X3" s="178" t="s">
        <v>7</v>
      </c>
      <c r="Y3" s="178" t="s">
        <v>7</v>
      </c>
      <c r="Z3" s="178" t="s">
        <v>275</v>
      </c>
      <c r="AA3" s="178" t="s">
        <v>275</v>
      </c>
      <c r="AB3" s="178" t="s">
        <v>275</v>
      </c>
      <c r="AC3" s="179" t="s">
        <v>132</v>
      </c>
      <c r="AD3" s="180" t="s">
        <v>276</v>
      </c>
      <c r="AE3" s="180" t="s">
        <v>277</v>
      </c>
      <c r="AF3" s="180" t="s">
        <v>278</v>
      </c>
      <c r="AG3" s="180" t="s">
        <v>279</v>
      </c>
      <c r="AH3" s="181" t="s">
        <v>276</v>
      </c>
      <c r="AI3" s="180" t="s">
        <v>277</v>
      </c>
      <c r="AJ3" s="180" t="s">
        <v>278</v>
      </c>
      <c r="AK3" s="182" t="s">
        <v>279</v>
      </c>
      <c r="AL3" s="180" t="s">
        <v>280</v>
      </c>
      <c r="AM3" s="178" t="s">
        <v>281</v>
      </c>
      <c r="AN3" s="178" t="s">
        <v>282</v>
      </c>
      <c r="AO3" s="178" t="s">
        <v>283</v>
      </c>
      <c r="AP3" s="178" t="s">
        <v>281</v>
      </c>
      <c r="AQ3" s="178" t="s">
        <v>284</v>
      </c>
      <c r="AR3" s="183" t="s">
        <v>283</v>
      </c>
      <c r="AS3" s="177" t="s">
        <v>285</v>
      </c>
      <c r="AT3" s="180" t="s">
        <v>276</v>
      </c>
      <c r="AU3" s="180" t="s">
        <v>277</v>
      </c>
      <c r="AV3" s="180" t="s">
        <v>278</v>
      </c>
      <c r="AW3" s="180" t="s">
        <v>279</v>
      </c>
      <c r="AX3" s="180" t="s">
        <v>276</v>
      </c>
      <c r="AY3" s="180" t="s">
        <v>277</v>
      </c>
      <c r="AZ3" s="180" t="s">
        <v>278</v>
      </c>
      <c r="BA3" s="180" t="s">
        <v>279</v>
      </c>
      <c r="BB3" s="177" t="s">
        <v>272</v>
      </c>
      <c r="BC3" s="177" t="s">
        <v>272</v>
      </c>
      <c r="BD3" s="180" t="s">
        <v>276</v>
      </c>
      <c r="BE3" s="180" t="s">
        <v>277</v>
      </c>
      <c r="BF3" s="180" t="s">
        <v>278</v>
      </c>
      <c r="BG3" s="180" t="s">
        <v>279</v>
      </c>
      <c r="BH3" s="180" t="s">
        <v>276</v>
      </c>
      <c r="BI3" s="180" t="s">
        <v>277</v>
      </c>
      <c r="BJ3" s="180" t="s">
        <v>278</v>
      </c>
      <c r="BK3" s="180" t="s">
        <v>279</v>
      </c>
      <c r="BL3" s="178" t="s">
        <v>281</v>
      </c>
      <c r="BM3" s="178" t="s">
        <v>286</v>
      </c>
      <c r="BN3" s="178" t="s">
        <v>287</v>
      </c>
      <c r="BO3" s="178" t="s">
        <v>288</v>
      </c>
      <c r="BP3" s="180" t="s">
        <v>278</v>
      </c>
      <c r="BQ3" s="177" t="s">
        <v>272</v>
      </c>
      <c r="BR3" s="176" t="s">
        <v>289</v>
      </c>
      <c r="BS3" s="177" t="s">
        <v>269</v>
      </c>
      <c r="BT3" s="177" t="s">
        <v>282</v>
      </c>
      <c r="BU3" s="184" t="s">
        <v>290</v>
      </c>
      <c r="BV3" s="180" t="s">
        <v>291</v>
      </c>
      <c r="BW3" s="177" t="s">
        <v>292</v>
      </c>
      <c r="BX3" s="177" t="s">
        <v>292</v>
      </c>
      <c r="BY3" s="177" t="s">
        <v>293</v>
      </c>
      <c r="BZ3" s="177" t="s">
        <v>293</v>
      </c>
      <c r="CA3" s="177" t="s">
        <v>293</v>
      </c>
      <c r="CB3" s="177" t="s">
        <v>293</v>
      </c>
      <c r="CC3" s="177" t="s">
        <v>294</v>
      </c>
      <c r="CD3" s="177" t="s">
        <v>294</v>
      </c>
      <c r="CE3" s="177" t="s">
        <v>294</v>
      </c>
      <c r="CF3" s="177" t="s">
        <v>294</v>
      </c>
      <c r="CG3" s="180" t="s">
        <v>276</v>
      </c>
      <c r="CH3" s="180" t="s">
        <v>277</v>
      </c>
      <c r="CI3" s="180" t="s">
        <v>278</v>
      </c>
      <c r="CJ3" s="180" t="s">
        <v>279</v>
      </c>
      <c r="CK3" s="176" t="s">
        <v>271</v>
      </c>
      <c r="CL3" s="176" t="s">
        <v>271</v>
      </c>
    </row>
    <row r="4" spans="1:90" outlineLevel="3" x14ac:dyDescent="0.3">
      <c r="A4" s="128" t="s">
        <v>295</v>
      </c>
      <c r="B4" s="128" t="s">
        <v>296</v>
      </c>
      <c r="C4" s="128" t="s">
        <v>297</v>
      </c>
      <c r="D4" s="128" t="s">
        <v>298</v>
      </c>
      <c r="E4" s="128" t="s">
        <v>299</v>
      </c>
      <c r="F4" s="128" t="s">
        <v>300</v>
      </c>
      <c r="G4" s="128" t="s">
        <v>301</v>
      </c>
      <c r="H4" s="128" t="s">
        <v>302</v>
      </c>
      <c r="I4" s="185" t="s">
        <v>303</v>
      </c>
      <c r="J4" s="186">
        <v>1</v>
      </c>
      <c r="K4" s="187">
        <v>1</v>
      </c>
      <c r="L4" s="188">
        <v>0</v>
      </c>
      <c r="M4" s="189">
        <v>0</v>
      </c>
      <c r="N4" s="189">
        <v>1</v>
      </c>
      <c r="O4" s="188">
        <v>0</v>
      </c>
      <c r="P4" s="190">
        <v>0</v>
      </c>
      <c r="Q4" s="191">
        <v>0</v>
      </c>
      <c r="R4" s="191">
        <v>0</v>
      </c>
      <c r="S4" s="252">
        <v>1</v>
      </c>
      <c r="T4" s="191">
        <v>0</v>
      </c>
      <c r="U4" s="192">
        <v>0</v>
      </c>
      <c r="V4" s="188" t="s">
        <v>304</v>
      </c>
      <c r="W4" s="188">
        <v>0</v>
      </c>
      <c r="X4" s="188">
        <v>0</v>
      </c>
      <c r="Y4" s="188">
        <v>0</v>
      </c>
      <c r="Z4" s="188">
        <v>0</v>
      </c>
      <c r="AA4" s="188">
        <v>0</v>
      </c>
      <c r="AB4" s="188">
        <v>0</v>
      </c>
      <c r="AC4" s="192">
        <v>0</v>
      </c>
      <c r="AD4" s="188">
        <v>0</v>
      </c>
      <c r="AE4" s="188">
        <v>0</v>
      </c>
      <c r="AF4" s="188">
        <v>0</v>
      </c>
      <c r="AG4" s="188">
        <v>0</v>
      </c>
      <c r="AH4" s="193">
        <v>0</v>
      </c>
      <c r="AI4" s="188">
        <v>0</v>
      </c>
      <c r="AJ4" s="188">
        <v>0</v>
      </c>
      <c r="AK4" s="194">
        <v>0</v>
      </c>
      <c r="AL4" s="195">
        <v>0</v>
      </c>
      <c r="AM4" s="188">
        <v>5407002.8799999999</v>
      </c>
      <c r="AN4" s="189">
        <v>0</v>
      </c>
      <c r="AO4" s="195">
        <v>0</v>
      </c>
      <c r="AP4" s="188">
        <v>0</v>
      </c>
      <c r="AQ4" s="196">
        <v>1</v>
      </c>
      <c r="AR4" s="188">
        <v>0</v>
      </c>
      <c r="AS4" s="188">
        <v>0</v>
      </c>
      <c r="AT4" s="188">
        <v>0</v>
      </c>
      <c r="AU4" s="188">
        <v>0</v>
      </c>
      <c r="AV4" s="188">
        <v>0</v>
      </c>
      <c r="AW4" s="188">
        <v>0</v>
      </c>
      <c r="AX4" s="188">
        <v>0</v>
      </c>
      <c r="AY4" s="188">
        <v>0</v>
      </c>
      <c r="AZ4" s="188">
        <v>0</v>
      </c>
      <c r="BA4" s="188">
        <v>0</v>
      </c>
      <c r="BB4" s="188" t="s">
        <v>300</v>
      </c>
      <c r="BC4" s="188" t="s">
        <v>300</v>
      </c>
      <c r="BD4" s="188">
        <v>0</v>
      </c>
      <c r="BE4" s="188">
        <v>0</v>
      </c>
      <c r="BF4" s="188">
        <v>0</v>
      </c>
      <c r="BG4" s="188">
        <v>0</v>
      </c>
      <c r="BH4" s="188">
        <v>0</v>
      </c>
      <c r="BI4" s="188">
        <v>0</v>
      </c>
      <c r="BJ4" s="188">
        <v>0</v>
      </c>
      <c r="BK4" s="188">
        <v>0</v>
      </c>
      <c r="BL4" s="188">
        <v>0</v>
      </c>
      <c r="BM4" s="188" t="s">
        <v>305</v>
      </c>
      <c r="BN4" s="188">
        <v>0</v>
      </c>
      <c r="BO4" s="188" t="b">
        <v>0</v>
      </c>
      <c r="BP4" s="188">
        <v>0</v>
      </c>
      <c r="BQ4" s="197">
        <v>0</v>
      </c>
      <c r="BR4" s="189">
        <v>0</v>
      </c>
      <c r="BS4" s="198">
        <v>81</v>
      </c>
      <c r="BT4" s="189">
        <v>0</v>
      </c>
      <c r="BU4" s="199">
        <v>0</v>
      </c>
      <c r="BV4" s="189">
        <v>181</v>
      </c>
      <c r="BW4" s="200">
        <v>0</v>
      </c>
      <c r="BX4" s="200">
        <v>0</v>
      </c>
      <c r="BY4" s="188">
        <v>0</v>
      </c>
      <c r="BZ4" s="188">
        <v>0</v>
      </c>
      <c r="CA4" s="188">
        <v>0</v>
      </c>
      <c r="CB4" s="188">
        <v>-5407002.8799999999</v>
      </c>
      <c r="CC4" s="188">
        <v>0</v>
      </c>
      <c r="CD4" s="188">
        <v>0</v>
      </c>
      <c r="CE4" s="188">
        <v>0</v>
      </c>
      <c r="CF4" s="188">
        <v>0</v>
      </c>
      <c r="CG4" s="188">
        <v>0</v>
      </c>
      <c r="CH4" s="188">
        <v>0</v>
      </c>
      <c r="CI4" s="188">
        <v>0</v>
      </c>
      <c r="CJ4" s="188">
        <v>0</v>
      </c>
      <c r="CK4" s="189">
        <v>0</v>
      </c>
      <c r="CL4" s="189">
        <v>0</v>
      </c>
    </row>
    <row r="5" spans="1:90" s="219" customFormat="1" ht="20.100000000000001" customHeight="1" outlineLevel="2" x14ac:dyDescent="0.3">
      <c r="A5" s="201" t="s">
        <v>306</v>
      </c>
      <c r="B5" s="202"/>
      <c r="C5" s="202"/>
      <c r="D5" s="202"/>
      <c r="E5" s="202"/>
      <c r="F5" s="202"/>
      <c r="G5" s="202"/>
      <c r="H5" s="202"/>
      <c r="I5" s="203"/>
      <c r="J5" s="204"/>
      <c r="K5" s="205"/>
      <c r="L5" s="206"/>
      <c r="M5" s="207"/>
      <c r="N5" s="207"/>
      <c r="O5" s="206"/>
      <c r="P5" s="208"/>
      <c r="Q5" s="209"/>
      <c r="R5" s="209">
        <v>0</v>
      </c>
      <c r="S5" s="254">
        <v>1</v>
      </c>
      <c r="T5" s="209">
        <v>0</v>
      </c>
      <c r="U5" s="210">
        <v>0</v>
      </c>
      <c r="V5" s="206"/>
      <c r="W5" s="206">
        <v>0</v>
      </c>
      <c r="X5" s="206">
        <v>0</v>
      </c>
      <c r="Y5" s="206">
        <v>0</v>
      </c>
      <c r="Z5" s="206">
        <v>0</v>
      </c>
      <c r="AA5" s="206">
        <v>0</v>
      </c>
      <c r="AB5" s="206">
        <v>0</v>
      </c>
      <c r="AC5" s="210">
        <v>0</v>
      </c>
      <c r="AD5" s="206">
        <v>0</v>
      </c>
      <c r="AE5" s="206">
        <v>0</v>
      </c>
      <c r="AF5" s="206">
        <v>0</v>
      </c>
      <c r="AG5" s="206">
        <v>0</v>
      </c>
      <c r="AH5" s="211">
        <v>0</v>
      </c>
      <c r="AI5" s="206">
        <v>0</v>
      </c>
      <c r="AJ5" s="206">
        <v>0</v>
      </c>
      <c r="AK5" s="212">
        <v>0</v>
      </c>
      <c r="AL5" s="213"/>
      <c r="AM5" s="206">
        <v>5407002.8799999999</v>
      </c>
      <c r="AN5" s="207"/>
      <c r="AO5" s="213"/>
      <c r="AP5" s="206">
        <v>0</v>
      </c>
      <c r="AQ5" s="214"/>
      <c r="AR5" s="206"/>
      <c r="AS5" s="206"/>
      <c r="AT5" s="206">
        <v>0</v>
      </c>
      <c r="AU5" s="206">
        <v>0</v>
      </c>
      <c r="AV5" s="206">
        <v>0</v>
      </c>
      <c r="AW5" s="206">
        <v>0</v>
      </c>
      <c r="AX5" s="206">
        <v>0</v>
      </c>
      <c r="AY5" s="206">
        <v>0</v>
      </c>
      <c r="AZ5" s="206">
        <v>0</v>
      </c>
      <c r="BA5" s="206">
        <v>0</v>
      </c>
      <c r="BB5" s="206"/>
      <c r="BC5" s="206"/>
      <c r="BD5" s="206"/>
      <c r="BE5" s="206"/>
      <c r="BF5" s="206"/>
      <c r="BG5" s="206"/>
      <c r="BH5" s="206"/>
      <c r="BI5" s="206"/>
      <c r="BJ5" s="206"/>
      <c r="BK5" s="206"/>
      <c r="BL5" s="206"/>
      <c r="BM5" s="206"/>
      <c r="BN5" s="206"/>
      <c r="BO5" s="206"/>
      <c r="BP5" s="206"/>
      <c r="BQ5" s="215"/>
      <c r="BR5" s="207"/>
      <c r="BS5" s="216"/>
      <c r="BT5" s="207"/>
      <c r="BU5" s="217"/>
      <c r="BV5" s="207"/>
      <c r="BW5" s="218"/>
      <c r="BX5" s="218"/>
      <c r="BY5" s="206"/>
      <c r="BZ5" s="206"/>
      <c r="CA5" s="206">
        <v>0</v>
      </c>
      <c r="CB5" s="206"/>
      <c r="CC5" s="206"/>
      <c r="CD5" s="206"/>
      <c r="CE5" s="206"/>
      <c r="CF5" s="206"/>
      <c r="CG5" s="206"/>
      <c r="CH5" s="206"/>
      <c r="CI5" s="206"/>
      <c r="CJ5" s="206"/>
      <c r="CK5" s="207"/>
      <c r="CL5" s="207"/>
    </row>
    <row r="6" spans="1:90" s="234" customFormat="1" ht="30" customHeight="1" outlineLevel="1" x14ac:dyDescent="0.3">
      <c r="A6" s="202"/>
      <c r="B6" s="201" t="s">
        <v>307</v>
      </c>
      <c r="C6" s="202"/>
      <c r="D6" s="202"/>
      <c r="E6" s="202"/>
      <c r="F6" s="202"/>
      <c r="G6" s="202"/>
      <c r="H6" s="202"/>
      <c r="I6" s="203"/>
      <c r="J6" s="220"/>
      <c r="K6" s="220"/>
      <c r="L6" s="221"/>
      <c r="M6" s="222"/>
      <c r="N6" s="222"/>
      <c r="O6" s="221"/>
      <c r="P6" s="223"/>
      <c r="Q6" s="224"/>
      <c r="R6" s="224">
        <v>0</v>
      </c>
      <c r="S6" s="255">
        <v>1</v>
      </c>
      <c r="T6" s="224">
        <v>0</v>
      </c>
      <c r="U6" s="225">
        <v>0</v>
      </c>
      <c r="V6" s="221"/>
      <c r="W6" s="221">
        <v>0</v>
      </c>
      <c r="X6" s="221">
        <v>0</v>
      </c>
      <c r="Y6" s="221">
        <v>0</v>
      </c>
      <c r="Z6" s="221">
        <v>0</v>
      </c>
      <c r="AA6" s="221">
        <v>0</v>
      </c>
      <c r="AB6" s="221">
        <v>0</v>
      </c>
      <c r="AC6" s="225">
        <v>0</v>
      </c>
      <c r="AD6" s="221">
        <v>0</v>
      </c>
      <c r="AE6" s="221">
        <v>0</v>
      </c>
      <c r="AF6" s="221">
        <v>0</v>
      </c>
      <c r="AG6" s="221">
        <v>0</v>
      </c>
      <c r="AH6" s="226">
        <v>0</v>
      </c>
      <c r="AI6" s="221">
        <v>0</v>
      </c>
      <c r="AJ6" s="221">
        <v>0</v>
      </c>
      <c r="AK6" s="227">
        <v>0</v>
      </c>
      <c r="AL6" s="228"/>
      <c r="AM6" s="221">
        <v>5407002.8799999999</v>
      </c>
      <c r="AN6" s="222"/>
      <c r="AO6" s="228"/>
      <c r="AP6" s="221">
        <v>0</v>
      </c>
      <c r="AQ6" s="229"/>
      <c r="AR6" s="221"/>
      <c r="AS6" s="221"/>
      <c r="AT6" s="221">
        <v>0</v>
      </c>
      <c r="AU6" s="221">
        <v>0</v>
      </c>
      <c r="AV6" s="221">
        <v>0</v>
      </c>
      <c r="AW6" s="221">
        <v>0</v>
      </c>
      <c r="AX6" s="221">
        <v>0</v>
      </c>
      <c r="AY6" s="221">
        <v>0</v>
      </c>
      <c r="AZ6" s="221">
        <v>0</v>
      </c>
      <c r="BA6" s="221">
        <v>0</v>
      </c>
      <c r="BB6" s="221"/>
      <c r="BC6" s="221"/>
      <c r="BD6" s="221"/>
      <c r="BE6" s="221"/>
      <c r="BF6" s="221"/>
      <c r="BG6" s="221"/>
      <c r="BH6" s="221"/>
      <c r="BI6" s="221"/>
      <c r="BJ6" s="221"/>
      <c r="BK6" s="221"/>
      <c r="BL6" s="221"/>
      <c r="BM6" s="221"/>
      <c r="BN6" s="221"/>
      <c r="BO6" s="221"/>
      <c r="BP6" s="221"/>
      <c r="BQ6" s="230"/>
      <c r="BR6" s="222"/>
      <c r="BS6" s="231"/>
      <c r="BT6" s="222"/>
      <c r="BU6" s="232"/>
      <c r="BV6" s="222"/>
      <c r="BW6" s="233"/>
      <c r="BX6" s="233"/>
      <c r="BY6" s="221"/>
      <c r="BZ6" s="221"/>
      <c r="CA6" s="221">
        <v>0</v>
      </c>
      <c r="CB6" s="221"/>
      <c r="CC6" s="221"/>
      <c r="CD6" s="221"/>
      <c r="CE6" s="221"/>
      <c r="CF6" s="221"/>
      <c r="CG6" s="221"/>
      <c r="CH6" s="221"/>
      <c r="CI6" s="221"/>
      <c r="CJ6" s="221"/>
      <c r="CK6" s="222"/>
      <c r="CL6" s="222"/>
    </row>
    <row r="7" spans="1:90" outlineLevel="3" x14ac:dyDescent="0.3">
      <c r="A7" s="128" t="s">
        <v>308</v>
      </c>
      <c r="B7" s="128" t="s">
        <v>516</v>
      </c>
      <c r="C7" s="128" t="s">
        <v>526</v>
      </c>
      <c r="D7" s="128" t="s">
        <v>527</v>
      </c>
      <c r="E7" s="128" t="s">
        <v>309</v>
      </c>
      <c r="F7" s="128" t="s">
        <v>310</v>
      </c>
      <c r="G7" s="128" t="s">
        <v>311</v>
      </c>
      <c r="H7" s="128" t="s">
        <v>312</v>
      </c>
      <c r="I7" s="185" t="s">
        <v>303</v>
      </c>
      <c r="J7" s="187">
        <v>1092426</v>
      </c>
      <c r="K7" s="187">
        <v>1092426</v>
      </c>
      <c r="L7" s="189">
        <v>0</v>
      </c>
      <c r="M7" s="189">
        <v>0</v>
      </c>
      <c r="N7" s="189">
        <v>1</v>
      </c>
      <c r="O7" s="188">
        <v>1.17</v>
      </c>
      <c r="P7" s="190">
        <v>1.22</v>
      </c>
      <c r="Q7" s="190">
        <v>-0.05</v>
      </c>
      <c r="R7" s="191">
        <v>0</v>
      </c>
      <c r="S7" s="252">
        <v>1</v>
      </c>
      <c r="T7" s="191" t="s">
        <v>541</v>
      </c>
      <c r="U7" s="192">
        <v>1278138.42</v>
      </c>
      <c r="V7" s="188" t="s">
        <v>304</v>
      </c>
      <c r="W7" s="188">
        <v>0</v>
      </c>
      <c r="X7" s="188">
        <v>0</v>
      </c>
      <c r="Y7" s="188">
        <v>0</v>
      </c>
      <c r="Z7" s="188">
        <v>0</v>
      </c>
      <c r="AA7" s="188">
        <v>0</v>
      </c>
      <c r="AB7" s="188">
        <v>0</v>
      </c>
      <c r="AC7" s="192">
        <v>1332759.72</v>
      </c>
      <c r="AD7" s="188">
        <v>-54621.3</v>
      </c>
      <c r="AE7" s="188">
        <v>0</v>
      </c>
      <c r="AF7" s="188">
        <v>54621.3</v>
      </c>
      <c r="AG7" s="188">
        <v>0</v>
      </c>
      <c r="AH7" s="193">
        <v>-8083952.4000000013</v>
      </c>
      <c r="AI7" s="188">
        <v>0</v>
      </c>
      <c r="AJ7" s="188">
        <v>8083952.4000000013</v>
      </c>
      <c r="AK7" s="194">
        <v>0</v>
      </c>
      <c r="AL7" s="195">
        <v>0</v>
      </c>
      <c r="AM7" s="188">
        <v>26925615.25</v>
      </c>
      <c r="AN7" s="189">
        <v>0</v>
      </c>
      <c r="AO7" s="195">
        <v>0</v>
      </c>
      <c r="AP7" s="188">
        <v>104012148.25</v>
      </c>
      <c r="AQ7" s="196">
        <v>1</v>
      </c>
      <c r="AR7" s="188">
        <v>1278138.42</v>
      </c>
      <c r="AS7" s="188">
        <v>1.17</v>
      </c>
      <c r="AT7" s="188">
        <v>-2326867.38</v>
      </c>
      <c r="AU7" s="188">
        <v>0</v>
      </c>
      <c r="AV7" s="188">
        <v>2326867.38</v>
      </c>
      <c r="AW7" s="188">
        <v>0</v>
      </c>
      <c r="AX7" s="188">
        <v>-25617037.846666668</v>
      </c>
      <c r="AY7" s="188">
        <v>0</v>
      </c>
      <c r="AZ7" s="188">
        <v>25617037.846666668</v>
      </c>
      <c r="BA7" s="188">
        <v>0</v>
      </c>
      <c r="BB7" s="188">
        <v>1.17</v>
      </c>
      <c r="BC7" s="188">
        <v>1.22</v>
      </c>
      <c r="BD7" s="188">
        <v>-2272246.08</v>
      </c>
      <c r="BE7" s="188">
        <v>0</v>
      </c>
      <c r="BF7" s="188">
        <v>2272246.08</v>
      </c>
      <c r="BG7" s="188">
        <v>0</v>
      </c>
      <c r="BH7" s="188">
        <v>-25562416.546666667</v>
      </c>
      <c r="BI7" s="188">
        <v>0</v>
      </c>
      <c r="BJ7" s="188">
        <v>25562416.546666667</v>
      </c>
      <c r="BK7" s="188">
        <v>0</v>
      </c>
      <c r="BL7" s="188">
        <v>104012148.25</v>
      </c>
      <c r="BM7" s="188" t="s">
        <v>313</v>
      </c>
      <c r="BN7" s="188">
        <v>0</v>
      </c>
      <c r="BO7" s="188" t="b">
        <v>0</v>
      </c>
      <c r="BP7" s="188">
        <v>8029331.1000000015</v>
      </c>
      <c r="BQ7" s="190">
        <v>0</v>
      </c>
      <c r="BR7" s="189">
        <v>15000000</v>
      </c>
      <c r="BS7" s="198">
        <v>60</v>
      </c>
      <c r="BT7" s="189">
        <v>-54621.3</v>
      </c>
      <c r="BU7" s="199">
        <v>0</v>
      </c>
      <c r="BV7" s="189">
        <v>76</v>
      </c>
      <c r="BW7" s="200">
        <v>1.17</v>
      </c>
      <c r="BX7" s="200">
        <v>0</v>
      </c>
      <c r="BY7" s="188">
        <v>0</v>
      </c>
      <c r="BZ7" s="188">
        <v>0</v>
      </c>
      <c r="CA7" s="188">
        <v>0</v>
      </c>
      <c r="CB7" s="188">
        <v>-30438.983333333301</v>
      </c>
      <c r="CC7" s="188">
        <v>0</v>
      </c>
      <c r="CD7" s="188">
        <v>0</v>
      </c>
      <c r="CE7" s="188">
        <v>0</v>
      </c>
      <c r="CF7" s="188">
        <v>0</v>
      </c>
      <c r="CG7" s="188">
        <v>-8029331.1000000015</v>
      </c>
      <c r="CH7" s="188">
        <v>0</v>
      </c>
      <c r="CI7" s="188">
        <v>8029331.1000000015</v>
      </c>
      <c r="CJ7" s="188">
        <v>0</v>
      </c>
      <c r="CK7" s="189">
        <v>0</v>
      </c>
      <c r="CL7" s="189">
        <v>0</v>
      </c>
    </row>
    <row r="8" spans="1:90" s="219" customFormat="1" ht="20.100000000000001" customHeight="1" outlineLevel="2" x14ac:dyDescent="0.3">
      <c r="A8" s="202" t="s">
        <v>314</v>
      </c>
      <c r="B8" s="202"/>
      <c r="C8" s="202"/>
      <c r="D8" s="202"/>
      <c r="E8" s="202"/>
      <c r="F8" s="202"/>
      <c r="G8" s="202"/>
      <c r="H8" s="202"/>
      <c r="I8" s="203"/>
      <c r="J8" s="205"/>
      <c r="K8" s="205"/>
      <c r="L8" s="207"/>
      <c r="M8" s="207"/>
      <c r="N8" s="207"/>
      <c r="O8" s="206"/>
      <c r="P8" s="208"/>
      <c r="Q8" s="208"/>
      <c r="R8" s="209">
        <v>0</v>
      </c>
      <c r="S8" s="254">
        <v>1</v>
      </c>
      <c r="T8" s="209">
        <v>0</v>
      </c>
      <c r="U8" s="210">
        <v>1278138.42</v>
      </c>
      <c r="V8" s="206"/>
      <c r="W8" s="206">
        <v>0</v>
      </c>
      <c r="X8" s="206">
        <v>0</v>
      </c>
      <c r="Y8" s="206">
        <v>0</v>
      </c>
      <c r="Z8" s="206">
        <v>0</v>
      </c>
      <c r="AA8" s="206">
        <v>0</v>
      </c>
      <c r="AB8" s="206">
        <v>0</v>
      </c>
      <c r="AC8" s="210">
        <v>1332759.72</v>
      </c>
      <c r="AD8" s="206">
        <v>-54621.3</v>
      </c>
      <c r="AE8" s="206">
        <v>0</v>
      </c>
      <c r="AF8" s="206">
        <v>54621.3</v>
      </c>
      <c r="AG8" s="206">
        <v>0</v>
      </c>
      <c r="AH8" s="211">
        <v>-8083952.4000000013</v>
      </c>
      <c r="AI8" s="206">
        <v>0</v>
      </c>
      <c r="AJ8" s="206">
        <v>8083952.4000000013</v>
      </c>
      <c r="AK8" s="212">
        <v>0</v>
      </c>
      <c r="AL8" s="213"/>
      <c r="AM8" s="206">
        <v>26925615.25</v>
      </c>
      <c r="AN8" s="207"/>
      <c r="AO8" s="213"/>
      <c r="AP8" s="206">
        <v>104012148.25</v>
      </c>
      <c r="AQ8" s="214"/>
      <c r="AR8" s="206"/>
      <c r="AS8" s="206"/>
      <c r="AT8" s="206">
        <v>-2326867.38</v>
      </c>
      <c r="AU8" s="206">
        <v>0</v>
      </c>
      <c r="AV8" s="206">
        <v>2326867.38</v>
      </c>
      <c r="AW8" s="206">
        <v>0</v>
      </c>
      <c r="AX8" s="206">
        <v>-25617037.846666668</v>
      </c>
      <c r="AY8" s="206">
        <v>0</v>
      </c>
      <c r="AZ8" s="206">
        <v>25617037.846666668</v>
      </c>
      <c r="BA8" s="206">
        <v>0</v>
      </c>
      <c r="BB8" s="206"/>
      <c r="BC8" s="206"/>
      <c r="BD8" s="206"/>
      <c r="BE8" s="206"/>
      <c r="BF8" s="206"/>
      <c r="BG8" s="206"/>
      <c r="BH8" s="206"/>
      <c r="BI8" s="206"/>
      <c r="BJ8" s="206"/>
      <c r="BK8" s="206"/>
      <c r="BL8" s="206"/>
      <c r="BM8" s="206"/>
      <c r="BN8" s="206"/>
      <c r="BO8" s="206"/>
      <c r="BP8" s="206"/>
      <c r="BQ8" s="208"/>
      <c r="BR8" s="207"/>
      <c r="BS8" s="216"/>
      <c r="BT8" s="207"/>
      <c r="BU8" s="217"/>
      <c r="BV8" s="207"/>
      <c r="BW8" s="218"/>
      <c r="BX8" s="218"/>
      <c r="BY8" s="206"/>
      <c r="BZ8" s="206"/>
      <c r="CA8" s="206">
        <v>0</v>
      </c>
      <c r="CB8" s="206"/>
      <c r="CC8" s="206"/>
      <c r="CD8" s="206"/>
      <c r="CE8" s="206"/>
      <c r="CF8" s="206"/>
      <c r="CG8" s="206"/>
      <c r="CH8" s="206"/>
      <c r="CI8" s="206"/>
      <c r="CJ8" s="206"/>
      <c r="CK8" s="207"/>
      <c r="CL8" s="207"/>
    </row>
    <row r="9" spans="1:90" s="234" customFormat="1" ht="30" customHeight="1" outlineLevel="1" x14ac:dyDescent="0.3">
      <c r="A9" s="202"/>
      <c r="B9" s="202" t="s">
        <v>517</v>
      </c>
      <c r="C9" s="202"/>
      <c r="D9" s="202"/>
      <c r="E9" s="202"/>
      <c r="F9" s="202"/>
      <c r="G9" s="202"/>
      <c r="H9" s="202"/>
      <c r="I9" s="203"/>
      <c r="J9" s="220"/>
      <c r="K9" s="220"/>
      <c r="L9" s="222"/>
      <c r="M9" s="222"/>
      <c r="N9" s="222"/>
      <c r="O9" s="221"/>
      <c r="P9" s="223"/>
      <c r="Q9" s="223"/>
      <c r="R9" s="224">
        <v>0</v>
      </c>
      <c r="S9" s="255">
        <v>1</v>
      </c>
      <c r="T9" s="224">
        <v>0</v>
      </c>
      <c r="U9" s="225">
        <v>1278138.42</v>
      </c>
      <c r="V9" s="221"/>
      <c r="W9" s="221">
        <v>0</v>
      </c>
      <c r="X9" s="221">
        <v>0</v>
      </c>
      <c r="Y9" s="221">
        <v>0</v>
      </c>
      <c r="Z9" s="221">
        <v>0</v>
      </c>
      <c r="AA9" s="221">
        <v>0</v>
      </c>
      <c r="AB9" s="221">
        <v>0</v>
      </c>
      <c r="AC9" s="225">
        <v>1332759.72</v>
      </c>
      <c r="AD9" s="221">
        <v>-54621.3</v>
      </c>
      <c r="AE9" s="221">
        <v>0</v>
      </c>
      <c r="AF9" s="221">
        <v>54621.3</v>
      </c>
      <c r="AG9" s="221">
        <v>0</v>
      </c>
      <c r="AH9" s="226">
        <v>-8083952.4000000013</v>
      </c>
      <c r="AI9" s="221">
        <v>0</v>
      </c>
      <c r="AJ9" s="221">
        <v>8083952.4000000013</v>
      </c>
      <c r="AK9" s="227">
        <v>0</v>
      </c>
      <c r="AL9" s="228"/>
      <c r="AM9" s="221">
        <v>26925615.25</v>
      </c>
      <c r="AN9" s="222"/>
      <c r="AO9" s="228"/>
      <c r="AP9" s="221">
        <v>104012148.25</v>
      </c>
      <c r="AQ9" s="229"/>
      <c r="AR9" s="221"/>
      <c r="AS9" s="221"/>
      <c r="AT9" s="221">
        <v>-2326867.38</v>
      </c>
      <c r="AU9" s="221">
        <v>0</v>
      </c>
      <c r="AV9" s="221">
        <v>2326867.38</v>
      </c>
      <c r="AW9" s="221">
        <v>0</v>
      </c>
      <c r="AX9" s="221">
        <v>-25617037.846666668</v>
      </c>
      <c r="AY9" s="221">
        <v>0</v>
      </c>
      <c r="AZ9" s="221">
        <v>25617037.846666668</v>
      </c>
      <c r="BA9" s="221">
        <v>0</v>
      </c>
      <c r="BB9" s="221"/>
      <c r="BC9" s="221"/>
      <c r="BD9" s="221"/>
      <c r="BE9" s="221"/>
      <c r="BF9" s="221"/>
      <c r="BG9" s="221"/>
      <c r="BH9" s="221"/>
      <c r="BI9" s="221"/>
      <c r="BJ9" s="221"/>
      <c r="BK9" s="221"/>
      <c r="BL9" s="221"/>
      <c r="BM9" s="221"/>
      <c r="BN9" s="221"/>
      <c r="BO9" s="221"/>
      <c r="BP9" s="221"/>
      <c r="BQ9" s="223"/>
      <c r="BR9" s="222"/>
      <c r="BS9" s="231"/>
      <c r="BT9" s="222"/>
      <c r="BU9" s="232"/>
      <c r="BV9" s="222"/>
      <c r="BW9" s="233"/>
      <c r="BX9" s="233"/>
      <c r="BY9" s="221"/>
      <c r="BZ9" s="221"/>
      <c r="CA9" s="221">
        <v>0</v>
      </c>
      <c r="CB9" s="221"/>
      <c r="CC9" s="221"/>
      <c r="CD9" s="221"/>
      <c r="CE9" s="221"/>
      <c r="CF9" s="221"/>
      <c r="CG9" s="221"/>
      <c r="CH9" s="221"/>
      <c r="CI9" s="221"/>
      <c r="CJ9" s="221"/>
      <c r="CK9" s="222"/>
      <c r="CL9" s="222"/>
    </row>
    <row r="10" spans="1:90" outlineLevel="3" x14ac:dyDescent="0.3">
      <c r="A10" s="128" t="s">
        <v>315</v>
      </c>
      <c r="B10" s="128" t="s">
        <v>316</v>
      </c>
      <c r="C10" s="128" t="s">
        <v>484</v>
      </c>
      <c r="D10" s="128" t="s">
        <v>485</v>
      </c>
      <c r="E10" s="128" t="s">
        <v>317</v>
      </c>
      <c r="F10" s="128" t="s">
        <v>300</v>
      </c>
      <c r="G10" s="128" t="s">
        <v>318</v>
      </c>
      <c r="H10" s="128" t="s">
        <v>302</v>
      </c>
      <c r="I10" s="185" t="s">
        <v>319</v>
      </c>
      <c r="J10" s="187">
        <v>1</v>
      </c>
      <c r="K10" s="187">
        <v>1</v>
      </c>
      <c r="L10" s="189">
        <v>0</v>
      </c>
      <c r="M10" s="189">
        <v>0</v>
      </c>
      <c r="N10" s="189">
        <v>0</v>
      </c>
      <c r="O10" s="188">
        <v>1573175.52</v>
      </c>
      <c r="P10" s="189">
        <v>1381612.61</v>
      </c>
      <c r="Q10" s="189">
        <v>191562.91</v>
      </c>
      <c r="R10" s="191" t="s">
        <v>542</v>
      </c>
      <c r="S10" s="252">
        <v>1</v>
      </c>
      <c r="T10" s="191" t="s">
        <v>541</v>
      </c>
      <c r="U10" s="192">
        <v>1573175.52</v>
      </c>
      <c r="V10" s="188" t="s">
        <v>304</v>
      </c>
      <c r="W10" s="188">
        <v>0</v>
      </c>
      <c r="X10" s="188">
        <v>0</v>
      </c>
      <c r="Y10" s="188">
        <v>0</v>
      </c>
      <c r="Z10" s="188">
        <v>0</v>
      </c>
      <c r="AA10" s="188">
        <v>0</v>
      </c>
      <c r="AB10" s="188">
        <v>0</v>
      </c>
      <c r="AC10" s="192">
        <v>1381612.61</v>
      </c>
      <c r="AD10" s="188">
        <v>0</v>
      </c>
      <c r="AE10" s="188">
        <v>0</v>
      </c>
      <c r="AF10" s="188">
        <v>0</v>
      </c>
      <c r="AG10" s="188">
        <v>0</v>
      </c>
      <c r="AH10" s="193">
        <v>0</v>
      </c>
      <c r="AI10" s="188">
        <v>0</v>
      </c>
      <c r="AJ10" s="188">
        <v>0</v>
      </c>
      <c r="AK10" s="194">
        <v>0</v>
      </c>
      <c r="AL10" s="195">
        <v>0</v>
      </c>
      <c r="AM10" s="188">
        <v>4663184</v>
      </c>
      <c r="AN10" s="189">
        <v>0</v>
      </c>
      <c r="AO10" s="195">
        <v>0</v>
      </c>
      <c r="AP10" s="188">
        <v>1887724.3</v>
      </c>
      <c r="AQ10" s="196">
        <v>1</v>
      </c>
      <c r="AR10" s="188">
        <v>0</v>
      </c>
      <c r="AS10" s="188">
        <v>1573175.52</v>
      </c>
      <c r="AT10" s="188">
        <v>0</v>
      </c>
      <c r="AU10" s="188">
        <v>0</v>
      </c>
      <c r="AV10" s="188">
        <v>0</v>
      </c>
      <c r="AW10" s="188">
        <v>0</v>
      </c>
      <c r="AX10" s="188">
        <v>-3166148.43</v>
      </c>
      <c r="AY10" s="188">
        <v>0</v>
      </c>
      <c r="AZ10" s="188">
        <v>3166148.43</v>
      </c>
      <c r="BA10" s="188">
        <v>0</v>
      </c>
      <c r="BB10" s="188" t="s">
        <v>300</v>
      </c>
      <c r="BC10" s="188" t="s">
        <v>300</v>
      </c>
      <c r="BD10" s="188">
        <v>0</v>
      </c>
      <c r="BE10" s="188">
        <v>0</v>
      </c>
      <c r="BF10" s="188">
        <v>0</v>
      </c>
      <c r="BG10" s="188">
        <v>0</v>
      </c>
      <c r="BH10" s="188">
        <v>-3166148.43</v>
      </c>
      <c r="BI10" s="188">
        <v>0</v>
      </c>
      <c r="BJ10" s="188">
        <v>3166148.43</v>
      </c>
      <c r="BK10" s="188">
        <v>0</v>
      </c>
      <c r="BL10" s="188">
        <v>1887724.3</v>
      </c>
      <c r="BM10" s="188" t="s">
        <v>305</v>
      </c>
      <c r="BN10" s="188">
        <v>0</v>
      </c>
      <c r="BO10" s="188" t="b">
        <v>0</v>
      </c>
      <c r="BP10" s="188">
        <v>0</v>
      </c>
      <c r="BQ10" s="190">
        <v>4443788</v>
      </c>
      <c r="BR10" s="189">
        <v>0</v>
      </c>
      <c r="BS10" s="198">
        <v>83</v>
      </c>
      <c r="BT10" s="189">
        <v>0</v>
      </c>
      <c r="BU10" s="199">
        <v>0</v>
      </c>
      <c r="BV10" s="189">
        <v>207</v>
      </c>
      <c r="BW10" s="200">
        <v>0</v>
      </c>
      <c r="BX10" s="200">
        <v>0</v>
      </c>
      <c r="BY10" s="188">
        <v>191562.91</v>
      </c>
      <c r="BZ10" s="188">
        <v>191562.91</v>
      </c>
      <c r="CA10" s="188">
        <v>-314548.78000000003</v>
      </c>
      <c r="CB10" s="188">
        <v>76139.95</v>
      </c>
      <c r="CC10" s="188">
        <v>0</v>
      </c>
      <c r="CD10" s="188">
        <v>0</v>
      </c>
      <c r="CE10" s="188">
        <v>0</v>
      </c>
      <c r="CF10" s="188">
        <v>0</v>
      </c>
      <c r="CG10" s="188">
        <v>0</v>
      </c>
      <c r="CH10" s="188">
        <v>0</v>
      </c>
      <c r="CI10" s="188">
        <v>0</v>
      </c>
      <c r="CJ10" s="188">
        <v>0</v>
      </c>
      <c r="CK10" s="189">
        <v>0</v>
      </c>
      <c r="CL10" s="189">
        <v>0</v>
      </c>
    </row>
    <row r="11" spans="1:90" outlineLevel="3" x14ac:dyDescent="0.3">
      <c r="A11" s="128" t="s">
        <v>315</v>
      </c>
      <c r="B11" s="128" t="s">
        <v>316</v>
      </c>
      <c r="C11" s="128" t="s">
        <v>486</v>
      </c>
      <c r="D11" s="128" t="s">
        <v>487</v>
      </c>
      <c r="E11" s="128" t="s">
        <v>320</v>
      </c>
      <c r="F11" s="128" t="s">
        <v>300</v>
      </c>
      <c r="G11" s="128" t="s">
        <v>505</v>
      </c>
      <c r="H11" s="128" t="s">
        <v>302</v>
      </c>
      <c r="I11" s="185" t="s">
        <v>319</v>
      </c>
      <c r="J11" s="187">
        <v>1</v>
      </c>
      <c r="K11" s="187">
        <v>1</v>
      </c>
      <c r="L11" s="189">
        <v>0</v>
      </c>
      <c r="M11" s="189">
        <v>0</v>
      </c>
      <c r="N11" s="189">
        <v>0</v>
      </c>
      <c r="O11" s="188">
        <v>28238258.75</v>
      </c>
      <c r="P11" s="189">
        <v>27821406.440000001</v>
      </c>
      <c r="Q11" s="189">
        <v>416852.30999999866</v>
      </c>
      <c r="R11" s="191" t="s">
        <v>543</v>
      </c>
      <c r="S11" s="256">
        <v>0.625</v>
      </c>
      <c r="T11" s="191" t="s">
        <v>541</v>
      </c>
      <c r="U11" s="192">
        <v>28238258.75</v>
      </c>
      <c r="V11" s="188" t="s">
        <v>304</v>
      </c>
      <c r="W11" s="188">
        <v>0</v>
      </c>
      <c r="X11" s="188">
        <v>0</v>
      </c>
      <c r="Y11" s="188">
        <v>0</v>
      </c>
      <c r="Z11" s="188">
        <v>0</v>
      </c>
      <c r="AA11" s="188">
        <v>0</v>
      </c>
      <c r="AB11" s="188">
        <v>0</v>
      </c>
      <c r="AC11" s="192">
        <v>27821406.440000001</v>
      </c>
      <c r="AD11" s="188">
        <v>0</v>
      </c>
      <c r="AE11" s="188">
        <v>0</v>
      </c>
      <c r="AF11" s="188">
        <v>0</v>
      </c>
      <c r="AG11" s="188">
        <v>0</v>
      </c>
      <c r="AH11" s="193">
        <v>0</v>
      </c>
      <c r="AI11" s="188">
        <v>0</v>
      </c>
      <c r="AJ11" s="188">
        <v>0</v>
      </c>
      <c r="AK11" s="194">
        <v>0</v>
      </c>
      <c r="AL11" s="195">
        <v>0</v>
      </c>
      <c r="AM11" s="188">
        <v>21605090</v>
      </c>
      <c r="AN11" s="189">
        <v>0</v>
      </c>
      <c r="AO11" s="195">
        <v>0</v>
      </c>
      <c r="AP11" s="188">
        <v>23523500.010000002</v>
      </c>
      <c r="AQ11" s="196">
        <v>1</v>
      </c>
      <c r="AR11" s="188">
        <v>0</v>
      </c>
      <c r="AS11" s="188">
        <v>28238258.75</v>
      </c>
      <c r="AT11" s="188">
        <v>0</v>
      </c>
      <c r="AU11" s="188">
        <v>0</v>
      </c>
      <c r="AV11" s="188">
        <v>0</v>
      </c>
      <c r="AW11" s="188">
        <v>0</v>
      </c>
      <c r="AX11" s="188">
        <v>-111965</v>
      </c>
      <c r="AY11" s="188">
        <v>0</v>
      </c>
      <c r="AZ11" s="188">
        <v>111965</v>
      </c>
      <c r="BA11" s="188">
        <v>0</v>
      </c>
      <c r="BB11" s="188" t="s">
        <v>300</v>
      </c>
      <c r="BC11" s="188" t="s">
        <v>300</v>
      </c>
      <c r="BD11" s="188">
        <v>0</v>
      </c>
      <c r="BE11" s="188">
        <v>0</v>
      </c>
      <c r="BF11" s="188">
        <v>0</v>
      </c>
      <c r="BG11" s="188">
        <v>0</v>
      </c>
      <c r="BH11" s="188">
        <v>-111965</v>
      </c>
      <c r="BI11" s="188">
        <v>0</v>
      </c>
      <c r="BJ11" s="188">
        <v>111965</v>
      </c>
      <c r="BK11" s="188">
        <v>0</v>
      </c>
      <c r="BL11" s="188">
        <v>23523500.010000002</v>
      </c>
      <c r="BM11" s="188" t="s">
        <v>305</v>
      </c>
      <c r="BN11" s="188">
        <v>0</v>
      </c>
      <c r="BO11" s="188" t="b">
        <v>0</v>
      </c>
      <c r="BP11" s="188">
        <v>0</v>
      </c>
      <c r="BQ11" s="190">
        <v>0</v>
      </c>
      <c r="BR11" s="189">
        <v>0</v>
      </c>
      <c r="BS11" s="198">
        <v>83</v>
      </c>
      <c r="BT11" s="189">
        <v>0</v>
      </c>
      <c r="BU11" s="199">
        <v>0</v>
      </c>
      <c r="BV11" s="189">
        <v>240</v>
      </c>
      <c r="BW11" s="200">
        <v>0</v>
      </c>
      <c r="BX11" s="200">
        <v>0</v>
      </c>
      <c r="BY11" s="188">
        <v>416852.31</v>
      </c>
      <c r="BZ11" s="188">
        <v>2749133.74</v>
      </c>
      <c r="CA11" s="188">
        <v>4714758.74</v>
      </c>
      <c r="CB11" s="188">
        <v>6745133.7499999991</v>
      </c>
      <c r="CC11" s="188">
        <v>0</v>
      </c>
      <c r="CD11" s="188">
        <v>0</v>
      </c>
      <c r="CE11" s="188">
        <v>0</v>
      </c>
      <c r="CF11" s="188">
        <v>0</v>
      </c>
      <c r="CG11" s="188">
        <v>0</v>
      </c>
      <c r="CH11" s="188">
        <v>0</v>
      </c>
      <c r="CI11" s="188">
        <v>0</v>
      </c>
      <c r="CJ11" s="188">
        <v>0</v>
      </c>
      <c r="CK11" s="189">
        <v>0</v>
      </c>
      <c r="CL11" s="189">
        <v>0</v>
      </c>
    </row>
    <row r="12" spans="1:90" outlineLevel="3" x14ac:dyDescent="0.3">
      <c r="A12" s="128" t="s">
        <v>315</v>
      </c>
      <c r="B12" s="128" t="s">
        <v>316</v>
      </c>
      <c r="C12" s="128" t="s">
        <v>486</v>
      </c>
      <c r="D12" s="128" t="s">
        <v>487</v>
      </c>
      <c r="E12" s="128" t="s">
        <v>321</v>
      </c>
      <c r="F12" s="128" t="s">
        <v>300</v>
      </c>
      <c r="G12" s="128" t="s">
        <v>505</v>
      </c>
      <c r="H12" s="128" t="s">
        <v>302</v>
      </c>
      <c r="I12" s="185" t="s">
        <v>319</v>
      </c>
      <c r="J12" s="187">
        <v>1</v>
      </c>
      <c r="K12" s="187">
        <v>1</v>
      </c>
      <c r="L12" s="189">
        <v>0</v>
      </c>
      <c r="M12" s="189">
        <v>0</v>
      </c>
      <c r="N12" s="189">
        <v>0</v>
      </c>
      <c r="O12" s="188">
        <v>0</v>
      </c>
      <c r="P12" s="189">
        <v>0</v>
      </c>
      <c r="Q12" s="189">
        <v>0</v>
      </c>
      <c r="R12" s="191">
        <v>0</v>
      </c>
      <c r="S12" s="256">
        <v>1</v>
      </c>
      <c r="T12" s="191" t="s">
        <v>541</v>
      </c>
      <c r="U12" s="192">
        <v>0</v>
      </c>
      <c r="V12" s="188" t="s">
        <v>304</v>
      </c>
      <c r="W12" s="188">
        <v>0</v>
      </c>
      <c r="X12" s="188">
        <v>0</v>
      </c>
      <c r="Y12" s="188">
        <v>0</v>
      </c>
      <c r="Z12" s="188">
        <v>0</v>
      </c>
      <c r="AA12" s="188">
        <v>0</v>
      </c>
      <c r="AB12" s="188">
        <v>0</v>
      </c>
      <c r="AC12" s="192">
        <v>0</v>
      </c>
      <c r="AD12" s="188">
        <v>0</v>
      </c>
      <c r="AE12" s="188">
        <v>0</v>
      </c>
      <c r="AF12" s="188">
        <v>0</v>
      </c>
      <c r="AG12" s="188">
        <v>0</v>
      </c>
      <c r="AH12" s="193">
        <v>0</v>
      </c>
      <c r="AI12" s="188">
        <v>0</v>
      </c>
      <c r="AJ12" s="188">
        <v>0</v>
      </c>
      <c r="AK12" s="194">
        <v>0</v>
      </c>
      <c r="AL12" s="195">
        <v>0</v>
      </c>
      <c r="AM12" s="188">
        <v>1954995.27</v>
      </c>
      <c r="AN12" s="189">
        <v>0</v>
      </c>
      <c r="AO12" s="195">
        <v>0</v>
      </c>
      <c r="AP12" s="188">
        <v>0</v>
      </c>
      <c r="AQ12" s="196">
        <v>1</v>
      </c>
      <c r="AR12" s="188">
        <v>0</v>
      </c>
      <c r="AS12" s="188">
        <v>0</v>
      </c>
      <c r="AT12" s="188">
        <v>0</v>
      </c>
      <c r="AU12" s="188">
        <v>0</v>
      </c>
      <c r="AV12" s="188">
        <v>0</v>
      </c>
      <c r="AW12" s="188">
        <v>0</v>
      </c>
      <c r="AX12" s="188">
        <v>0</v>
      </c>
      <c r="AY12" s="188">
        <v>0</v>
      </c>
      <c r="AZ12" s="188">
        <v>0</v>
      </c>
      <c r="BA12" s="188">
        <v>0</v>
      </c>
      <c r="BB12" s="188" t="s">
        <v>300</v>
      </c>
      <c r="BC12" s="188" t="s">
        <v>300</v>
      </c>
      <c r="BD12" s="188">
        <v>0</v>
      </c>
      <c r="BE12" s="188">
        <v>0</v>
      </c>
      <c r="BF12" s="188">
        <v>0</v>
      </c>
      <c r="BG12" s="188">
        <v>0</v>
      </c>
      <c r="BH12" s="188">
        <v>0</v>
      </c>
      <c r="BI12" s="188">
        <v>0</v>
      </c>
      <c r="BJ12" s="188">
        <v>0</v>
      </c>
      <c r="BK12" s="188">
        <v>0</v>
      </c>
      <c r="BL12" s="188">
        <v>0</v>
      </c>
      <c r="BM12" s="188" t="s">
        <v>305</v>
      </c>
      <c r="BN12" s="188">
        <v>0</v>
      </c>
      <c r="BO12" s="188" t="b">
        <v>0</v>
      </c>
      <c r="BP12" s="188">
        <v>0</v>
      </c>
      <c r="BQ12" s="190">
        <v>0</v>
      </c>
      <c r="BR12" s="189">
        <v>0</v>
      </c>
      <c r="BS12" s="198">
        <v>83</v>
      </c>
      <c r="BT12" s="189">
        <v>0</v>
      </c>
      <c r="BU12" s="199">
        <v>0</v>
      </c>
      <c r="BV12" s="189">
        <v>241</v>
      </c>
      <c r="BW12" s="200">
        <v>0</v>
      </c>
      <c r="BX12" s="200">
        <v>0</v>
      </c>
      <c r="BY12" s="188">
        <v>0</v>
      </c>
      <c r="BZ12" s="188">
        <v>0</v>
      </c>
      <c r="CA12" s="188">
        <v>0</v>
      </c>
      <c r="CB12" s="188">
        <v>-1954995.27</v>
      </c>
      <c r="CC12" s="188">
        <v>0</v>
      </c>
      <c r="CD12" s="188">
        <v>0</v>
      </c>
      <c r="CE12" s="188">
        <v>0</v>
      </c>
      <c r="CF12" s="188">
        <v>0</v>
      </c>
      <c r="CG12" s="188">
        <v>0</v>
      </c>
      <c r="CH12" s="188">
        <v>0</v>
      </c>
      <c r="CI12" s="188">
        <v>0</v>
      </c>
      <c r="CJ12" s="188">
        <v>0</v>
      </c>
      <c r="CK12" s="189">
        <v>0</v>
      </c>
      <c r="CL12" s="189">
        <v>0</v>
      </c>
    </row>
    <row r="13" spans="1:90" outlineLevel="3" x14ac:dyDescent="0.3">
      <c r="A13" s="128" t="s">
        <v>315</v>
      </c>
      <c r="B13" s="128" t="s">
        <v>316</v>
      </c>
      <c r="C13" s="128" t="s">
        <v>486</v>
      </c>
      <c r="D13" s="128" t="s">
        <v>487</v>
      </c>
      <c r="E13" s="128" t="s">
        <v>322</v>
      </c>
      <c r="F13" s="128" t="s">
        <v>300</v>
      </c>
      <c r="G13" s="128" t="s">
        <v>505</v>
      </c>
      <c r="H13" s="128" t="s">
        <v>302</v>
      </c>
      <c r="I13" s="185" t="s">
        <v>319</v>
      </c>
      <c r="J13" s="187">
        <v>1</v>
      </c>
      <c r="K13" s="187">
        <v>1</v>
      </c>
      <c r="L13" s="189">
        <v>0</v>
      </c>
      <c r="M13" s="189">
        <v>0</v>
      </c>
      <c r="N13" s="189">
        <v>0</v>
      </c>
      <c r="O13" s="188">
        <v>9651875</v>
      </c>
      <c r="P13" s="189">
        <v>9651875</v>
      </c>
      <c r="Q13" s="189">
        <v>0</v>
      </c>
      <c r="R13" s="191">
        <v>0</v>
      </c>
      <c r="S13" s="256">
        <v>0.625</v>
      </c>
      <c r="T13" s="191" t="s">
        <v>541</v>
      </c>
      <c r="U13" s="192">
        <v>9651875</v>
      </c>
      <c r="V13" s="188" t="s">
        <v>304</v>
      </c>
      <c r="W13" s="188">
        <v>0</v>
      </c>
      <c r="X13" s="188">
        <v>0</v>
      </c>
      <c r="Y13" s="188">
        <v>0</v>
      </c>
      <c r="Z13" s="188">
        <v>0</v>
      </c>
      <c r="AA13" s="188">
        <v>0</v>
      </c>
      <c r="AB13" s="188">
        <v>0</v>
      </c>
      <c r="AC13" s="192">
        <v>9651875</v>
      </c>
      <c r="AD13" s="188">
        <v>0</v>
      </c>
      <c r="AE13" s="188">
        <v>0</v>
      </c>
      <c r="AF13" s="188">
        <v>0</v>
      </c>
      <c r="AG13" s="188">
        <v>0</v>
      </c>
      <c r="AH13" s="193">
        <v>0</v>
      </c>
      <c r="AI13" s="188">
        <v>0</v>
      </c>
      <c r="AJ13" s="188">
        <v>0</v>
      </c>
      <c r="AK13" s="194">
        <v>0</v>
      </c>
      <c r="AL13" s="195">
        <v>0</v>
      </c>
      <c r="AM13" s="188">
        <v>9231875</v>
      </c>
      <c r="AN13" s="189">
        <v>0</v>
      </c>
      <c r="AO13" s="195">
        <v>0</v>
      </c>
      <c r="AP13" s="188">
        <v>9651875</v>
      </c>
      <c r="AQ13" s="196">
        <v>1</v>
      </c>
      <c r="AR13" s="188">
        <v>0</v>
      </c>
      <c r="AS13" s="188">
        <v>9651875</v>
      </c>
      <c r="AT13" s="188">
        <v>0</v>
      </c>
      <c r="AU13" s="188">
        <v>0</v>
      </c>
      <c r="AV13" s="188">
        <v>0</v>
      </c>
      <c r="AW13" s="188">
        <v>0</v>
      </c>
      <c r="AX13" s="188">
        <v>420000</v>
      </c>
      <c r="AY13" s="188">
        <v>0</v>
      </c>
      <c r="AZ13" s="188">
        <v>-420000</v>
      </c>
      <c r="BA13" s="188">
        <v>0</v>
      </c>
      <c r="BB13" s="188" t="s">
        <v>300</v>
      </c>
      <c r="BC13" s="188" t="s">
        <v>300</v>
      </c>
      <c r="BD13" s="188">
        <v>0</v>
      </c>
      <c r="BE13" s="188">
        <v>0</v>
      </c>
      <c r="BF13" s="188">
        <v>0</v>
      </c>
      <c r="BG13" s="188">
        <v>0</v>
      </c>
      <c r="BH13" s="188">
        <v>420000</v>
      </c>
      <c r="BI13" s="188">
        <v>0</v>
      </c>
      <c r="BJ13" s="188">
        <v>-420000</v>
      </c>
      <c r="BK13" s="188">
        <v>0</v>
      </c>
      <c r="BL13" s="188">
        <v>9651875</v>
      </c>
      <c r="BM13" s="188" t="s">
        <v>305</v>
      </c>
      <c r="BN13" s="188">
        <v>0</v>
      </c>
      <c r="BO13" s="188" t="b">
        <v>0</v>
      </c>
      <c r="BP13" s="188">
        <v>0</v>
      </c>
      <c r="BQ13" s="190">
        <v>0</v>
      </c>
      <c r="BR13" s="189">
        <v>0</v>
      </c>
      <c r="BS13" s="198">
        <v>83</v>
      </c>
      <c r="BT13" s="189">
        <v>0</v>
      </c>
      <c r="BU13" s="199">
        <v>0</v>
      </c>
      <c r="BV13" s="189">
        <v>260</v>
      </c>
      <c r="BW13" s="200">
        <v>0</v>
      </c>
      <c r="BX13" s="200">
        <v>0</v>
      </c>
      <c r="BY13" s="188">
        <v>0</v>
      </c>
      <c r="BZ13" s="188">
        <v>0</v>
      </c>
      <c r="CA13" s="188">
        <v>0</v>
      </c>
      <c r="CB13" s="188">
        <v>0</v>
      </c>
      <c r="CC13" s="188">
        <v>0</v>
      </c>
      <c r="CD13" s="188">
        <v>0</v>
      </c>
      <c r="CE13" s="188">
        <v>0</v>
      </c>
      <c r="CF13" s="188">
        <v>0</v>
      </c>
      <c r="CG13" s="188">
        <v>0</v>
      </c>
      <c r="CH13" s="188">
        <v>0</v>
      </c>
      <c r="CI13" s="188">
        <v>0</v>
      </c>
      <c r="CJ13" s="188">
        <v>0</v>
      </c>
      <c r="CK13" s="189">
        <v>0</v>
      </c>
      <c r="CL13" s="189">
        <v>0</v>
      </c>
    </row>
    <row r="14" spans="1:90" outlineLevel="3" x14ac:dyDescent="0.3">
      <c r="A14" s="128" t="s">
        <v>315</v>
      </c>
      <c r="B14" s="128" t="s">
        <v>316</v>
      </c>
      <c r="C14" s="128" t="s">
        <v>486</v>
      </c>
      <c r="D14" s="128" t="s">
        <v>487</v>
      </c>
      <c r="E14" s="128" t="s">
        <v>323</v>
      </c>
      <c r="F14" s="128" t="s">
        <v>300</v>
      </c>
      <c r="G14" s="128" t="s">
        <v>505</v>
      </c>
      <c r="H14" s="128" t="s">
        <v>302</v>
      </c>
      <c r="I14" s="185" t="s">
        <v>319</v>
      </c>
      <c r="J14" s="187">
        <v>1</v>
      </c>
      <c r="K14" s="187">
        <v>1</v>
      </c>
      <c r="L14" s="189">
        <v>0</v>
      </c>
      <c r="M14" s="189">
        <v>0</v>
      </c>
      <c r="N14" s="189">
        <v>0</v>
      </c>
      <c r="O14" s="188">
        <v>1663862.85</v>
      </c>
      <c r="P14" s="189">
        <v>1663862.85</v>
      </c>
      <c r="Q14" s="189">
        <v>0</v>
      </c>
      <c r="R14" s="191">
        <v>0</v>
      </c>
      <c r="S14" s="256">
        <v>0.625</v>
      </c>
      <c r="T14" s="191" t="s">
        <v>541</v>
      </c>
      <c r="U14" s="192">
        <v>1663862.85</v>
      </c>
      <c r="V14" s="188" t="s">
        <v>304</v>
      </c>
      <c r="W14" s="188">
        <v>0</v>
      </c>
      <c r="X14" s="188">
        <v>0</v>
      </c>
      <c r="Y14" s="188">
        <v>0</v>
      </c>
      <c r="Z14" s="188">
        <v>0</v>
      </c>
      <c r="AA14" s="188">
        <v>0</v>
      </c>
      <c r="AB14" s="188">
        <v>0</v>
      </c>
      <c r="AC14" s="192">
        <v>1663862.85</v>
      </c>
      <c r="AD14" s="188">
        <v>0</v>
      </c>
      <c r="AE14" s="188">
        <v>0</v>
      </c>
      <c r="AF14" s="188">
        <v>0</v>
      </c>
      <c r="AG14" s="188">
        <v>0</v>
      </c>
      <c r="AH14" s="193">
        <v>0</v>
      </c>
      <c r="AI14" s="188">
        <v>0</v>
      </c>
      <c r="AJ14" s="188">
        <v>0</v>
      </c>
      <c r="AK14" s="194">
        <v>0</v>
      </c>
      <c r="AL14" s="195">
        <v>0</v>
      </c>
      <c r="AM14" s="188">
        <v>1663862.85</v>
      </c>
      <c r="AN14" s="189">
        <v>0</v>
      </c>
      <c r="AO14" s="195">
        <v>0</v>
      </c>
      <c r="AP14" s="188">
        <v>1663862.85</v>
      </c>
      <c r="AQ14" s="196">
        <v>1</v>
      </c>
      <c r="AR14" s="188">
        <v>0</v>
      </c>
      <c r="AS14" s="188">
        <v>1663862.85</v>
      </c>
      <c r="AT14" s="188">
        <v>0</v>
      </c>
      <c r="AU14" s="188">
        <v>0</v>
      </c>
      <c r="AV14" s="188">
        <v>0</v>
      </c>
      <c r="AW14" s="188">
        <v>0</v>
      </c>
      <c r="AX14" s="188">
        <v>0</v>
      </c>
      <c r="AY14" s="188">
        <v>0</v>
      </c>
      <c r="AZ14" s="188">
        <v>0</v>
      </c>
      <c r="BA14" s="188">
        <v>0</v>
      </c>
      <c r="BB14" s="188" t="s">
        <v>300</v>
      </c>
      <c r="BC14" s="188" t="s">
        <v>300</v>
      </c>
      <c r="BD14" s="188">
        <v>0</v>
      </c>
      <c r="BE14" s="188">
        <v>0</v>
      </c>
      <c r="BF14" s="188">
        <v>0</v>
      </c>
      <c r="BG14" s="188">
        <v>0</v>
      </c>
      <c r="BH14" s="188">
        <v>0</v>
      </c>
      <c r="BI14" s="188">
        <v>0</v>
      </c>
      <c r="BJ14" s="188">
        <v>0</v>
      </c>
      <c r="BK14" s="188">
        <v>0</v>
      </c>
      <c r="BL14" s="188">
        <v>1663862.85</v>
      </c>
      <c r="BM14" s="188" t="s">
        <v>305</v>
      </c>
      <c r="BN14" s="188">
        <v>0</v>
      </c>
      <c r="BO14" s="188" t="b">
        <v>0</v>
      </c>
      <c r="BP14" s="188">
        <v>0</v>
      </c>
      <c r="BQ14" s="190">
        <v>0</v>
      </c>
      <c r="BR14" s="189">
        <v>0</v>
      </c>
      <c r="BS14" s="198">
        <v>83</v>
      </c>
      <c r="BT14" s="189">
        <v>0</v>
      </c>
      <c r="BU14" s="199">
        <v>0</v>
      </c>
      <c r="BV14" s="189">
        <v>261</v>
      </c>
      <c r="BW14" s="200">
        <v>0</v>
      </c>
      <c r="BX14" s="200">
        <v>0</v>
      </c>
      <c r="BY14" s="188">
        <v>0</v>
      </c>
      <c r="BZ14" s="188">
        <v>0</v>
      </c>
      <c r="CA14" s="188">
        <v>0</v>
      </c>
      <c r="CB14" s="188">
        <v>0</v>
      </c>
      <c r="CC14" s="188">
        <v>0</v>
      </c>
      <c r="CD14" s="188">
        <v>0</v>
      </c>
      <c r="CE14" s="188">
        <v>0</v>
      </c>
      <c r="CF14" s="188">
        <v>0</v>
      </c>
      <c r="CG14" s="188">
        <v>0</v>
      </c>
      <c r="CH14" s="188">
        <v>0</v>
      </c>
      <c r="CI14" s="188">
        <v>0</v>
      </c>
      <c r="CJ14" s="188">
        <v>0</v>
      </c>
      <c r="CK14" s="189">
        <v>0</v>
      </c>
      <c r="CL14" s="189">
        <v>0</v>
      </c>
    </row>
    <row r="15" spans="1:90" outlineLevel="3" x14ac:dyDescent="0.3">
      <c r="A15" s="128" t="s">
        <v>315</v>
      </c>
      <c r="B15" s="128" t="s">
        <v>316</v>
      </c>
      <c r="C15" s="128" t="s">
        <v>484</v>
      </c>
      <c r="D15" s="128" t="s">
        <v>485</v>
      </c>
      <c r="E15" s="128" t="s">
        <v>324</v>
      </c>
      <c r="F15" s="128" t="s">
        <v>300</v>
      </c>
      <c r="G15" s="128" t="s">
        <v>318</v>
      </c>
      <c r="H15" s="128" t="s">
        <v>302</v>
      </c>
      <c r="I15" s="185" t="s">
        <v>319</v>
      </c>
      <c r="J15" s="187">
        <v>1</v>
      </c>
      <c r="K15" s="187">
        <v>1</v>
      </c>
      <c r="L15" s="189">
        <v>0</v>
      </c>
      <c r="M15" s="189">
        <v>0</v>
      </c>
      <c r="N15" s="189">
        <v>0</v>
      </c>
      <c r="O15" s="188">
        <v>1895268.24</v>
      </c>
      <c r="P15" s="189">
        <v>1895268.24</v>
      </c>
      <c r="Q15" s="189">
        <v>0</v>
      </c>
      <c r="R15" s="191" t="s">
        <v>543</v>
      </c>
      <c r="S15" s="256">
        <v>0.5</v>
      </c>
      <c r="T15" s="191" t="s">
        <v>541</v>
      </c>
      <c r="U15" s="192">
        <v>1895268.24</v>
      </c>
      <c r="V15" s="188" t="s">
        <v>304</v>
      </c>
      <c r="W15" s="188">
        <v>0</v>
      </c>
      <c r="X15" s="188">
        <v>0</v>
      </c>
      <c r="Y15" s="188">
        <v>0</v>
      </c>
      <c r="Z15" s="188">
        <v>0</v>
      </c>
      <c r="AA15" s="188">
        <v>0</v>
      </c>
      <c r="AB15" s="188">
        <v>0</v>
      </c>
      <c r="AC15" s="192">
        <v>1895268.24</v>
      </c>
      <c r="AD15" s="188">
        <v>0</v>
      </c>
      <c r="AE15" s="188">
        <v>0</v>
      </c>
      <c r="AF15" s="188">
        <v>0</v>
      </c>
      <c r="AG15" s="188">
        <v>0</v>
      </c>
      <c r="AH15" s="193">
        <v>0</v>
      </c>
      <c r="AI15" s="188">
        <v>0</v>
      </c>
      <c r="AJ15" s="188">
        <v>0</v>
      </c>
      <c r="AK15" s="194">
        <v>0</v>
      </c>
      <c r="AL15" s="195">
        <v>0</v>
      </c>
      <c r="AM15" s="188">
        <v>230788.38999999873</v>
      </c>
      <c r="AN15" s="189">
        <v>0</v>
      </c>
      <c r="AO15" s="195">
        <v>0</v>
      </c>
      <c r="AP15" s="188">
        <v>1895268.24</v>
      </c>
      <c r="AQ15" s="196">
        <v>1</v>
      </c>
      <c r="AR15" s="188">
        <v>0</v>
      </c>
      <c r="AS15" s="188">
        <v>1895268.24</v>
      </c>
      <c r="AT15" s="188">
        <v>0</v>
      </c>
      <c r="AU15" s="188">
        <v>0</v>
      </c>
      <c r="AV15" s="188">
        <v>0</v>
      </c>
      <c r="AW15" s="188">
        <v>0</v>
      </c>
      <c r="AX15" s="188">
        <v>0</v>
      </c>
      <c r="AY15" s="188">
        <v>0</v>
      </c>
      <c r="AZ15" s="188">
        <v>0</v>
      </c>
      <c r="BA15" s="188">
        <v>0</v>
      </c>
      <c r="BB15" s="188" t="s">
        <v>300</v>
      </c>
      <c r="BC15" s="188" t="s">
        <v>300</v>
      </c>
      <c r="BD15" s="188">
        <v>0</v>
      </c>
      <c r="BE15" s="188">
        <v>0</v>
      </c>
      <c r="BF15" s="188">
        <v>0</v>
      </c>
      <c r="BG15" s="188">
        <v>0</v>
      </c>
      <c r="BH15" s="188">
        <v>0</v>
      </c>
      <c r="BI15" s="188">
        <v>0</v>
      </c>
      <c r="BJ15" s="188">
        <v>0</v>
      </c>
      <c r="BK15" s="188">
        <v>0</v>
      </c>
      <c r="BL15" s="188">
        <v>1895268.24</v>
      </c>
      <c r="BM15" s="188" t="s">
        <v>305</v>
      </c>
      <c r="BN15" s="188">
        <v>0</v>
      </c>
      <c r="BO15" s="188" t="b">
        <v>0</v>
      </c>
      <c r="BP15" s="188">
        <v>0</v>
      </c>
      <c r="BQ15" s="190">
        <v>0</v>
      </c>
      <c r="BR15" s="189">
        <v>0</v>
      </c>
      <c r="BS15" s="198">
        <v>83</v>
      </c>
      <c r="BT15" s="189">
        <v>0</v>
      </c>
      <c r="BU15" s="199">
        <v>0</v>
      </c>
      <c r="BV15" s="189">
        <v>263</v>
      </c>
      <c r="BW15" s="200">
        <v>0</v>
      </c>
      <c r="BX15" s="200">
        <v>0</v>
      </c>
      <c r="BY15" s="188">
        <v>0</v>
      </c>
      <c r="BZ15" s="188">
        <v>0</v>
      </c>
      <c r="CA15" s="188">
        <v>0</v>
      </c>
      <c r="CB15" s="188">
        <v>1664479.85</v>
      </c>
      <c r="CC15" s="188">
        <v>0</v>
      </c>
      <c r="CD15" s="188">
        <v>0</v>
      </c>
      <c r="CE15" s="188">
        <v>0</v>
      </c>
      <c r="CF15" s="188">
        <v>0</v>
      </c>
      <c r="CG15" s="188">
        <v>0</v>
      </c>
      <c r="CH15" s="188">
        <v>0</v>
      </c>
      <c r="CI15" s="188">
        <v>0</v>
      </c>
      <c r="CJ15" s="188">
        <v>0</v>
      </c>
      <c r="CK15" s="189">
        <v>0</v>
      </c>
      <c r="CL15" s="189">
        <v>0</v>
      </c>
    </row>
    <row r="16" spans="1:90" outlineLevel="3" x14ac:dyDescent="0.3">
      <c r="A16" s="128" t="s">
        <v>315</v>
      </c>
      <c r="B16" s="128" t="s">
        <v>316</v>
      </c>
      <c r="C16" s="128" t="s">
        <v>484</v>
      </c>
      <c r="D16" s="128" t="s">
        <v>485</v>
      </c>
      <c r="E16" s="128" t="s">
        <v>325</v>
      </c>
      <c r="F16" s="128" t="s">
        <v>300</v>
      </c>
      <c r="G16" s="128" t="s">
        <v>318</v>
      </c>
      <c r="H16" s="128" t="s">
        <v>302</v>
      </c>
      <c r="I16" s="185" t="s">
        <v>319</v>
      </c>
      <c r="J16" s="187">
        <v>1</v>
      </c>
      <c r="K16" s="187">
        <v>1</v>
      </c>
      <c r="L16" s="189">
        <v>0</v>
      </c>
      <c r="M16" s="189">
        <v>0</v>
      </c>
      <c r="N16" s="189">
        <v>0</v>
      </c>
      <c r="O16" s="188">
        <v>0</v>
      </c>
      <c r="P16" s="189">
        <v>0</v>
      </c>
      <c r="Q16" s="189">
        <v>0</v>
      </c>
      <c r="R16" s="191">
        <v>0</v>
      </c>
      <c r="S16" s="256">
        <v>1</v>
      </c>
      <c r="T16" s="191" t="s">
        <v>541</v>
      </c>
      <c r="U16" s="192">
        <v>0</v>
      </c>
      <c r="V16" s="188" t="s">
        <v>304</v>
      </c>
      <c r="W16" s="188">
        <v>0</v>
      </c>
      <c r="X16" s="188">
        <v>0</v>
      </c>
      <c r="Y16" s="188">
        <v>0</v>
      </c>
      <c r="Z16" s="188">
        <v>0</v>
      </c>
      <c r="AA16" s="188">
        <v>0</v>
      </c>
      <c r="AB16" s="188">
        <v>0</v>
      </c>
      <c r="AC16" s="192">
        <v>0</v>
      </c>
      <c r="AD16" s="188">
        <v>0</v>
      </c>
      <c r="AE16" s="188">
        <v>0</v>
      </c>
      <c r="AF16" s="188">
        <v>0</v>
      </c>
      <c r="AG16" s="188">
        <v>0</v>
      </c>
      <c r="AH16" s="193">
        <v>0</v>
      </c>
      <c r="AI16" s="188">
        <v>0</v>
      </c>
      <c r="AJ16" s="188">
        <v>0</v>
      </c>
      <c r="AK16" s="194">
        <v>0</v>
      </c>
      <c r="AL16" s="195">
        <v>0</v>
      </c>
      <c r="AM16" s="188">
        <v>400561.36</v>
      </c>
      <c r="AN16" s="189">
        <v>0</v>
      </c>
      <c r="AO16" s="195">
        <v>0</v>
      </c>
      <c r="AP16" s="188">
        <v>0</v>
      </c>
      <c r="AQ16" s="196">
        <v>1</v>
      </c>
      <c r="AR16" s="188">
        <v>0</v>
      </c>
      <c r="AS16" s="188">
        <v>0</v>
      </c>
      <c r="AT16" s="188">
        <v>0</v>
      </c>
      <c r="AU16" s="188">
        <v>0</v>
      </c>
      <c r="AV16" s="188">
        <v>0</v>
      </c>
      <c r="AW16" s="188">
        <v>0</v>
      </c>
      <c r="AX16" s="188">
        <v>0</v>
      </c>
      <c r="AY16" s="188">
        <v>0</v>
      </c>
      <c r="AZ16" s="188">
        <v>0</v>
      </c>
      <c r="BA16" s="188">
        <v>0</v>
      </c>
      <c r="BB16" s="188" t="s">
        <v>300</v>
      </c>
      <c r="BC16" s="188" t="s">
        <v>300</v>
      </c>
      <c r="BD16" s="188">
        <v>0</v>
      </c>
      <c r="BE16" s="188">
        <v>0</v>
      </c>
      <c r="BF16" s="188">
        <v>0</v>
      </c>
      <c r="BG16" s="188">
        <v>0</v>
      </c>
      <c r="BH16" s="188">
        <v>0</v>
      </c>
      <c r="BI16" s="188">
        <v>0</v>
      </c>
      <c r="BJ16" s="188">
        <v>0</v>
      </c>
      <c r="BK16" s="188">
        <v>0</v>
      </c>
      <c r="BL16" s="188">
        <v>0</v>
      </c>
      <c r="BM16" s="188" t="s">
        <v>305</v>
      </c>
      <c r="BN16" s="188">
        <v>0</v>
      </c>
      <c r="BO16" s="188" t="b">
        <v>0</v>
      </c>
      <c r="BP16" s="188">
        <v>0</v>
      </c>
      <c r="BQ16" s="190">
        <v>0</v>
      </c>
      <c r="BR16" s="189">
        <v>0</v>
      </c>
      <c r="BS16" s="198">
        <v>83</v>
      </c>
      <c r="BT16" s="189">
        <v>0</v>
      </c>
      <c r="BU16" s="199">
        <v>0</v>
      </c>
      <c r="BV16" s="189">
        <v>264</v>
      </c>
      <c r="BW16" s="200">
        <v>0</v>
      </c>
      <c r="BX16" s="200">
        <v>0</v>
      </c>
      <c r="BY16" s="188">
        <v>0</v>
      </c>
      <c r="BZ16" s="188">
        <v>0</v>
      </c>
      <c r="CA16" s="188">
        <v>0</v>
      </c>
      <c r="CB16" s="188">
        <v>-400561.36</v>
      </c>
      <c r="CC16" s="188">
        <v>0</v>
      </c>
      <c r="CD16" s="188">
        <v>0</v>
      </c>
      <c r="CE16" s="188">
        <v>0</v>
      </c>
      <c r="CF16" s="188">
        <v>0</v>
      </c>
      <c r="CG16" s="188">
        <v>0</v>
      </c>
      <c r="CH16" s="188">
        <v>0</v>
      </c>
      <c r="CI16" s="188">
        <v>0</v>
      </c>
      <c r="CJ16" s="188">
        <v>0</v>
      </c>
      <c r="CK16" s="189">
        <v>0</v>
      </c>
      <c r="CL16" s="189">
        <v>0</v>
      </c>
    </row>
    <row r="17" spans="1:90" s="219" customFormat="1" ht="20.100000000000001" customHeight="1" outlineLevel="2" x14ac:dyDescent="0.3">
      <c r="A17" s="202" t="s">
        <v>326</v>
      </c>
      <c r="B17" s="202"/>
      <c r="C17" s="202"/>
      <c r="D17" s="202"/>
      <c r="E17" s="202"/>
      <c r="F17" s="202"/>
      <c r="G17" s="202"/>
      <c r="H17" s="202"/>
      <c r="I17" s="203"/>
      <c r="J17" s="205"/>
      <c r="K17" s="205"/>
      <c r="L17" s="207"/>
      <c r="M17" s="207"/>
      <c r="N17" s="207"/>
      <c r="O17" s="206"/>
      <c r="P17" s="207"/>
      <c r="Q17" s="207"/>
      <c r="R17" s="209">
        <v>0</v>
      </c>
      <c r="S17" s="257">
        <v>5.375</v>
      </c>
      <c r="T17" s="209">
        <v>0</v>
      </c>
      <c r="U17" s="210">
        <v>43022440.359999999</v>
      </c>
      <c r="V17" s="206"/>
      <c r="W17" s="206">
        <v>0</v>
      </c>
      <c r="X17" s="206">
        <v>0</v>
      </c>
      <c r="Y17" s="206">
        <v>0</v>
      </c>
      <c r="Z17" s="206">
        <v>0</v>
      </c>
      <c r="AA17" s="206">
        <v>0</v>
      </c>
      <c r="AB17" s="206">
        <v>0</v>
      </c>
      <c r="AC17" s="210">
        <v>42414025.140000001</v>
      </c>
      <c r="AD17" s="206">
        <v>0</v>
      </c>
      <c r="AE17" s="206">
        <v>0</v>
      </c>
      <c r="AF17" s="206">
        <v>0</v>
      </c>
      <c r="AG17" s="206">
        <v>0</v>
      </c>
      <c r="AH17" s="211">
        <v>0</v>
      </c>
      <c r="AI17" s="206">
        <v>0</v>
      </c>
      <c r="AJ17" s="206">
        <v>0</v>
      </c>
      <c r="AK17" s="212">
        <v>0</v>
      </c>
      <c r="AL17" s="213"/>
      <c r="AM17" s="206">
        <v>39750356.869999997</v>
      </c>
      <c r="AN17" s="207"/>
      <c r="AO17" s="213"/>
      <c r="AP17" s="206">
        <v>38622230.400000006</v>
      </c>
      <c r="AQ17" s="214"/>
      <c r="AR17" s="206"/>
      <c r="AS17" s="206"/>
      <c r="AT17" s="206">
        <v>0</v>
      </c>
      <c r="AU17" s="206">
        <v>0</v>
      </c>
      <c r="AV17" s="206">
        <v>0</v>
      </c>
      <c r="AW17" s="206">
        <v>0</v>
      </c>
      <c r="AX17" s="206">
        <v>-2858113.43</v>
      </c>
      <c r="AY17" s="206">
        <v>0</v>
      </c>
      <c r="AZ17" s="206">
        <v>2858113.43</v>
      </c>
      <c r="BA17" s="206">
        <v>0</v>
      </c>
      <c r="BB17" s="206"/>
      <c r="BC17" s="206"/>
      <c r="BD17" s="206"/>
      <c r="BE17" s="206"/>
      <c r="BF17" s="206"/>
      <c r="BG17" s="206"/>
      <c r="BH17" s="206"/>
      <c r="BI17" s="206"/>
      <c r="BJ17" s="206"/>
      <c r="BK17" s="206"/>
      <c r="BL17" s="206"/>
      <c r="BM17" s="206"/>
      <c r="BN17" s="206"/>
      <c r="BO17" s="206"/>
      <c r="BP17" s="206"/>
      <c r="BQ17" s="208"/>
      <c r="BR17" s="207"/>
      <c r="BS17" s="216"/>
      <c r="BT17" s="207"/>
      <c r="BU17" s="217"/>
      <c r="BV17" s="207"/>
      <c r="BW17" s="218"/>
      <c r="BX17" s="218"/>
      <c r="BY17" s="206"/>
      <c r="BZ17" s="206"/>
      <c r="CA17" s="206">
        <v>4400209.96</v>
      </c>
      <c r="CB17" s="206"/>
      <c r="CC17" s="206"/>
      <c r="CD17" s="206"/>
      <c r="CE17" s="206"/>
      <c r="CF17" s="206"/>
      <c r="CG17" s="206"/>
      <c r="CH17" s="206"/>
      <c r="CI17" s="206"/>
      <c r="CJ17" s="206"/>
      <c r="CK17" s="207"/>
      <c r="CL17" s="207"/>
    </row>
    <row r="18" spans="1:90" s="234" customFormat="1" ht="30" customHeight="1" outlineLevel="1" x14ac:dyDescent="0.3">
      <c r="A18" s="202"/>
      <c r="B18" s="202" t="s">
        <v>327</v>
      </c>
      <c r="C18" s="202"/>
      <c r="D18" s="202"/>
      <c r="E18" s="202"/>
      <c r="F18" s="202"/>
      <c r="G18" s="202"/>
      <c r="H18" s="202"/>
      <c r="I18" s="203"/>
      <c r="J18" s="220"/>
      <c r="K18" s="220"/>
      <c r="L18" s="222"/>
      <c r="M18" s="222"/>
      <c r="N18" s="222"/>
      <c r="O18" s="221"/>
      <c r="P18" s="222"/>
      <c r="Q18" s="222"/>
      <c r="R18" s="224">
        <v>0</v>
      </c>
      <c r="S18" s="258">
        <v>5.375</v>
      </c>
      <c r="T18" s="224">
        <v>0</v>
      </c>
      <c r="U18" s="225">
        <v>43022440.359999999</v>
      </c>
      <c r="V18" s="221"/>
      <c r="W18" s="221">
        <v>0</v>
      </c>
      <c r="X18" s="221">
        <v>0</v>
      </c>
      <c r="Y18" s="221">
        <v>0</v>
      </c>
      <c r="Z18" s="221">
        <v>0</v>
      </c>
      <c r="AA18" s="221">
        <v>0</v>
      </c>
      <c r="AB18" s="221">
        <v>0</v>
      </c>
      <c r="AC18" s="225">
        <v>42414025.140000001</v>
      </c>
      <c r="AD18" s="221">
        <v>0</v>
      </c>
      <c r="AE18" s="221">
        <v>0</v>
      </c>
      <c r="AF18" s="221">
        <v>0</v>
      </c>
      <c r="AG18" s="221">
        <v>0</v>
      </c>
      <c r="AH18" s="226">
        <v>0</v>
      </c>
      <c r="AI18" s="221">
        <v>0</v>
      </c>
      <c r="AJ18" s="221">
        <v>0</v>
      </c>
      <c r="AK18" s="227">
        <v>0</v>
      </c>
      <c r="AL18" s="228"/>
      <c r="AM18" s="221">
        <v>39750356.869999997</v>
      </c>
      <c r="AN18" s="222"/>
      <c r="AO18" s="228"/>
      <c r="AP18" s="221">
        <v>38622230.400000006</v>
      </c>
      <c r="AQ18" s="229"/>
      <c r="AR18" s="221"/>
      <c r="AS18" s="221"/>
      <c r="AT18" s="221">
        <v>0</v>
      </c>
      <c r="AU18" s="221">
        <v>0</v>
      </c>
      <c r="AV18" s="221">
        <v>0</v>
      </c>
      <c r="AW18" s="221">
        <v>0</v>
      </c>
      <c r="AX18" s="221">
        <v>-2858113.43</v>
      </c>
      <c r="AY18" s="221">
        <v>0</v>
      </c>
      <c r="AZ18" s="221">
        <v>2858113.43</v>
      </c>
      <c r="BA18" s="221">
        <v>0</v>
      </c>
      <c r="BB18" s="221"/>
      <c r="BC18" s="221"/>
      <c r="BD18" s="221"/>
      <c r="BE18" s="221"/>
      <c r="BF18" s="221"/>
      <c r="BG18" s="221"/>
      <c r="BH18" s="221"/>
      <c r="BI18" s="221"/>
      <c r="BJ18" s="221"/>
      <c r="BK18" s="221"/>
      <c r="BL18" s="221"/>
      <c r="BM18" s="221"/>
      <c r="BN18" s="221"/>
      <c r="BO18" s="221"/>
      <c r="BP18" s="221"/>
      <c r="BQ18" s="223"/>
      <c r="BR18" s="222"/>
      <c r="BS18" s="231"/>
      <c r="BT18" s="222"/>
      <c r="BU18" s="232"/>
      <c r="BV18" s="222"/>
      <c r="BW18" s="233"/>
      <c r="BX18" s="233"/>
      <c r="BY18" s="221"/>
      <c r="BZ18" s="221"/>
      <c r="CA18" s="221">
        <v>4400209.96</v>
      </c>
      <c r="CB18" s="221"/>
      <c r="CC18" s="221"/>
      <c r="CD18" s="221"/>
      <c r="CE18" s="221"/>
      <c r="CF18" s="221"/>
      <c r="CG18" s="221"/>
      <c r="CH18" s="221"/>
      <c r="CI18" s="221"/>
      <c r="CJ18" s="221"/>
      <c r="CK18" s="222"/>
      <c r="CL18" s="222"/>
    </row>
    <row r="19" spans="1:90" outlineLevel="3" x14ac:dyDescent="0.3">
      <c r="A19" s="128" t="s">
        <v>328</v>
      </c>
      <c r="B19" s="128" t="s">
        <v>329</v>
      </c>
      <c r="C19" s="128" t="s">
        <v>330</v>
      </c>
      <c r="D19" s="128" t="s">
        <v>331</v>
      </c>
      <c r="E19" s="128" t="s">
        <v>332</v>
      </c>
      <c r="F19" s="128" t="s">
        <v>333</v>
      </c>
      <c r="G19" s="235" t="s">
        <v>334</v>
      </c>
      <c r="H19" s="235" t="s">
        <v>335</v>
      </c>
      <c r="I19" s="185" t="s">
        <v>335</v>
      </c>
      <c r="J19" s="187">
        <v>0</v>
      </c>
      <c r="K19" s="187">
        <v>0</v>
      </c>
      <c r="L19" s="189">
        <v>3.3781327421952452E-2</v>
      </c>
      <c r="M19" s="189">
        <v>0</v>
      </c>
      <c r="N19" s="189">
        <v>0.28045569326120739</v>
      </c>
      <c r="O19" s="188">
        <v>1.303696338968512E-6</v>
      </c>
      <c r="P19" s="189">
        <v>1.3101495982820809E-6</v>
      </c>
      <c r="Q19" s="189">
        <v>-6.4532593135688688E-9</v>
      </c>
      <c r="R19" s="191">
        <v>0</v>
      </c>
      <c r="S19" s="252">
        <v>1</v>
      </c>
      <c r="T19" s="191" t="s">
        <v>541</v>
      </c>
      <c r="U19" s="192">
        <v>0</v>
      </c>
      <c r="V19" s="188" t="s">
        <v>304</v>
      </c>
      <c r="W19" s="188">
        <v>0</v>
      </c>
      <c r="X19" s="188">
        <v>0</v>
      </c>
      <c r="Y19" s="188">
        <v>0</v>
      </c>
      <c r="Z19" s="188">
        <v>0</v>
      </c>
      <c r="AA19" s="188">
        <v>0</v>
      </c>
      <c r="AB19" s="188">
        <v>0</v>
      </c>
      <c r="AC19" s="192">
        <v>0</v>
      </c>
      <c r="AD19" s="188">
        <v>0</v>
      </c>
      <c r="AE19" s="188">
        <v>0</v>
      </c>
      <c r="AF19" s="188">
        <v>0</v>
      </c>
      <c r="AG19" s="188">
        <v>0</v>
      </c>
      <c r="AH19" s="193">
        <v>0</v>
      </c>
      <c r="AI19" s="188">
        <v>0</v>
      </c>
      <c r="AJ19" s="188">
        <v>0</v>
      </c>
      <c r="AK19" s="194">
        <v>0</v>
      </c>
      <c r="AL19" s="195">
        <v>0</v>
      </c>
      <c r="AM19" s="188">
        <v>127482.4475727526</v>
      </c>
      <c r="AN19" s="195">
        <v>0</v>
      </c>
      <c r="AO19" s="195">
        <v>0</v>
      </c>
      <c r="AP19" s="188">
        <v>84870.386027040266</v>
      </c>
      <c r="AQ19" s="196">
        <v>1</v>
      </c>
      <c r="AR19" s="188">
        <v>0</v>
      </c>
      <c r="AS19" s="188">
        <v>16.25</v>
      </c>
      <c r="AT19" s="188">
        <v>0</v>
      </c>
      <c r="AU19" s="188">
        <v>0</v>
      </c>
      <c r="AV19" s="188">
        <v>0</v>
      </c>
      <c r="AW19" s="188">
        <v>0</v>
      </c>
      <c r="AX19" s="188">
        <v>-89917.647572752583</v>
      </c>
      <c r="AY19" s="188">
        <v>0</v>
      </c>
      <c r="AZ19" s="188">
        <v>89917.647572752583</v>
      </c>
      <c r="BA19" s="188">
        <v>0</v>
      </c>
      <c r="BB19" s="188">
        <v>13.45</v>
      </c>
      <c r="BC19" s="188">
        <v>13.4</v>
      </c>
      <c r="BD19" s="188">
        <v>0</v>
      </c>
      <c r="BE19" s="188">
        <v>0</v>
      </c>
      <c r="BF19" s="188">
        <v>0</v>
      </c>
      <c r="BG19" s="188">
        <v>0</v>
      </c>
      <c r="BH19" s="188">
        <v>-89917.647572752583</v>
      </c>
      <c r="BI19" s="188">
        <v>0</v>
      </c>
      <c r="BJ19" s="188">
        <v>89917.647572752583</v>
      </c>
      <c r="BK19" s="188">
        <v>0</v>
      </c>
      <c r="BL19" s="188">
        <v>84870.386027040266</v>
      </c>
      <c r="BM19" s="188" t="s">
        <v>313</v>
      </c>
      <c r="BN19" s="188">
        <v>0</v>
      </c>
      <c r="BO19" s="188" t="b">
        <v>0</v>
      </c>
      <c r="BP19" s="188">
        <v>0</v>
      </c>
      <c r="BQ19" s="189">
        <v>0</v>
      </c>
      <c r="BR19" s="189">
        <v>0</v>
      </c>
      <c r="BS19" s="198">
        <v>42</v>
      </c>
      <c r="BT19" s="189">
        <v>0</v>
      </c>
      <c r="BU19" s="199">
        <v>0</v>
      </c>
      <c r="BV19" s="189">
        <v>319</v>
      </c>
      <c r="BW19" s="200">
        <v>13.45</v>
      </c>
      <c r="BX19" s="200">
        <v>13.45</v>
      </c>
      <c r="BY19" s="188">
        <v>0</v>
      </c>
      <c r="BZ19" s="188">
        <v>0</v>
      </c>
      <c r="CA19" s="188">
        <v>0</v>
      </c>
      <c r="CB19" s="188">
        <v>-37564.800000000003</v>
      </c>
      <c r="CC19" s="188">
        <v>0</v>
      </c>
      <c r="CD19" s="188">
        <v>0</v>
      </c>
      <c r="CE19" s="188">
        <v>0</v>
      </c>
      <c r="CF19" s="188">
        <v>0</v>
      </c>
      <c r="CG19" s="188">
        <v>0</v>
      </c>
      <c r="CH19" s="188">
        <v>0</v>
      </c>
      <c r="CI19" s="188">
        <v>0</v>
      </c>
      <c r="CJ19" s="188">
        <v>0</v>
      </c>
      <c r="CK19" s="189">
        <v>0</v>
      </c>
      <c r="CL19" s="189">
        <v>0</v>
      </c>
    </row>
    <row r="20" spans="1:90" s="219" customFormat="1" ht="20.100000000000001" customHeight="1" outlineLevel="2" x14ac:dyDescent="0.3">
      <c r="A20" s="202" t="s">
        <v>336</v>
      </c>
      <c r="B20" s="202"/>
      <c r="C20" s="202"/>
      <c r="D20" s="202"/>
      <c r="E20" s="202"/>
      <c r="F20" s="202"/>
      <c r="G20" s="236"/>
      <c r="H20" s="236"/>
      <c r="I20" s="203"/>
      <c r="J20" s="205"/>
      <c r="K20" s="205"/>
      <c r="L20" s="207"/>
      <c r="M20" s="207"/>
      <c r="N20" s="207"/>
      <c r="O20" s="206"/>
      <c r="P20" s="207"/>
      <c r="Q20" s="207"/>
      <c r="R20" s="209">
        <v>0</v>
      </c>
      <c r="S20" s="254">
        <v>1</v>
      </c>
      <c r="T20" s="209">
        <v>0</v>
      </c>
      <c r="U20" s="210">
        <v>0</v>
      </c>
      <c r="V20" s="206"/>
      <c r="W20" s="206">
        <v>0</v>
      </c>
      <c r="X20" s="206">
        <v>0</v>
      </c>
      <c r="Y20" s="206">
        <v>0</v>
      </c>
      <c r="Z20" s="206">
        <v>0</v>
      </c>
      <c r="AA20" s="206">
        <v>0</v>
      </c>
      <c r="AB20" s="206">
        <v>0</v>
      </c>
      <c r="AC20" s="210">
        <v>0</v>
      </c>
      <c r="AD20" s="206">
        <v>0</v>
      </c>
      <c r="AE20" s="206">
        <v>0</v>
      </c>
      <c r="AF20" s="206">
        <v>0</v>
      </c>
      <c r="AG20" s="206">
        <v>0</v>
      </c>
      <c r="AH20" s="211">
        <v>0</v>
      </c>
      <c r="AI20" s="206">
        <v>0</v>
      </c>
      <c r="AJ20" s="206">
        <v>0</v>
      </c>
      <c r="AK20" s="212">
        <v>0</v>
      </c>
      <c r="AL20" s="213"/>
      <c r="AM20" s="206">
        <v>127482.4475727526</v>
      </c>
      <c r="AN20" s="213"/>
      <c r="AO20" s="213"/>
      <c r="AP20" s="206">
        <v>84870.386027040266</v>
      </c>
      <c r="AQ20" s="214"/>
      <c r="AR20" s="206"/>
      <c r="AS20" s="206"/>
      <c r="AT20" s="206">
        <v>0</v>
      </c>
      <c r="AU20" s="206">
        <v>0</v>
      </c>
      <c r="AV20" s="206">
        <v>0</v>
      </c>
      <c r="AW20" s="206">
        <v>0</v>
      </c>
      <c r="AX20" s="206">
        <v>-89917.647572752583</v>
      </c>
      <c r="AY20" s="206">
        <v>0</v>
      </c>
      <c r="AZ20" s="206">
        <v>89917.647572752583</v>
      </c>
      <c r="BA20" s="206">
        <v>0</v>
      </c>
      <c r="BB20" s="206"/>
      <c r="BC20" s="206"/>
      <c r="BD20" s="206"/>
      <c r="BE20" s="206"/>
      <c r="BF20" s="206"/>
      <c r="BG20" s="206"/>
      <c r="BH20" s="206"/>
      <c r="BI20" s="206"/>
      <c r="BJ20" s="206"/>
      <c r="BK20" s="206"/>
      <c r="BL20" s="206"/>
      <c r="BM20" s="206"/>
      <c r="BN20" s="206"/>
      <c r="BO20" s="206"/>
      <c r="BP20" s="206"/>
      <c r="BQ20" s="207"/>
      <c r="BR20" s="207"/>
      <c r="BS20" s="216"/>
      <c r="BT20" s="207"/>
      <c r="BU20" s="217"/>
      <c r="BV20" s="207"/>
      <c r="BW20" s="218"/>
      <c r="BX20" s="218"/>
      <c r="BY20" s="206"/>
      <c r="BZ20" s="206"/>
      <c r="CA20" s="206">
        <v>0</v>
      </c>
      <c r="CB20" s="206"/>
      <c r="CC20" s="206"/>
      <c r="CD20" s="206"/>
      <c r="CE20" s="206"/>
      <c r="CF20" s="206"/>
      <c r="CG20" s="206"/>
      <c r="CH20" s="206"/>
      <c r="CI20" s="206"/>
      <c r="CJ20" s="206"/>
      <c r="CK20" s="207"/>
      <c r="CL20" s="207"/>
    </row>
    <row r="21" spans="1:90" s="234" customFormat="1" ht="30" customHeight="1" outlineLevel="1" x14ac:dyDescent="0.3">
      <c r="A21" s="202"/>
      <c r="B21" s="202" t="s">
        <v>337</v>
      </c>
      <c r="C21" s="202"/>
      <c r="D21" s="202"/>
      <c r="E21" s="202"/>
      <c r="F21" s="202"/>
      <c r="G21" s="236"/>
      <c r="H21" s="236"/>
      <c r="I21" s="203"/>
      <c r="J21" s="220"/>
      <c r="K21" s="220"/>
      <c r="L21" s="222"/>
      <c r="M21" s="222"/>
      <c r="N21" s="222"/>
      <c r="O21" s="221"/>
      <c r="P21" s="222"/>
      <c r="Q21" s="222"/>
      <c r="R21" s="224">
        <v>0</v>
      </c>
      <c r="S21" s="255">
        <v>1</v>
      </c>
      <c r="T21" s="224">
        <v>0</v>
      </c>
      <c r="U21" s="225">
        <v>0</v>
      </c>
      <c r="V21" s="221"/>
      <c r="W21" s="221">
        <v>0</v>
      </c>
      <c r="X21" s="221">
        <v>0</v>
      </c>
      <c r="Y21" s="221">
        <v>0</v>
      </c>
      <c r="Z21" s="221">
        <v>0</v>
      </c>
      <c r="AA21" s="221">
        <v>0</v>
      </c>
      <c r="AB21" s="221">
        <v>0</v>
      </c>
      <c r="AC21" s="225">
        <v>0</v>
      </c>
      <c r="AD21" s="221">
        <v>0</v>
      </c>
      <c r="AE21" s="221">
        <v>0</v>
      </c>
      <c r="AF21" s="221">
        <v>0</v>
      </c>
      <c r="AG21" s="221">
        <v>0</v>
      </c>
      <c r="AH21" s="226">
        <v>0</v>
      </c>
      <c r="AI21" s="221">
        <v>0</v>
      </c>
      <c r="AJ21" s="221">
        <v>0</v>
      </c>
      <c r="AK21" s="227">
        <v>0</v>
      </c>
      <c r="AL21" s="228"/>
      <c r="AM21" s="221">
        <v>127482.4475727526</v>
      </c>
      <c r="AN21" s="228"/>
      <c r="AO21" s="228"/>
      <c r="AP21" s="221">
        <v>84870.386027040266</v>
      </c>
      <c r="AQ21" s="229"/>
      <c r="AR21" s="221"/>
      <c r="AS21" s="221"/>
      <c r="AT21" s="221">
        <v>0</v>
      </c>
      <c r="AU21" s="221">
        <v>0</v>
      </c>
      <c r="AV21" s="221">
        <v>0</v>
      </c>
      <c r="AW21" s="221">
        <v>0</v>
      </c>
      <c r="AX21" s="221">
        <v>-89917.647572752583</v>
      </c>
      <c r="AY21" s="221">
        <v>0</v>
      </c>
      <c r="AZ21" s="221">
        <v>89917.647572752583</v>
      </c>
      <c r="BA21" s="221">
        <v>0</v>
      </c>
      <c r="BB21" s="221"/>
      <c r="BC21" s="221"/>
      <c r="BD21" s="221"/>
      <c r="BE21" s="221"/>
      <c r="BF21" s="221"/>
      <c r="BG21" s="221"/>
      <c r="BH21" s="221"/>
      <c r="BI21" s="221"/>
      <c r="BJ21" s="221"/>
      <c r="BK21" s="221"/>
      <c r="BL21" s="221"/>
      <c r="BM21" s="221"/>
      <c r="BN21" s="221"/>
      <c r="BO21" s="221"/>
      <c r="BP21" s="221"/>
      <c r="BQ21" s="222"/>
      <c r="BR21" s="222"/>
      <c r="BS21" s="231"/>
      <c r="BT21" s="222"/>
      <c r="BU21" s="232"/>
      <c r="BV21" s="222"/>
      <c r="BW21" s="233"/>
      <c r="BX21" s="233"/>
      <c r="BY21" s="221"/>
      <c r="BZ21" s="221"/>
      <c r="CA21" s="221">
        <v>0</v>
      </c>
      <c r="CB21" s="221"/>
      <c r="CC21" s="221"/>
      <c r="CD21" s="221"/>
      <c r="CE21" s="221"/>
      <c r="CF21" s="221"/>
      <c r="CG21" s="221"/>
      <c r="CH21" s="221"/>
      <c r="CI21" s="221"/>
      <c r="CJ21" s="221"/>
      <c r="CK21" s="222"/>
      <c r="CL21" s="222"/>
    </row>
    <row r="22" spans="1:90" outlineLevel="3" x14ac:dyDescent="0.3">
      <c r="A22" s="128" t="s">
        <v>315</v>
      </c>
      <c r="B22" s="128" t="s">
        <v>518</v>
      </c>
      <c r="C22" s="128" t="s">
        <v>528</v>
      </c>
      <c r="D22" s="128" t="s">
        <v>529</v>
      </c>
      <c r="E22" s="128" t="s">
        <v>338</v>
      </c>
      <c r="F22" s="128" t="s">
        <v>300</v>
      </c>
      <c r="G22" s="128" t="s">
        <v>480</v>
      </c>
      <c r="H22" s="128" t="s">
        <v>302</v>
      </c>
      <c r="I22" s="185" t="s">
        <v>319</v>
      </c>
      <c r="J22" s="187">
        <v>1</v>
      </c>
      <c r="K22" s="187">
        <v>1</v>
      </c>
      <c r="L22" s="189">
        <v>0</v>
      </c>
      <c r="M22" s="189">
        <v>0</v>
      </c>
      <c r="N22" s="189">
        <v>0</v>
      </c>
      <c r="O22" s="188">
        <v>1803840</v>
      </c>
      <c r="P22" s="189">
        <v>1803840</v>
      </c>
      <c r="Q22" s="189">
        <v>0</v>
      </c>
      <c r="R22" s="191">
        <v>0</v>
      </c>
      <c r="S22" s="256">
        <v>1</v>
      </c>
      <c r="T22" s="191" t="s">
        <v>541</v>
      </c>
      <c r="U22" s="192">
        <v>1803840</v>
      </c>
      <c r="V22" s="188" t="s">
        <v>304</v>
      </c>
      <c r="W22" s="188">
        <v>0</v>
      </c>
      <c r="X22" s="188">
        <v>0</v>
      </c>
      <c r="Y22" s="188">
        <v>0</v>
      </c>
      <c r="Z22" s="188">
        <v>0</v>
      </c>
      <c r="AA22" s="188">
        <v>0</v>
      </c>
      <c r="AB22" s="188">
        <v>0</v>
      </c>
      <c r="AC22" s="192">
        <v>1803840</v>
      </c>
      <c r="AD22" s="188">
        <v>0</v>
      </c>
      <c r="AE22" s="188">
        <v>0</v>
      </c>
      <c r="AF22" s="188">
        <v>0</v>
      </c>
      <c r="AG22" s="188">
        <v>0</v>
      </c>
      <c r="AH22" s="193">
        <v>0</v>
      </c>
      <c r="AI22" s="188">
        <v>0</v>
      </c>
      <c r="AJ22" s="188">
        <v>0</v>
      </c>
      <c r="AK22" s="194">
        <v>0</v>
      </c>
      <c r="AL22" s="195">
        <v>0</v>
      </c>
      <c r="AM22" s="188">
        <v>1803840</v>
      </c>
      <c r="AN22" s="189">
        <v>0</v>
      </c>
      <c r="AO22" s="195">
        <v>0</v>
      </c>
      <c r="AP22" s="188">
        <v>1803840</v>
      </c>
      <c r="AQ22" s="196">
        <v>1</v>
      </c>
      <c r="AR22" s="188">
        <v>0</v>
      </c>
      <c r="AS22" s="188">
        <v>1803840</v>
      </c>
      <c r="AT22" s="188">
        <v>0</v>
      </c>
      <c r="AU22" s="188">
        <v>0</v>
      </c>
      <c r="AV22" s="188">
        <v>0</v>
      </c>
      <c r="AW22" s="188">
        <v>0</v>
      </c>
      <c r="AX22" s="188">
        <v>0</v>
      </c>
      <c r="AY22" s="188">
        <v>0</v>
      </c>
      <c r="AZ22" s="188">
        <v>0</v>
      </c>
      <c r="BA22" s="188">
        <v>0</v>
      </c>
      <c r="BB22" s="188" t="s">
        <v>300</v>
      </c>
      <c r="BC22" s="188" t="s">
        <v>300</v>
      </c>
      <c r="BD22" s="188">
        <v>0</v>
      </c>
      <c r="BE22" s="188">
        <v>0</v>
      </c>
      <c r="BF22" s="188">
        <v>0</v>
      </c>
      <c r="BG22" s="188">
        <v>0</v>
      </c>
      <c r="BH22" s="188">
        <v>0</v>
      </c>
      <c r="BI22" s="188">
        <v>0</v>
      </c>
      <c r="BJ22" s="188">
        <v>0</v>
      </c>
      <c r="BK22" s="188">
        <v>0</v>
      </c>
      <c r="BL22" s="188">
        <v>1803840</v>
      </c>
      <c r="BM22" s="188" t="s">
        <v>305</v>
      </c>
      <c r="BN22" s="188">
        <v>0</v>
      </c>
      <c r="BO22" s="188" t="b">
        <v>0</v>
      </c>
      <c r="BP22" s="188">
        <v>0</v>
      </c>
      <c r="BQ22" s="190">
        <v>15</v>
      </c>
      <c r="BR22" s="189">
        <v>10000000</v>
      </c>
      <c r="BS22" s="198">
        <v>83</v>
      </c>
      <c r="BT22" s="189">
        <v>0</v>
      </c>
      <c r="BU22" s="199">
        <v>0</v>
      </c>
      <c r="BV22" s="189">
        <v>255</v>
      </c>
      <c r="BW22" s="200">
        <v>0</v>
      </c>
      <c r="BX22" s="200">
        <v>0</v>
      </c>
      <c r="BY22" s="188">
        <v>0</v>
      </c>
      <c r="BZ22" s="188">
        <v>0</v>
      </c>
      <c r="CA22" s="188">
        <v>0</v>
      </c>
      <c r="CB22" s="188">
        <v>0</v>
      </c>
      <c r="CC22" s="188">
        <v>0</v>
      </c>
      <c r="CD22" s="188">
        <v>0</v>
      </c>
      <c r="CE22" s="188">
        <v>0</v>
      </c>
      <c r="CF22" s="188">
        <v>0</v>
      </c>
      <c r="CG22" s="188">
        <v>0</v>
      </c>
      <c r="CH22" s="188">
        <v>0</v>
      </c>
      <c r="CI22" s="188">
        <v>0</v>
      </c>
      <c r="CJ22" s="188">
        <v>0</v>
      </c>
      <c r="CK22" s="189">
        <v>0</v>
      </c>
      <c r="CL22" s="189">
        <v>0</v>
      </c>
    </row>
    <row r="23" spans="1:90" outlineLevel="3" x14ac:dyDescent="0.3">
      <c r="A23" s="128" t="s">
        <v>315</v>
      </c>
      <c r="B23" s="128" t="s">
        <v>518</v>
      </c>
      <c r="C23" s="128" t="s">
        <v>528</v>
      </c>
      <c r="D23" s="128" t="s">
        <v>529</v>
      </c>
      <c r="E23" s="128" t="s">
        <v>339</v>
      </c>
      <c r="F23" s="128" t="s">
        <v>300</v>
      </c>
      <c r="G23" s="128" t="s">
        <v>480</v>
      </c>
      <c r="H23" s="128" t="s">
        <v>302</v>
      </c>
      <c r="I23" s="185" t="s">
        <v>319</v>
      </c>
      <c r="J23" s="187">
        <v>1</v>
      </c>
      <c r="K23" s="187">
        <v>1</v>
      </c>
      <c r="L23" s="189">
        <v>0</v>
      </c>
      <c r="M23" s="189">
        <v>0</v>
      </c>
      <c r="N23" s="189">
        <v>0</v>
      </c>
      <c r="O23" s="188">
        <v>2300803</v>
      </c>
      <c r="P23" s="189">
        <v>2300803</v>
      </c>
      <c r="Q23" s="189">
        <v>0</v>
      </c>
      <c r="R23" s="191">
        <v>0</v>
      </c>
      <c r="S23" s="256">
        <v>1</v>
      </c>
      <c r="T23" s="191" t="s">
        <v>541</v>
      </c>
      <c r="U23" s="192">
        <v>2300803</v>
      </c>
      <c r="V23" s="188" t="s">
        <v>304</v>
      </c>
      <c r="W23" s="188">
        <v>0</v>
      </c>
      <c r="X23" s="188">
        <v>0</v>
      </c>
      <c r="Y23" s="188">
        <v>0</v>
      </c>
      <c r="Z23" s="188">
        <v>0</v>
      </c>
      <c r="AA23" s="188">
        <v>0</v>
      </c>
      <c r="AB23" s="188">
        <v>0</v>
      </c>
      <c r="AC23" s="192">
        <v>2300803</v>
      </c>
      <c r="AD23" s="188">
        <v>0</v>
      </c>
      <c r="AE23" s="188">
        <v>0</v>
      </c>
      <c r="AF23" s="188">
        <v>0</v>
      </c>
      <c r="AG23" s="188">
        <v>0</v>
      </c>
      <c r="AH23" s="193">
        <v>0</v>
      </c>
      <c r="AI23" s="188">
        <v>0</v>
      </c>
      <c r="AJ23" s="188">
        <v>0</v>
      </c>
      <c r="AK23" s="194">
        <v>0</v>
      </c>
      <c r="AL23" s="195">
        <v>0</v>
      </c>
      <c r="AM23" s="188">
        <v>2300803</v>
      </c>
      <c r="AN23" s="189">
        <v>0</v>
      </c>
      <c r="AO23" s="195">
        <v>0</v>
      </c>
      <c r="AP23" s="188">
        <v>2300803</v>
      </c>
      <c r="AQ23" s="196">
        <v>1</v>
      </c>
      <c r="AR23" s="188">
        <v>0</v>
      </c>
      <c r="AS23" s="188">
        <v>2300803</v>
      </c>
      <c r="AT23" s="188">
        <v>0</v>
      </c>
      <c r="AU23" s="188">
        <v>0</v>
      </c>
      <c r="AV23" s="188">
        <v>0</v>
      </c>
      <c r="AW23" s="188">
        <v>0</v>
      </c>
      <c r="AX23" s="188">
        <v>0</v>
      </c>
      <c r="AY23" s="188">
        <v>0</v>
      </c>
      <c r="AZ23" s="188">
        <v>0</v>
      </c>
      <c r="BA23" s="188">
        <v>0</v>
      </c>
      <c r="BB23" s="188" t="s">
        <v>300</v>
      </c>
      <c r="BC23" s="188" t="s">
        <v>300</v>
      </c>
      <c r="BD23" s="188">
        <v>0</v>
      </c>
      <c r="BE23" s="188">
        <v>0</v>
      </c>
      <c r="BF23" s="188">
        <v>0</v>
      </c>
      <c r="BG23" s="188">
        <v>0</v>
      </c>
      <c r="BH23" s="188">
        <v>0</v>
      </c>
      <c r="BI23" s="188">
        <v>0</v>
      </c>
      <c r="BJ23" s="188">
        <v>0</v>
      </c>
      <c r="BK23" s="188">
        <v>0</v>
      </c>
      <c r="BL23" s="188">
        <v>2300803</v>
      </c>
      <c r="BM23" s="188" t="s">
        <v>305</v>
      </c>
      <c r="BN23" s="188">
        <v>0</v>
      </c>
      <c r="BO23" s="188" t="b">
        <v>0</v>
      </c>
      <c r="BP23" s="188">
        <v>0</v>
      </c>
      <c r="BQ23" s="190">
        <v>15</v>
      </c>
      <c r="BR23" s="189">
        <v>0</v>
      </c>
      <c r="BS23" s="198">
        <v>83</v>
      </c>
      <c r="BT23" s="189">
        <v>0</v>
      </c>
      <c r="BU23" s="199">
        <v>0</v>
      </c>
      <c r="BV23" s="189">
        <v>256</v>
      </c>
      <c r="BW23" s="200">
        <v>0</v>
      </c>
      <c r="BX23" s="200">
        <v>0</v>
      </c>
      <c r="BY23" s="188">
        <v>0</v>
      </c>
      <c r="BZ23" s="188">
        <v>0</v>
      </c>
      <c r="CA23" s="188">
        <v>0</v>
      </c>
      <c r="CB23" s="188">
        <v>0</v>
      </c>
      <c r="CC23" s="188">
        <v>0</v>
      </c>
      <c r="CD23" s="188">
        <v>0</v>
      </c>
      <c r="CE23" s="188">
        <v>0</v>
      </c>
      <c r="CF23" s="188">
        <v>0</v>
      </c>
      <c r="CG23" s="188">
        <v>0</v>
      </c>
      <c r="CH23" s="188">
        <v>0</v>
      </c>
      <c r="CI23" s="188">
        <v>0</v>
      </c>
      <c r="CJ23" s="188">
        <v>0</v>
      </c>
      <c r="CK23" s="189">
        <v>0</v>
      </c>
      <c r="CL23" s="189">
        <v>0</v>
      </c>
    </row>
    <row r="24" spans="1:90" s="219" customFormat="1" ht="20.100000000000001" customHeight="1" outlineLevel="2" x14ac:dyDescent="0.3">
      <c r="A24" s="202" t="s">
        <v>326</v>
      </c>
      <c r="B24" s="202"/>
      <c r="C24" s="202"/>
      <c r="D24" s="202"/>
      <c r="E24" s="202"/>
      <c r="F24" s="202"/>
      <c r="G24" s="202"/>
      <c r="H24" s="202"/>
      <c r="I24" s="203"/>
      <c r="J24" s="205"/>
      <c r="K24" s="205"/>
      <c r="L24" s="207"/>
      <c r="M24" s="207"/>
      <c r="N24" s="207"/>
      <c r="O24" s="206"/>
      <c r="P24" s="207"/>
      <c r="Q24" s="207"/>
      <c r="R24" s="209">
        <v>0</v>
      </c>
      <c r="S24" s="257">
        <v>2</v>
      </c>
      <c r="T24" s="209">
        <v>0</v>
      </c>
      <c r="U24" s="210">
        <v>4104643</v>
      </c>
      <c r="V24" s="206"/>
      <c r="W24" s="206">
        <v>0</v>
      </c>
      <c r="X24" s="206">
        <v>0</v>
      </c>
      <c r="Y24" s="206">
        <v>0</v>
      </c>
      <c r="Z24" s="206">
        <v>0</v>
      </c>
      <c r="AA24" s="206">
        <v>0</v>
      </c>
      <c r="AB24" s="206">
        <v>0</v>
      </c>
      <c r="AC24" s="210">
        <v>4104643</v>
      </c>
      <c r="AD24" s="206">
        <v>0</v>
      </c>
      <c r="AE24" s="206">
        <v>0</v>
      </c>
      <c r="AF24" s="206">
        <v>0</v>
      </c>
      <c r="AG24" s="206">
        <v>0</v>
      </c>
      <c r="AH24" s="211">
        <v>0</v>
      </c>
      <c r="AI24" s="206">
        <v>0</v>
      </c>
      <c r="AJ24" s="206">
        <v>0</v>
      </c>
      <c r="AK24" s="212">
        <v>0</v>
      </c>
      <c r="AL24" s="213"/>
      <c r="AM24" s="206">
        <v>4104643</v>
      </c>
      <c r="AN24" s="207"/>
      <c r="AO24" s="213"/>
      <c r="AP24" s="206">
        <v>4104643</v>
      </c>
      <c r="AQ24" s="214"/>
      <c r="AR24" s="206"/>
      <c r="AS24" s="206"/>
      <c r="AT24" s="206">
        <v>0</v>
      </c>
      <c r="AU24" s="206">
        <v>0</v>
      </c>
      <c r="AV24" s="206">
        <v>0</v>
      </c>
      <c r="AW24" s="206">
        <v>0</v>
      </c>
      <c r="AX24" s="206">
        <v>0</v>
      </c>
      <c r="AY24" s="206">
        <v>0</v>
      </c>
      <c r="AZ24" s="206">
        <v>0</v>
      </c>
      <c r="BA24" s="206">
        <v>0</v>
      </c>
      <c r="BB24" s="206"/>
      <c r="BC24" s="206"/>
      <c r="BD24" s="206"/>
      <c r="BE24" s="206"/>
      <c r="BF24" s="206"/>
      <c r="BG24" s="206"/>
      <c r="BH24" s="206"/>
      <c r="BI24" s="206"/>
      <c r="BJ24" s="206"/>
      <c r="BK24" s="206"/>
      <c r="BL24" s="206"/>
      <c r="BM24" s="206"/>
      <c r="BN24" s="206"/>
      <c r="BO24" s="206"/>
      <c r="BP24" s="206"/>
      <c r="BQ24" s="208"/>
      <c r="BR24" s="207"/>
      <c r="BS24" s="216"/>
      <c r="BT24" s="207"/>
      <c r="BU24" s="217"/>
      <c r="BV24" s="207"/>
      <c r="BW24" s="218"/>
      <c r="BX24" s="218"/>
      <c r="BY24" s="206"/>
      <c r="BZ24" s="206"/>
      <c r="CA24" s="206">
        <v>0</v>
      </c>
      <c r="CB24" s="206"/>
      <c r="CC24" s="206"/>
      <c r="CD24" s="206"/>
      <c r="CE24" s="206"/>
      <c r="CF24" s="206"/>
      <c r="CG24" s="206"/>
      <c r="CH24" s="206"/>
      <c r="CI24" s="206"/>
      <c r="CJ24" s="206"/>
      <c r="CK24" s="207"/>
      <c r="CL24" s="207"/>
    </row>
    <row r="25" spans="1:90" s="234" customFormat="1" ht="30" customHeight="1" outlineLevel="1" x14ac:dyDescent="0.3">
      <c r="A25" s="202"/>
      <c r="B25" s="202" t="s">
        <v>519</v>
      </c>
      <c r="C25" s="202"/>
      <c r="D25" s="202"/>
      <c r="E25" s="202"/>
      <c r="F25" s="202"/>
      <c r="G25" s="202"/>
      <c r="H25" s="202"/>
      <c r="I25" s="203"/>
      <c r="J25" s="220"/>
      <c r="K25" s="220"/>
      <c r="L25" s="222"/>
      <c r="M25" s="222"/>
      <c r="N25" s="222"/>
      <c r="O25" s="221"/>
      <c r="P25" s="222"/>
      <c r="Q25" s="222"/>
      <c r="R25" s="224">
        <v>0</v>
      </c>
      <c r="S25" s="258">
        <v>2</v>
      </c>
      <c r="T25" s="224">
        <v>0</v>
      </c>
      <c r="U25" s="225">
        <v>4104643</v>
      </c>
      <c r="V25" s="221"/>
      <c r="W25" s="221">
        <v>0</v>
      </c>
      <c r="X25" s="221">
        <v>0</v>
      </c>
      <c r="Y25" s="221">
        <v>0</v>
      </c>
      <c r="Z25" s="221">
        <v>0</v>
      </c>
      <c r="AA25" s="221">
        <v>0</v>
      </c>
      <c r="AB25" s="221">
        <v>0</v>
      </c>
      <c r="AC25" s="225">
        <v>4104643</v>
      </c>
      <c r="AD25" s="221">
        <v>0</v>
      </c>
      <c r="AE25" s="221">
        <v>0</v>
      </c>
      <c r="AF25" s="221">
        <v>0</v>
      </c>
      <c r="AG25" s="221">
        <v>0</v>
      </c>
      <c r="AH25" s="226">
        <v>0</v>
      </c>
      <c r="AI25" s="221">
        <v>0</v>
      </c>
      <c r="AJ25" s="221">
        <v>0</v>
      </c>
      <c r="AK25" s="227">
        <v>0</v>
      </c>
      <c r="AL25" s="228"/>
      <c r="AM25" s="221">
        <v>4104643</v>
      </c>
      <c r="AN25" s="222"/>
      <c r="AO25" s="228"/>
      <c r="AP25" s="221">
        <v>4104643</v>
      </c>
      <c r="AQ25" s="229"/>
      <c r="AR25" s="221"/>
      <c r="AS25" s="221"/>
      <c r="AT25" s="221">
        <v>0</v>
      </c>
      <c r="AU25" s="221">
        <v>0</v>
      </c>
      <c r="AV25" s="221">
        <v>0</v>
      </c>
      <c r="AW25" s="221">
        <v>0</v>
      </c>
      <c r="AX25" s="221">
        <v>0</v>
      </c>
      <c r="AY25" s="221">
        <v>0</v>
      </c>
      <c r="AZ25" s="221">
        <v>0</v>
      </c>
      <c r="BA25" s="221">
        <v>0</v>
      </c>
      <c r="BB25" s="221"/>
      <c r="BC25" s="221"/>
      <c r="BD25" s="221"/>
      <c r="BE25" s="221"/>
      <c r="BF25" s="221"/>
      <c r="BG25" s="221"/>
      <c r="BH25" s="221"/>
      <c r="BI25" s="221"/>
      <c r="BJ25" s="221"/>
      <c r="BK25" s="221"/>
      <c r="BL25" s="221"/>
      <c r="BM25" s="221"/>
      <c r="BN25" s="221"/>
      <c r="BO25" s="221"/>
      <c r="BP25" s="221"/>
      <c r="BQ25" s="223"/>
      <c r="BR25" s="222"/>
      <c r="BS25" s="231"/>
      <c r="BT25" s="222"/>
      <c r="BU25" s="232"/>
      <c r="BV25" s="222"/>
      <c r="BW25" s="233"/>
      <c r="BX25" s="233"/>
      <c r="BY25" s="221"/>
      <c r="BZ25" s="221"/>
      <c r="CA25" s="221">
        <v>0</v>
      </c>
      <c r="CB25" s="221"/>
      <c r="CC25" s="221"/>
      <c r="CD25" s="221"/>
      <c r="CE25" s="221"/>
      <c r="CF25" s="221"/>
      <c r="CG25" s="221"/>
      <c r="CH25" s="221"/>
      <c r="CI25" s="221"/>
      <c r="CJ25" s="221"/>
      <c r="CK25" s="222"/>
      <c r="CL25" s="222"/>
    </row>
    <row r="26" spans="1:90" outlineLevel="3" x14ac:dyDescent="0.3">
      <c r="A26" s="128" t="s">
        <v>347</v>
      </c>
      <c r="B26" s="128" t="s">
        <v>520</v>
      </c>
      <c r="C26" s="128" t="s">
        <v>530</v>
      </c>
      <c r="D26" s="128" t="s">
        <v>531</v>
      </c>
      <c r="E26" s="128" t="s">
        <v>348</v>
      </c>
      <c r="F26" s="128" t="s">
        <v>349</v>
      </c>
      <c r="G26" s="128" t="s">
        <v>506</v>
      </c>
      <c r="H26" s="128" t="s">
        <v>312</v>
      </c>
      <c r="I26" s="185" t="s">
        <v>303</v>
      </c>
      <c r="J26" s="187">
        <v>324000</v>
      </c>
      <c r="K26" s="187">
        <v>324000</v>
      </c>
      <c r="L26" s="189">
        <v>0</v>
      </c>
      <c r="M26" s="189">
        <v>0</v>
      </c>
      <c r="N26" s="189">
        <v>1</v>
      </c>
      <c r="O26" s="188">
        <v>5</v>
      </c>
      <c r="P26" s="190">
        <v>5.29</v>
      </c>
      <c r="Q26" s="190">
        <v>-0.28999999999999998</v>
      </c>
      <c r="R26" s="191">
        <v>0</v>
      </c>
      <c r="S26" s="252">
        <v>1</v>
      </c>
      <c r="T26" s="191" t="s">
        <v>541</v>
      </c>
      <c r="U26" s="192">
        <v>1620000</v>
      </c>
      <c r="V26" s="188" t="s">
        <v>304</v>
      </c>
      <c r="W26" s="188">
        <v>0</v>
      </c>
      <c r="X26" s="188">
        <v>0</v>
      </c>
      <c r="Y26" s="188">
        <v>0</v>
      </c>
      <c r="Z26" s="188">
        <v>0</v>
      </c>
      <c r="AA26" s="188">
        <v>0</v>
      </c>
      <c r="AB26" s="188">
        <v>0</v>
      </c>
      <c r="AC26" s="192">
        <v>1713960</v>
      </c>
      <c r="AD26" s="188">
        <v>-93960</v>
      </c>
      <c r="AE26" s="188">
        <v>0</v>
      </c>
      <c r="AF26" s="188">
        <v>93960</v>
      </c>
      <c r="AG26" s="188">
        <v>0</v>
      </c>
      <c r="AH26" s="193">
        <v>-3784320</v>
      </c>
      <c r="AI26" s="188">
        <v>0</v>
      </c>
      <c r="AJ26" s="188">
        <v>3784320</v>
      </c>
      <c r="AK26" s="194">
        <v>0</v>
      </c>
      <c r="AL26" s="195">
        <v>0</v>
      </c>
      <c r="AM26" s="188">
        <v>28000652.0625</v>
      </c>
      <c r="AN26" s="189">
        <v>0</v>
      </c>
      <c r="AO26" s="195">
        <v>0</v>
      </c>
      <c r="AP26" s="188">
        <v>79135746</v>
      </c>
      <c r="AQ26" s="196">
        <v>1</v>
      </c>
      <c r="AR26" s="188">
        <v>1620000</v>
      </c>
      <c r="AS26" s="188">
        <v>5</v>
      </c>
      <c r="AT26" s="188">
        <v>-181440</v>
      </c>
      <c r="AU26" s="188">
        <v>0</v>
      </c>
      <c r="AV26" s="188">
        <v>181440</v>
      </c>
      <c r="AW26" s="188">
        <v>0</v>
      </c>
      <c r="AX26" s="188">
        <v>-3812986.4224999985</v>
      </c>
      <c r="AY26" s="188">
        <v>0</v>
      </c>
      <c r="AZ26" s="188">
        <v>3812986.4224999985</v>
      </c>
      <c r="BA26" s="188">
        <v>0</v>
      </c>
      <c r="BB26" s="188">
        <v>5</v>
      </c>
      <c r="BC26" s="188">
        <v>5.29</v>
      </c>
      <c r="BD26" s="188">
        <v>-87480</v>
      </c>
      <c r="BE26" s="188">
        <v>0</v>
      </c>
      <c r="BF26" s="188">
        <v>87480</v>
      </c>
      <c r="BG26" s="188">
        <v>0</v>
      </c>
      <c r="BH26" s="188">
        <v>-3719026.4224999985</v>
      </c>
      <c r="BI26" s="188">
        <v>0</v>
      </c>
      <c r="BJ26" s="188">
        <v>3719026.4224999985</v>
      </c>
      <c r="BK26" s="188">
        <v>0</v>
      </c>
      <c r="BL26" s="188">
        <v>79135746</v>
      </c>
      <c r="BM26" s="188" t="s">
        <v>313</v>
      </c>
      <c r="BN26" s="188">
        <v>0</v>
      </c>
      <c r="BO26" s="188" t="b">
        <v>0</v>
      </c>
      <c r="BP26" s="188">
        <v>3690360</v>
      </c>
      <c r="BQ26" s="190">
        <v>324000</v>
      </c>
      <c r="BR26" s="189">
        <v>5000000</v>
      </c>
      <c r="BS26" s="198">
        <v>76</v>
      </c>
      <c r="BT26" s="189">
        <v>-93960</v>
      </c>
      <c r="BU26" s="199">
        <v>0</v>
      </c>
      <c r="BV26" s="189">
        <v>39</v>
      </c>
      <c r="BW26" s="200">
        <v>5</v>
      </c>
      <c r="BX26" s="200">
        <v>0</v>
      </c>
      <c r="BY26" s="188">
        <v>0</v>
      </c>
      <c r="BZ26" s="188">
        <v>0</v>
      </c>
      <c r="CA26" s="188">
        <v>0</v>
      </c>
      <c r="CB26" s="188">
        <v>-22567665.640000001</v>
      </c>
      <c r="CC26" s="188">
        <v>0</v>
      </c>
      <c r="CD26" s="188">
        <v>0</v>
      </c>
      <c r="CE26" s="188">
        <v>0</v>
      </c>
      <c r="CF26" s="188">
        <v>0</v>
      </c>
      <c r="CG26" s="188">
        <v>-3690360</v>
      </c>
      <c r="CH26" s="188">
        <v>0</v>
      </c>
      <c r="CI26" s="188">
        <v>3690360</v>
      </c>
      <c r="CJ26" s="188">
        <v>0</v>
      </c>
      <c r="CK26" s="189">
        <v>0</v>
      </c>
      <c r="CL26" s="189">
        <v>0</v>
      </c>
    </row>
    <row r="27" spans="1:90" s="219" customFormat="1" ht="20.100000000000001" customHeight="1" outlineLevel="2" x14ac:dyDescent="0.3">
      <c r="A27" s="202" t="s">
        <v>350</v>
      </c>
      <c r="B27" s="202"/>
      <c r="C27" s="202"/>
      <c r="D27" s="202"/>
      <c r="E27" s="202"/>
      <c r="F27" s="202"/>
      <c r="G27" s="202"/>
      <c r="H27" s="202"/>
      <c r="I27" s="203"/>
      <c r="J27" s="205"/>
      <c r="K27" s="205"/>
      <c r="L27" s="207"/>
      <c r="M27" s="207"/>
      <c r="N27" s="207"/>
      <c r="O27" s="206"/>
      <c r="P27" s="208"/>
      <c r="Q27" s="208"/>
      <c r="R27" s="209">
        <v>0</v>
      </c>
      <c r="S27" s="254">
        <v>1</v>
      </c>
      <c r="T27" s="209">
        <v>0</v>
      </c>
      <c r="U27" s="210">
        <v>1620000</v>
      </c>
      <c r="V27" s="206"/>
      <c r="W27" s="206">
        <v>0</v>
      </c>
      <c r="X27" s="206">
        <v>0</v>
      </c>
      <c r="Y27" s="206">
        <v>0</v>
      </c>
      <c r="Z27" s="206">
        <v>0</v>
      </c>
      <c r="AA27" s="206">
        <v>0</v>
      </c>
      <c r="AB27" s="206">
        <v>0</v>
      </c>
      <c r="AC27" s="210">
        <v>1713960</v>
      </c>
      <c r="AD27" s="206">
        <v>-93960</v>
      </c>
      <c r="AE27" s="206">
        <v>0</v>
      </c>
      <c r="AF27" s="206">
        <v>93960</v>
      </c>
      <c r="AG27" s="206">
        <v>0</v>
      </c>
      <c r="AH27" s="211">
        <v>-3784320</v>
      </c>
      <c r="AI27" s="206">
        <v>0</v>
      </c>
      <c r="AJ27" s="206">
        <v>3784320</v>
      </c>
      <c r="AK27" s="212">
        <v>0</v>
      </c>
      <c r="AL27" s="213"/>
      <c r="AM27" s="206">
        <v>28000652.0625</v>
      </c>
      <c r="AN27" s="207"/>
      <c r="AO27" s="213"/>
      <c r="AP27" s="206">
        <v>79135746</v>
      </c>
      <c r="AQ27" s="214"/>
      <c r="AR27" s="206"/>
      <c r="AS27" s="206"/>
      <c r="AT27" s="206">
        <v>-181440</v>
      </c>
      <c r="AU27" s="206">
        <v>0</v>
      </c>
      <c r="AV27" s="206">
        <v>181440</v>
      </c>
      <c r="AW27" s="206">
        <v>0</v>
      </c>
      <c r="AX27" s="206">
        <v>-3812986.4224999985</v>
      </c>
      <c r="AY27" s="206">
        <v>0</v>
      </c>
      <c r="AZ27" s="206">
        <v>3812986.4224999985</v>
      </c>
      <c r="BA27" s="206">
        <v>0</v>
      </c>
      <c r="BB27" s="206"/>
      <c r="BC27" s="206"/>
      <c r="BD27" s="206"/>
      <c r="BE27" s="206"/>
      <c r="BF27" s="206"/>
      <c r="BG27" s="206"/>
      <c r="BH27" s="206"/>
      <c r="BI27" s="206"/>
      <c r="BJ27" s="206"/>
      <c r="BK27" s="206"/>
      <c r="BL27" s="206"/>
      <c r="BM27" s="206"/>
      <c r="BN27" s="206"/>
      <c r="BO27" s="206"/>
      <c r="BP27" s="206"/>
      <c r="BQ27" s="208"/>
      <c r="BR27" s="207"/>
      <c r="BS27" s="216"/>
      <c r="BT27" s="207"/>
      <c r="BU27" s="217"/>
      <c r="BV27" s="207"/>
      <c r="BW27" s="218"/>
      <c r="BX27" s="218"/>
      <c r="BY27" s="206"/>
      <c r="BZ27" s="206"/>
      <c r="CA27" s="206">
        <v>0</v>
      </c>
      <c r="CB27" s="206"/>
      <c r="CC27" s="206"/>
      <c r="CD27" s="206"/>
      <c r="CE27" s="206"/>
      <c r="CF27" s="206"/>
      <c r="CG27" s="206"/>
      <c r="CH27" s="206"/>
      <c r="CI27" s="206"/>
      <c r="CJ27" s="206"/>
      <c r="CK27" s="207"/>
      <c r="CL27" s="207"/>
    </row>
    <row r="28" spans="1:90" s="234" customFormat="1" ht="30" customHeight="1" outlineLevel="1" x14ac:dyDescent="0.3">
      <c r="A28" s="202"/>
      <c r="B28" s="202" t="s">
        <v>521</v>
      </c>
      <c r="C28" s="202"/>
      <c r="D28" s="202"/>
      <c r="E28" s="202"/>
      <c r="F28" s="202"/>
      <c r="G28" s="202"/>
      <c r="H28" s="202"/>
      <c r="I28" s="203"/>
      <c r="J28" s="220"/>
      <c r="K28" s="220"/>
      <c r="L28" s="222"/>
      <c r="M28" s="222"/>
      <c r="N28" s="222"/>
      <c r="O28" s="221"/>
      <c r="P28" s="223"/>
      <c r="Q28" s="223"/>
      <c r="R28" s="224">
        <v>0</v>
      </c>
      <c r="S28" s="255">
        <v>1</v>
      </c>
      <c r="T28" s="224">
        <v>0</v>
      </c>
      <c r="U28" s="225">
        <v>1620000</v>
      </c>
      <c r="V28" s="221"/>
      <c r="W28" s="221">
        <v>0</v>
      </c>
      <c r="X28" s="221">
        <v>0</v>
      </c>
      <c r="Y28" s="221">
        <v>0</v>
      </c>
      <c r="Z28" s="221">
        <v>0</v>
      </c>
      <c r="AA28" s="221">
        <v>0</v>
      </c>
      <c r="AB28" s="221">
        <v>0</v>
      </c>
      <c r="AC28" s="225">
        <v>1713960</v>
      </c>
      <c r="AD28" s="221">
        <v>-93960</v>
      </c>
      <c r="AE28" s="221">
        <v>0</v>
      </c>
      <c r="AF28" s="221">
        <v>93960</v>
      </c>
      <c r="AG28" s="221">
        <v>0</v>
      </c>
      <c r="AH28" s="226">
        <v>-3784320</v>
      </c>
      <c r="AI28" s="221">
        <v>0</v>
      </c>
      <c r="AJ28" s="221">
        <v>3784320</v>
      </c>
      <c r="AK28" s="227">
        <v>0</v>
      </c>
      <c r="AL28" s="228"/>
      <c r="AM28" s="221">
        <v>28000652.0625</v>
      </c>
      <c r="AN28" s="222"/>
      <c r="AO28" s="228"/>
      <c r="AP28" s="221">
        <v>79135746</v>
      </c>
      <c r="AQ28" s="229"/>
      <c r="AR28" s="221"/>
      <c r="AS28" s="221"/>
      <c r="AT28" s="221">
        <v>-181440</v>
      </c>
      <c r="AU28" s="221">
        <v>0</v>
      </c>
      <c r="AV28" s="221">
        <v>181440</v>
      </c>
      <c r="AW28" s="221">
        <v>0</v>
      </c>
      <c r="AX28" s="221">
        <v>-3812986.4224999985</v>
      </c>
      <c r="AY28" s="221">
        <v>0</v>
      </c>
      <c r="AZ28" s="221">
        <v>3812986.4224999985</v>
      </c>
      <c r="BA28" s="221">
        <v>0</v>
      </c>
      <c r="BB28" s="221"/>
      <c r="BC28" s="221"/>
      <c r="BD28" s="221"/>
      <c r="BE28" s="221"/>
      <c r="BF28" s="221"/>
      <c r="BG28" s="221"/>
      <c r="BH28" s="221"/>
      <c r="BI28" s="221"/>
      <c r="BJ28" s="221"/>
      <c r="BK28" s="221"/>
      <c r="BL28" s="221"/>
      <c r="BM28" s="221"/>
      <c r="BN28" s="221"/>
      <c r="BO28" s="221"/>
      <c r="BP28" s="221"/>
      <c r="BQ28" s="223"/>
      <c r="BR28" s="222"/>
      <c r="BS28" s="231"/>
      <c r="BT28" s="222"/>
      <c r="BU28" s="232"/>
      <c r="BV28" s="222"/>
      <c r="BW28" s="233"/>
      <c r="BX28" s="233"/>
      <c r="BY28" s="221"/>
      <c r="BZ28" s="221"/>
      <c r="CA28" s="221">
        <v>0</v>
      </c>
      <c r="CB28" s="221"/>
      <c r="CC28" s="221"/>
      <c r="CD28" s="221"/>
      <c r="CE28" s="221"/>
      <c r="CF28" s="221"/>
      <c r="CG28" s="221"/>
      <c r="CH28" s="221"/>
      <c r="CI28" s="221"/>
      <c r="CJ28" s="221"/>
      <c r="CK28" s="222"/>
      <c r="CL28" s="222"/>
    </row>
    <row r="29" spans="1:90" outlineLevel="3" x14ac:dyDescent="0.3">
      <c r="A29" s="128" t="s">
        <v>351</v>
      </c>
      <c r="B29" s="128" t="s">
        <v>352</v>
      </c>
      <c r="C29" s="128" t="s">
        <v>353</v>
      </c>
      <c r="D29" s="128" t="s">
        <v>354</v>
      </c>
      <c r="E29" s="128" t="s">
        <v>355</v>
      </c>
      <c r="F29" s="128" t="s">
        <v>300</v>
      </c>
      <c r="G29" s="128" t="s">
        <v>334</v>
      </c>
      <c r="H29" s="128" t="s">
        <v>302</v>
      </c>
      <c r="I29" s="185" t="s">
        <v>319</v>
      </c>
      <c r="J29" s="187">
        <v>1</v>
      </c>
      <c r="K29" s="187">
        <v>1</v>
      </c>
      <c r="L29" s="189">
        <v>0</v>
      </c>
      <c r="M29" s="189">
        <v>0</v>
      </c>
      <c r="N29" s="189">
        <v>0</v>
      </c>
      <c r="O29" s="188">
        <v>831730.78860000009</v>
      </c>
      <c r="P29" s="189">
        <v>831730.78860000009</v>
      </c>
      <c r="Q29" s="189">
        <v>0</v>
      </c>
      <c r="R29" s="191">
        <v>0</v>
      </c>
      <c r="S29" s="252">
        <v>1</v>
      </c>
      <c r="T29" s="191" t="s">
        <v>541</v>
      </c>
      <c r="U29" s="192">
        <v>831730.78860000009</v>
      </c>
      <c r="V29" s="188" t="s">
        <v>304</v>
      </c>
      <c r="W29" s="188">
        <v>0</v>
      </c>
      <c r="X29" s="188">
        <v>0</v>
      </c>
      <c r="Y29" s="188">
        <v>0</v>
      </c>
      <c r="Z29" s="188">
        <v>0</v>
      </c>
      <c r="AA29" s="188">
        <v>0</v>
      </c>
      <c r="AB29" s="188">
        <v>0</v>
      </c>
      <c r="AC29" s="192">
        <v>831730.78860000009</v>
      </c>
      <c r="AD29" s="188">
        <v>0</v>
      </c>
      <c r="AE29" s="188">
        <v>0</v>
      </c>
      <c r="AF29" s="188">
        <v>0</v>
      </c>
      <c r="AG29" s="188">
        <v>0</v>
      </c>
      <c r="AH29" s="193">
        <v>0</v>
      </c>
      <c r="AI29" s="188">
        <v>0</v>
      </c>
      <c r="AJ29" s="188">
        <v>0</v>
      </c>
      <c r="AK29" s="194">
        <v>0</v>
      </c>
      <c r="AL29" s="195">
        <v>0</v>
      </c>
      <c r="AM29" s="188">
        <v>2807236.89</v>
      </c>
      <c r="AN29" s="189">
        <v>0</v>
      </c>
      <c r="AO29" s="195">
        <v>0</v>
      </c>
      <c r="AP29" s="188">
        <v>1136410.0286000001</v>
      </c>
      <c r="AQ29" s="196">
        <v>1</v>
      </c>
      <c r="AR29" s="188">
        <v>0</v>
      </c>
      <c r="AS29" s="188">
        <v>831730.78860000009</v>
      </c>
      <c r="AT29" s="188">
        <v>0</v>
      </c>
      <c r="AU29" s="188">
        <v>0</v>
      </c>
      <c r="AV29" s="188">
        <v>0</v>
      </c>
      <c r="AW29" s="188">
        <v>0</v>
      </c>
      <c r="AX29" s="188">
        <v>-1906021.4796</v>
      </c>
      <c r="AY29" s="188">
        <v>0</v>
      </c>
      <c r="AZ29" s="188">
        <v>1906021.4796</v>
      </c>
      <c r="BA29" s="188">
        <v>0</v>
      </c>
      <c r="BB29" s="188" t="s">
        <v>300</v>
      </c>
      <c r="BC29" s="188" t="s">
        <v>300</v>
      </c>
      <c r="BD29" s="188">
        <v>0</v>
      </c>
      <c r="BE29" s="188">
        <v>0</v>
      </c>
      <c r="BF29" s="188">
        <v>0</v>
      </c>
      <c r="BG29" s="188">
        <v>0</v>
      </c>
      <c r="BH29" s="188">
        <v>-1906021.4796</v>
      </c>
      <c r="BI29" s="188">
        <v>0</v>
      </c>
      <c r="BJ29" s="188">
        <v>1906021.4796</v>
      </c>
      <c r="BK29" s="188">
        <v>0</v>
      </c>
      <c r="BL29" s="188">
        <v>1136410.0286000001</v>
      </c>
      <c r="BM29" s="188" t="s">
        <v>305</v>
      </c>
      <c r="BN29" s="188">
        <v>0</v>
      </c>
      <c r="BO29" s="188" t="b">
        <v>0</v>
      </c>
      <c r="BP29" s="188">
        <v>0</v>
      </c>
      <c r="BQ29" s="190">
        <v>0</v>
      </c>
      <c r="BR29" s="189">
        <v>0</v>
      </c>
      <c r="BS29" s="198">
        <v>39</v>
      </c>
      <c r="BT29" s="189">
        <v>0</v>
      </c>
      <c r="BU29" s="199">
        <v>0</v>
      </c>
      <c r="BV29" s="189">
        <v>302</v>
      </c>
      <c r="BW29" s="200">
        <v>0</v>
      </c>
      <c r="BX29" s="200">
        <v>0</v>
      </c>
      <c r="BY29" s="188">
        <v>0</v>
      </c>
      <c r="BZ29" s="188">
        <v>-304679.24</v>
      </c>
      <c r="CA29" s="188">
        <v>-304679.24</v>
      </c>
      <c r="CB29" s="188">
        <v>-69484.621799999964</v>
      </c>
      <c r="CC29" s="188">
        <v>0</v>
      </c>
      <c r="CD29" s="188">
        <v>0</v>
      </c>
      <c r="CE29" s="188">
        <v>0</v>
      </c>
      <c r="CF29" s="188">
        <v>0</v>
      </c>
      <c r="CG29" s="188">
        <v>0</v>
      </c>
      <c r="CH29" s="188">
        <v>0</v>
      </c>
      <c r="CI29" s="188">
        <v>0</v>
      </c>
      <c r="CJ29" s="188">
        <v>0</v>
      </c>
      <c r="CK29" s="189">
        <v>0</v>
      </c>
      <c r="CL29" s="189">
        <v>0</v>
      </c>
    </row>
    <row r="30" spans="1:90" s="219" customFormat="1" ht="20.100000000000001" customHeight="1" outlineLevel="2" x14ac:dyDescent="0.3">
      <c r="A30" s="202" t="s">
        <v>356</v>
      </c>
      <c r="B30" s="202"/>
      <c r="C30" s="202"/>
      <c r="D30" s="202"/>
      <c r="E30" s="202"/>
      <c r="F30" s="202"/>
      <c r="G30" s="202"/>
      <c r="H30" s="202"/>
      <c r="I30" s="203"/>
      <c r="J30" s="205"/>
      <c r="K30" s="205"/>
      <c r="L30" s="207"/>
      <c r="M30" s="207"/>
      <c r="N30" s="207"/>
      <c r="O30" s="206"/>
      <c r="P30" s="207"/>
      <c r="Q30" s="207"/>
      <c r="R30" s="209">
        <v>0</v>
      </c>
      <c r="S30" s="254">
        <v>1</v>
      </c>
      <c r="T30" s="209">
        <v>0</v>
      </c>
      <c r="U30" s="210">
        <v>831730.78860000009</v>
      </c>
      <c r="V30" s="206"/>
      <c r="W30" s="206">
        <v>0</v>
      </c>
      <c r="X30" s="206">
        <v>0</v>
      </c>
      <c r="Y30" s="206">
        <v>0</v>
      </c>
      <c r="Z30" s="206">
        <v>0</v>
      </c>
      <c r="AA30" s="206">
        <v>0</v>
      </c>
      <c r="AB30" s="206">
        <v>0</v>
      </c>
      <c r="AC30" s="210">
        <v>831730.78860000009</v>
      </c>
      <c r="AD30" s="206">
        <v>0</v>
      </c>
      <c r="AE30" s="206">
        <v>0</v>
      </c>
      <c r="AF30" s="206">
        <v>0</v>
      </c>
      <c r="AG30" s="206">
        <v>0</v>
      </c>
      <c r="AH30" s="211">
        <v>0</v>
      </c>
      <c r="AI30" s="206">
        <v>0</v>
      </c>
      <c r="AJ30" s="206">
        <v>0</v>
      </c>
      <c r="AK30" s="212">
        <v>0</v>
      </c>
      <c r="AL30" s="213"/>
      <c r="AM30" s="206">
        <v>2807236.89</v>
      </c>
      <c r="AN30" s="207"/>
      <c r="AO30" s="213"/>
      <c r="AP30" s="206">
        <v>1136410.0286000001</v>
      </c>
      <c r="AQ30" s="214"/>
      <c r="AR30" s="206"/>
      <c r="AS30" s="206"/>
      <c r="AT30" s="206">
        <v>0</v>
      </c>
      <c r="AU30" s="206">
        <v>0</v>
      </c>
      <c r="AV30" s="206">
        <v>0</v>
      </c>
      <c r="AW30" s="206">
        <v>0</v>
      </c>
      <c r="AX30" s="206">
        <v>-1906021.4796</v>
      </c>
      <c r="AY30" s="206">
        <v>0</v>
      </c>
      <c r="AZ30" s="206">
        <v>1906021.4796</v>
      </c>
      <c r="BA30" s="206">
        <v>0</v>
      </c>
      <c r="BB30" s="206"/>
      <c r="BC30" s="206"/>
      <c r="BD30" s="206"/>
      <c r="BE30" s="206"/>
      <c r="BF30" s="206"/>
      <c r="BG30" s="206"/>
      <c r="BH30" s="206"/>
      <c r="BI30" s="206"/>
      <c r="BJ30" s="206"/>
      <c r="BK30" s="206"/>
      <c r="BL30" s="206"/>
      <c r="BM30" s="206"/>
      <c r="BN30" s="206"/>
      <c r="BO30" s="206"/>
      <c r="BP30" s="206"/>
      <c r="BQ30" s="208"/>
      <c r="BR30" s="207"/>
      <c r="BS30" s="216"/>
      <c r="BT30" s="207"/>
      <c r="BU30" s="217"/>
      <c r="BV30" s="207"/>
      <c r="BW30" s="218"/>
      <c r="BX30" s="218"/>
      <c r="BY30" s="206"/>
      <c r="BZ30" s="206"/>
      <c r="CA30" s="206">
        <v>-304679.24</v>
      </c>
      <c r="CB30" s="206"/>
      <c r="CC30" s="206"/>
      <c r="CD30" s="206"/>
      <c r="CE30" s="206"/>
      <c r="CF30" s="206"/>
      <c r="CG30" s="206"/>
      <c r="CH30" s="206"/>
      <c r="CI30" s="206"/>
      <c r="CJ30" s="206"/>
      <c r="CK30" s="207"/>
      <c r="CL30" s="207"/>
    </row>
    <row r="31" spans="1:90" outlineLevel="3" x14ac:dyDescent="0.3">
      <c r="A31" s="128" t="s">
        <v>357</v>
      </c>
      <c r="B31" s="128" t="s">
        <v>352</v>
      </c>
      <c r="C31" s="128" t="s">
        <v>361</v>
      </c>
      <c r="D31" s="128" t="s">
        <v>362</v>
      </c>
      <c r="E31" s="128" t="s">
        <v>363</v>
      </c>
      <c r="F31" s="128" t="s">
        <v>364</v>
      </c>
      <c r="G31" s="235" t="s">
        <v>334</v>
      </c>
      <c r="H31" s="235" t="s">
        <v>312</v>
      </c>
      <c r="I31" s="185" t="s">
        <v>303</v>
      </c>
      <c r="J31" s="187">
        <v>0</v>
      </c>
      <c r="K31" s="187">
        <v>0</v>
      </c>
      <c r="L31" s="189">
        <v>0</v>
      </c>
      <c r="M31" s="189">
        <v>0</v>
      </c>
      <c r="N31" s="189">
        <v>1</v>
      </c>
      <c r="O31" s="188">
        <v>5.4</v>
      </c>
      <c r="P31" s="190">
        <v>5.25</v>
      </c>
      <c r="Q31" s="190">
        <v>0.15</v>
      </c>
      <c r="R31" s="191">
        <v>0</v>
      </c>
      <c r="S31" s="252">
        <v>1</v>
      </c>
      <c r="T31" s="191" t="s">
        <v>541</v>
      </c>
      <c r="U31" s="192">
        <v>0</v>
      </c>
      <c r="V31" s="188" t="s">
        <v>304</v>
      </c>
      <c r="W31" s="188">
        <v>0</v>
      </c>
      <c r="X31" s="188">
        <v>0</v>
      </c>
      <c r="Y31" s="188">
        <v>0</v>
      </c>
      <c r="Z31" s="188">
        <v>0</v>
      </c>
      <c r="AA31" s="188">
        <v>0</v>
      </c>
      <c r="AB31" s="188">
        <v>0</v>
      </c>
      <c r="AC31" s="192">
        <v>0</v>
      </c>
      <c r="AD31" s="188">
        <v>0</v>
      </c>
      <c r="AE31" s="188">
        <v>0</v>
      </c>
      <c r="AF31" s="188">
        <v>0</v>
      </c>
      <c r="AG31" s="188">
        <v>0</v>
      </c>
      <c r="AH31" s="193">
        <v>0</v>
      </c>
      <c r="AI31" s="188">
        <v>0</v>
      </c>
      <c r="AJ31" s="188">
        <v>0</v>
      </c>
      <c r="AK31" s="194">
        <v>0</v>
      </c>
      <c r="AL31" s="195">
        <v>0</v>
      </c>
      <c r="AM31" s="188">
        <v>48045.604950000037</v>
      </c>
      <c r="AN31" s="195">
        <v>0</v>
      </c>
      <c r="AO31" s="195">
        <v>0</v>
      </c>
      <c r="AP31" s="188">
        <v>243059.55643199998</v>
      </c>
      <c r="AQ31" s="196">
        <v>1</v>
      </c>
      <c r="AR31" s="188">
        <v>0</v>
      </c>
      <c r="AS31" s="188">
        <v>5.4</v>
      </c>
      <c r="AT31" s="188">
        <v>0</v>
      </c>
      <c r="AU31" s="188">
        <v>0</v>
      </c>
      <c r="AV31" s="188">
        <v>0</v>
      </c>
      <c r="AW31" s="188">
        <v>0</v>
      </c>
      <c r="AX31" s="188">
        <v>758.11364999996295</v>
      </c>
      <c r="AY31" s="188">
        <v>0</v>
      </c>
      <c r="AZ31" s="188">
        <v>-758.11364999996295</v>
      </c>
      <c r="BA31" s="188">
        <v>0</v>
      </c>
      <c r="BB31" s="188">
        <v>5.4</v>
      </c>
      <c r="BC31" s="188">
        <v>5.25</v>
      </c>
      <c r="BD31" s="188">
        <v>0</v>
      </c>
      <c r="BE31" s="188">
        <v>0</v>
      </c>
      <c r="BF31" s="188">
        <v>0</v>
      </c>
      <c r="BG31" s="188">
        <v>0</v>
      </c>
      <c r="BH31" s="188">
        <v>758.11364999996295</v>
      </c>
      <c r="BI31" s="188">
        <v>0</v>
      </c>
      <c r="BJ31" s="188">
        <v>-758.11364999996295</v>
      </c>
      <c r="BK31" s="188">
        <v>0</v>
      </c>
      <c r="BL31" s="188">
        <v>243059.55643199998</v>
      </c>
      <c r="BM31" s="188" t="s">
        <v>313</v>
      </c>
      <c r="BN31" s="188">
        <v>0</v>
      </c>
      <c r="BO31" s="188" t="b">
        <v>0</v>
      </c>
      <c r="BP31" s="188">
        <v>0</v>
      </c>
      <c r="BQ31" s="189">
        <v>0</v>
      </c>
      <c r="BR31" s="189">
        <v>0</v>
      </c>
      <c r="BS31" s="198">
        <v>41</v>
      </c>
      <c r="BT31" s="189">
        <v>0</v>
      </c>
      <c r="BU31" s="199">
        <v>0</v>
      </c>
      <c r="BV31" s="189">
        <v>315</v>
      </c>
      <c r="BW31" s="200">
        <v>5.4</v>
      </c>
      <c r="BX31" s="200">
        <v>0</v>
      </c>
      <c r="BY31" s="188">
        <v>0</v>
      </c>
      <c r="BZ31" s="188">
        <v>0</v>
      </c>
      <c r="CA31" s="188">
        <v>0</v>
      </c>
      <c r="CB31" s="188">
        <v>-48803.7186</v>
      </c>
      <c r="CC31" s="188">
        <v>0</v>
      </c>
      <c r="CD31" s="188">
        <v>0</v>
      </c>
      <c r="CE31" s="188">
        <v>0</v>
      </c>
      <c r="CF31" s="188">
        <v>0</v>
      </c>
      <c r="CG31" s="188">
        <v>0</v>
      </c>
      <c r="CH31" s="188">
        <v>0</v>
      </c>
      <c r="CI31" s="188">
        <v>0</v>
      </c>
      <c r="CJ31" s="188">
        <v>0</v>
      </c>
      <c r="CK31" s="189">
        <v>0</v>
      </c>
      <c r="CL31" s="189">
        <v>0</v>
      </c>
    </row>
    <row r="32" spans="1:90" s="219" customFormat="1" ht="20.100000000000001" customHeight="1" outlineLevel="2" x14ac:dyDescent="0.3">
      <c r="A32" s="202" t="s">
        <v>365</v>
      </c>
      <c r="B32" s="202"/>
      <c r="C32" s="202"/>
      <c r="D32" s="202"/>
      <c r="E32" s="202"/>
      <c r="F32" s="202"/>
      <c r="G32" s="236"/>
      <c r="H32" s="236"/>
      <c r="I32" s="203"/>
      <c r="J32" s="205"/>
      <c r="K32" s="205"/>
      <c r="L32" s="207"/>
      <c r="M32" s="207"/>
      <c r="N32" s="207"/>
      <c r="O32" s="206"/>
      <c r="P32" s="208"/>
      <c r="Q32" s="208"/>
      <c r="R32" s="209">
        <v>0</v>
      </c>
      <c r="S32" s="254">
        <v>1</v>
      </c>
      <c r="T32" s="209">
        <v>0</v>
      </c>
      <c r="U32" s="210">
        <v>0</v>
      </c>
      <c r="V32" s="206"/>
      <c r="W32" s="206">
        <v>0</v>
      </c>
      <c r="X32" s="206">
        <v>0</v>
      </c>
      <c r="Y32" s="206">
        <v>0</v>
      </c>
      <c r="Z32" s="206">
        <v>0</v>
      </c>
      <c r="AA32" s="206">
        <v>0</v>
      </c>
      <c r="AB32" s="206">
        <v>0</v>
      </c>
      <c r="AC32" s="210">
        <v>0</v>
      </c>
      <c r="AD32" s="206">
        <v>0</v>
      </c>
      <c r="AE32" s="206">
        <v>0</v>
      </c>
      <c r="AF32" s="206">
        <v>0</v>
      </c>
      <c r="AG32" s="206">
        <v>0</v>
      </c>
      <c r="AH32" s="211">
        <v>0</v>
      </c>
      <c r="AI32" s="206">
        <v>0</v>
      </c>
      <c r="AJ32" s="206">
        <v>0</v>
      </c>
      <c r="AK32" s="212">
        <v>0</v>
      </c>
      <c r="AL32" s="213"/>
      <c r="AM32" s="206">
        <v>48045.604950000037</v>
      </c>
      <c r="AN32" s="213"/>
      <c r="AO32" s="213"/>
      <c r="AP32" s="206">
        <v>243059.55643199998</v>
      </c>
      <c r="AQ32" s="214"/>
      <c r="AR32" s="206"/>
      <c r="AS32" s="206"/>
      <c r="AT32" s="206">
        <v>0</v>
      </c>
      <c r="AU32" s="206">
        <v>0</v>
      </c>
      <c r="AV32" s="206">
        <v>0</v>
      </c>
      <c r="AW32" s="206">
        <v>0</v>
      </c>
      <c r="AX32" s="206">
        <v>758.11364999996295</v>
      </c>
      <c r="AY32" s="206">
        <v>0</v>
      </c>
      <c r="AZ32" s="206">
        <v>-758.11364999996295</v>
      </c>
      <c r="BA32" s="206">
        <v>0</v>
      </c>
      <c r="BB32" s="206"/>
      <c r="BC32" s="206"/>
      <c r="BD32" s="206"/>
      <c r="BE32" s="206"/>
      <c r="BF32" s="206"/>
      <c r="BG32" s="206"/>
      <c r="BH32" s="206"/>
      <c r="BI32" s="206"/>
      <c r="BJ32" s="206"/>
      <c r="BK32" s="206"/>
      <c r="BL32" s="206"/>
      <c r="BM32" s="206"/>
      <c r="BN32" s="206"/>
      <c r="BO32" s="206"/>
      <c r="BP32" s="206"/>
      <c r="BQ32" s="207"/>
      <c r="BR32" s="207"/>
      <c r="BS32" s="216"/>
      <c r="BT32" s="207"/>
      <c r="BU32" s="217"/>
      <c r="BV32" s="207"/>
      <c r="BW32" s="218"/>
      <c r="BX32" s="218"/>
      <c r="BY32" s="206"/>
      <c r="BZ32" s="206"/>
      <c r="CA32" s="206">
        <v>0</v>
      </c>
      <c r="CB32" s="206"/>
      <c r="CC32" s="206"/>
      <c r="CD32" s="206"/>
      <c r="CE32" s="206"/>
      <c r="CF32" s="206"/>
      <c r="CG32" s="206"/>
      <c r="CH32" s="206"/>
      <c r="CI32" s="206"/>
      <c r="CJ32" s="206"/>
      <c r="CK32" s="207"/>
      <c r="CL32" s="207"/>
    </row>
    <row r="33" spans="1:90" outlineLevel="3" x14ac:dyDescent="0.3">
      <c r="A33" s="128" t="s">
        <v>366</v>
      </c>
      <c r="B33" s="128" t="s">
        <v>352</v>
      </c>
      <c r="C33" s="128" t="s">
        <v>367</v>
      </c>
      <c r="D33" s="128" t="s">
        <v>368</v>
      </c>
      <c r="E33" s="128" t="s">
        <v>369</v>
      </c>
      <c r="F33" s="128" t="s">
        <v>300</v>
      </c>
      <c r="G33" s="128" t="s">
        <v>334</v>
      </c>
      <c r="H33" s="128" t="s">
        <v>302</v>
      </c>
      <c r="I33" s="185" t="s">
        <v>345</v>
      </c>
      <c r="J33" s="187">
        <v>1</v>
      </c>
      <c r="K33" s="187">
        <v>1</v>
      </c>
      <c r="L33" s="189">
        <v>0</v>
      </c>
      <c r="M33" s="189">
        <v>0</v>
      </c>
      <c r="N33" s="189">
        <v>0</v>
      </c>
      <c r="O33" s="188">
        <v>0</v>
      </c>
      <c r="P33" s="189">
        <v>0</v>
      </c>
      <c r="Q33" s="189">
        <v>0</v>
      </c>
      <c r="R33" s="191">
        <v>0</v>
      </c>
      <c r="S33" s="252">
        <v>1</v>
      </c>
      <c r="T33" s="191" t="s">
        <v>541</v>
      </c>
      <c r="U33" s="192">
        <v>0</v>
      </c>
      <c r="V33" s="188" t="s">
        <v>304</v>
      </c>
      <c r="W33" s="188">
        <v>0</v>
      </c>
      <c r="X33" s="188">
        <v>0</v>
      </c>
      <c r="Y33" s="188">
        <v>0</v>
      </c>
      <c r="Z33" s="188">
        <v>0</v>
      </c>
      <c r="AA33" s="188">
        <v>0</v>
      </c>
      <c r="AB33" s="188">
        <v>0</v>
      </c>
      <c r="AC33" s="192">
        <v>0</v>
      </c>
      <c r="AD33" s="188">
        <v>0</v>
      </c>
      <c r="AE33" s="188">
        <v>0</v>
      </c>
      <c r="AF33" s="188">
        <v>0</v>
      </c>
      <c r="AG33" s="188">
        <v>0</v>
      </c>
      <c r="AH33" s="193">
        <v>0</v>
      </c>
      <c r="AI33" s="188">
        <v>0</v>
      </c>
      <c r="AJ33" s="188">
        <v>0</v>
      </c>
      <c r="AK33" s="194">
        <v>0</v>
      </c>
      <c r="AL33" s="195">
        <v>0</v>
      </c>
      <c r="AM33" s="188">
        <v>283416</v>
      </c>
      <c r="AN33" s="189">
        <v>0</v>
      </c>
      <c r="AO33" s="195">
        <v>0</v>
      </c>
      <c r="AP33" s="188">
        <v>0</v>
      </c>
      <c r="AQ33" s="196">
        <v>1</v>
      </c>
      <c r="AR33" s="188">
        <v>0</v>
      </c>
      <c r="AS33" s="188">
        <v>0</v>
      </c>
      <c r="AT33" s="188">
        <v>0</v>
      </c>
      <c r="AU33" s="188">
        <v>0</v>
      </c>
      <c r="AV33" s="188">
        <v>0</v>
      </c>
      <c r="AW33" s="188">
        <v>0</v>
      </c>
      <c r="AX33" s="188">
        <v>-283416</v>
      </c>
      <c r="AY33" s="188">
        <v>0</v>
      </c>
      <c r="AZ33" s="188">
        <v>283416</v>
      </c>
      <c r="BA33" s="188">
        <v>0</v>
      </c>
      <c r="BB33" s="188" t="s">
        <v>300</v>
      </c>
      <c r="BC33" s="188" t="s">
        <v>300</v>
      </c>
      <c r="BD33" s="188">
        <v>0</v>
      </c>
      <c r="BE33" s="188">
        <v>0</v>
      </c>
      <c r="BF33" s="188">
        <v>0</v>
      </c>
      <c r="BG33" s="188">
        <v>0</v>
      </c>
      <c r="BH33" s="188">
        <v>-283416</v>
      </c>
      <c r="BI33" s="188">
        <v>0</v>
      </c>
      <c r="BJ33" s="188">
        <v>283416</v>
      </c>
      <c r="BK33" s="188">
        <v>0</v>
      </c>
      <c r="BL33" s="188">
        <v>0</v>
      </c>
      <c r="BM33" s="188" t="s">
        <v>305</v>
      </c>
      <c r="BN33" s="188">
        <v>0</v>
      </c>
      <c r="BO33" s="188" t="b">
        <v>0</v>
      </c>
      <c r="BP33" s="188">
        <v>0</v>
      </c>
      <c r="BQ33" s="190">
        <v>0</v>
      </c>
      <c r="BR33" s="189">
        <v>0</v>
      </c>
      <c r="BS33" s="198">
        <v>38</v>
      </c>
      <c r="BT33" s="189">
        <v>0</v>
      </c>
      <c r="BU33" s="199">
        <v>0</v>
      </c>
      <c r="BV33" s="189">
        <v>305</v>
      </c>
      <c r="BW33" s="200">
        <v>0</v>
      </c>
      <c r="BX33" s="200">
        <v>0</v>
      </c>
      <c r="BY33" s="188">
        <v>0</v>
      </c>
      <c r="BZ33" s="188">
        <v>0</v>
      </c>
      <c r="CA33" s="188">
        <v>0</v>
      </c>
      <c r="CB33" s="188">
        <v>0</v>
      </c>
      <c r="CC33" s="188">
        <v>0</v>
      </c>
      <c r="CD33" s="188">
        <v>0</v>
      </c>
      <c r="CE33" s="188">
        <v>0</v>
      </c>
      <c r="CF33" s="188">
        <v>0</v>
      </c>
      <c r="CG33" s="188">
        <v>0</v>
      </c>
      <c r="CH33" s="188">
        <v>0</v>
      </c>
      <c r="CI33" s="188">
        <v>0</v>
      </c>
      <c r="CJ33" s="188">
        <v>0</v>
      </c>
      <c r="CK33" s="189">
        <v>0</v>
      </c>
      <c r="CL33" s="189">
        <v>0</v>
      </c>
    </row>
    <row r="34" spans="1:90" s="219" customFormat="1" ht="20.100000000000001" customHeight="1" outlineLevel="2" x14ac:dyDescent="0.3">
      <c r="A34" s="202" t="s">
        <v>370</v>
      </c>
      <c r="B34" s="202"/>
      <c r="C34" s="202"/>
      <c r="D34" s="202"/>
      <c r="E34" s="202"/>
      <c r="F34" s="202"/>
      <c r="G34" s="202"/>
      <c r="H34" s="202"/>
      <c r="I34" s="203"/>
      <c r="J34" s="205"/>
      <c r="K34" s="205"/>
      <c r="L34" s="207"/>
      <c r="M34" s="207"/>
      <c r="N34" s="207"/>
      <c r="O34" s="206"/>
      <c r="P34" s="207"/>
      <c r="Q34" s="207"/>
      <c r="R34" s="209">
        <v>0</v>
      </c>
      <c r="S34" s="254">
        <v>1</v>
      </c>
      <c r="T34" s="209">
        <v>0</v>
      </c>
      <c r="U34" s="210">
        <v>0</v>
      </c>
      <c r="V34" s="206"/>
      <c r="W34" s="206">
        <v>0</v>
      </c>
      <c r="X34" s="206">
        <v>0</v>
      </c>
      <c r="Y34" s="206">
        <v>0</v>
      </c>
      <c r="Z34" s="206">
        <v>0</v>
      </c>
      <c r="AA34" s="206">
        <v>0</v>
      </c>
      <c r="AB34" s="206">
        <v>0</v>
      </c>
      <c r="AC34" s="210">
        <v>0</v>
      </c>
      <c r="AD34" s="206">
        <v>0</v>
      </c>
      <c r="AE34" s="206">
        <v>0</v>
      </c>
      <c r="AF34" s="206">
        <v>0</v>
      </c>
      <c r="AG34" s="206">
        <v>0</v>
      </c>
      <c r="AH34" s="211">
        <v>0</v>
      </c>
      <c r="AI34" s="206">
        <v>0</v>
      </c>
      <c r="AJ34" s="206">
        <v>0</v>
      </c>
      <c r="AK34" s="212">
        <v>0</v>
      </c>
      <c r="AL34" s="213"/>
      <c r="AM34" s="206">
        <v>283416</v>
      </c>
      <c r="AN34" s="207"/>
      <c r="AO34" s="213"/>
      <c r="AP34" s="206">
        <v>0</v>
      </c>
      <c r="AQ34" s="214"/>
      <c r="AR34" s="206"/>
      <c r="AS34" s="206"/>
      <c r="AT34" s="206">
        <v>0</v>
      </c>
      <c r="AU34" s="206">
        <v>0</v>
      </c>
      <c r="AV34" s="206">
        <v>0</v>
      </c>
      <c r="AW34" s="206">
        <v>0</v>
      </c>
      <c r="AX34" s="206">
        <v>-283416</v>
      </c>
      <c r="AY34" s="206">
        <v>0</v>
      </c>
      <c r="AZ34" s="206">
        <v>283416</v>
      </c>
      <c r="BA34" s="206">
        <v>0</v>
      </c>
      <c r="BB34" s="206"/>
      <c r="BC34" s="206"/>
      <c r="BD34" s="206"/>
      <c r="BE34" s="206"/>
      <c r="BF34" s="206"/>
      <c r="BG34" s="206"/>
      <c r="BH34" s="206"/>
      <c r="BI34" s="206"/>
      <c r="BJ34" s="206"/>
      <c r="BK34" s="206"/>
      <c r="BL34" s="206"/>
      <c r="BM34" s="206"/>
      <c r="BN34" s="206"/>
      <c r="BO34" s="206"/>
      <c r="BP34" s="206"/>
      <c r="BQ34" s="208"/>
      <c r="BR34" s="207"/>
      <c r="BS34" s="216"/>
      <c r="BT34" s="207"/>
      <c r="BU34" s="217"/>
      <c r="BV34" s="207"/>
      <c r="BW34" s="218"/>
      <c r="BX34" s="218"/>
      <c r="BY34" s="206"/>
      <c r="BZ34" s="206"/>
      <c r="CA34" s="206">
        <v>0</v>
      </c>
      <c r="CB34" s="206"/>
      <c r="CC34" s="206"/>
      <c r="CD34" s="206"/>
      <c r="CE34" s="206"/>
      <c r="CF34" s="206"/>
      <c r="CG34" s="206"/>
      <c r="CH34" s="206"/>
      <c r="CI34" s="206"/>
      <c r="CJ34" s="206"/>
      <c r="CK34" s="207"/>
      <c r="CL34" s="207"/>
    </row>
    <row r="35" spans="1:90" outlineLevel="3" x14ac:dyDescent="0.3">
      <c r="A35" s="128" t="s">
        <v>408</v>
      </c>
      <c r="B35" s="128" t="s">
        <v>352</v>
      </c>
      <c r="C35" s="128" t="s">
        <v>358</v>
      </c>
      <c r="D35" s="128" t="s">
        <v>359</v>
      </c>
      <c r="E35" s="128" t="s">
        <v>409</v>
      </c>
      <c r="F35" s="128" t="s">
        <v>360</v>
      </c>
      <c r="G35" s="235" t="s">
        <v>511</v>
      </c>
      <c r="H35" s="235" t="s">
        <v>312</v>
      </c>
      <c r="I35" s="185" t="s">
        <v>303</v>
      </c>
      <c r="J35" s="187">
        <v>0</v>
      </c>
      <c r="K35" s="187">
        <v>0</v>
      </c>
      <c r="L35" s="189">
        <v>0</v>
      </c>
      <c r="M35" s="189">
        <v>0</v>
      </c>
      <c r="N35" s="189">
        <v>1</v>
      </c>
      <c r="O35" s="188">
        <v>20.28</v>
      </c>
      <c r="P35" s="190">
        <v>19.45</v>
      </c>
      <c r="Q35" s="190">
        <v>0.83000000000000185</v>
      </c>
      <c r="R35" s="191">
        <v>0</v>
      </c>
      <c r="S35" s="252">
        <v>1</v>
      </c>
      <c r="T35" s="191" t="s">
        <v>541</v>
      </c>
      <c r="U35" s="192">
        <v>0</v>
      </c>
      <c r="V35" s="188" t="s">
        <v>410</v>
      </c>
      <c r="W35" s="188">
        <v>0</v>
      </c>
      <c r="X35" s="188">
        <v>0</v>
      </c>
      <c r="Y35" s="188">
        <v>0</v>
      </c>
      <c r="Z35" s="188">
        <v>0</v>
      </c>
      <c r="AA35" s="188">
        <v>0</v>
      </c>
      <c r="AB35" s="188">
        <v>0</v>
      </c>
      <c r="AC35" s="192">
        <v>0</v>
      </c>
      <c r="AD35" s="188">
        <v>0</v>
      </c>
      <c r="AE35" s="188">
        <v>0</v>
      </c>
      <c r="AF35" s="188">
        <v>0</v>
      </c>
      <c r="AG35" s="188">
        <v>0</v>
      </c>
      <c r="AH35" s="193">
        <v>-0.10475999489426613</v>
      </c>
      <c r="AI35" s="188">
        <v>0</v>
      </c>
      <c r="AJ35" s="188">
        <v>0.10475999489426613</v>
      </c>
      <c r="AK35" s="194">
        <v>0</v>
      </c>
      <c r="AL35" s="195">
        <v>0</v>
      </c>
      <c r="AM35" s="188">
        <v>0</v>
      </c>
      <c r="AN35" s="195">
        <v>0</v>
      </c>
      <c r="AO35" s="195">
        <v>0</v>
      </c>
      <c r="AP35" s="188">
        <v>0</v>
      </c>
      <c r="AQ35" s="196">
        <v>1</v>
      </c>
      <c r="AR35" s="188">
        <v>0</v>
      </c>
      <c r="AS35" s="188">
        <v>20.28</v>
      </c>
      <c r="AT35" s="188">
        <v>0</v>
      </c>
      <c r="AU35" s="188">
        <v>0</v>
      </c>
      <c r="AV35" s="188">
        <v>0</v>
      </c>
      <c r="AW35" s="188">
        <v>0</v>
      </c>
      <c r="AX35" s="188">
        <v>-16696287.136852004</v>
      </c>
      <c r="AY35" s="188">
        <v>0</v>
      </c>
      <c r="AZ35" s="188">
        <v>16696287.136852004</v>
      </c>
      <c r="BA35" s="188">
        <v>0</v>
      </c>
      <c r="BB35" s="188">
        <v>20.28</v>
      </c>
      <c r="BC35" s="188">
        <v>19.45</v>
      </c>
      <c r="BD35" s="188">
        <v>0</v>
      </c>
      <c r="BE35" s="188">
        <v>0</v>
      </c>
      <c r="BF35" s="188">
        <v>0</v>
      </c>
      <c r="BG35" s="188">
        <v>0</v>
      </c>
      <c r="BH35" s="188">
        <v>-16696287.136852004</v>
      </c>
      <c r="BI35" s="188">
        <v>0</v>
      </c>
      <c r="BJ35" s="188">
        <v>16696287.136852004</v>
      </c>
      <c r="BK35" s="188">
        <v>0</v>
      </c>
      <c r="BL35" s="188">
        <v>0</v>
      </c>
      <c r="BM35" s="188" t="s">
        <v>313</v>
      </c>
      <c r="BN35" s="188">
        <v>0</v>
      </c>
      <c r="BO35" s="188" t="b">
        <v>0</v>
      </c>
      <c r="BP35" s="188">
        <v>0.10475999489426613</v>
      </c>
      <c r="BQ35" s="189">
        <v>0</v>
      </c>
      <c r="BR35" s="189">
        <v>0</v>
      </c>
      <c r="BS35" s="198">
        <v>88</v>
      </c>
      <c r="BT35" s="189">
        <v>0</v>
      </c>
      <c r="BU35" s="199">
        <v>0</v>
      </c>
      <c r="BV35" s="189">
        <v>312</v>
      </c>
      <c r="BW35" s="200">
        <v>20.28</v>
      </c>
      <c r="BX35" s="200">
        <v>0</v>
      </c>
      <c r="BY35" s="188">
        <v>0</v>
      </c>
      <c r="BZ35" s="188">
        <v>0</v>
      </c>
      <c r="CA35" s="188">
        <v>19030529.916004006</v>
      </c>
      <c r="CB35" s="188">
        <v>66824589.832532026</v>
      </c>
      <c r="CC35" s="188">
        <v>0</v>
      </c>
      <c r="CD35" s="188">
        <v>0</v>
      </c>
      <c r="CE35" s="188">
        <v>0</v>
      </c>
      <c r="CF35" s="188">
        <v>0</v>
      </c>
      <c r="CG35" s="188">
        <v>-0.10475999489426613</v>
      </c>
      <c r="CH35" s="188">
        <v>0</v>
      </c>
      <c r="CI35" s="188">
        <v>0.10475999489426613</v>
      </c>
      <c r="CJ35" s="188">
        <v>0</v>
      </c>
      <c r="CK35" s="189">
        <v>0</v>
      </c>
      <c r="CL35" s="189">
        <v>0</v>
      </c>
    </row>
    <row r="36" spans="1:90" s="219" customFormat="1" ht="20.100000000000001" customHeight="1" outlineLevel="2" x14ac:dyDescent="0.3">
      <c r="A36" s="202" t="s">
        <v>411</v>
      </c>
      <c r="B36" s="202"/>
      <c r="C36" s="202"/>
      <c r="D36" s="202"/>
      <c r="E36" s="202"/>
      <c r="F36" s="202"/>
      <c r="G36" s="236"/>
      <c r="H36" s="236"/>
      <c r="I36" s="203"/>
      <c r="J36" s="205"/>
      <c r="K36" s="205"/>
      <c r="L36" s="207"/>
      <c r="M36" s="207"/>
      <c r="N36" s="207"/>
      <c r="O36" s="206"/>
      <c r="P36" s="208"/>
      <c r="Q36" s="208"/>
      <c r="R36" s="209">
        <v>0</v>
      </c>
      <c r="S36" s="254">
        <v>1</v>
      </c>
      <c r="T36" s="209">
        <v>0</v>
      </c>
      <c r="U36" s="210">
        <v>0</v>
      </c>
      <c r="V36" s="206"/>
      <c r="W36" s="206">
        <v>0</v>
      </c>
      <c r="X36" s="206">
        <v>0</v>
      </c>
      <c r="Y36" s="206">
        <v>0</v>
      </c>
      <c r="Z36" s="206">
        <v>0</v>
      </c>
      <c r="AA36" s="206">
        <v>0</v>
      </c>
      <c r="AB36" s="206">
        <v>0</v>
      </c>
      <c r="AC36" s="210">
        <v>0</v>
      </c>
      <c r="AD36" s="206">
        <v>0</v>
      </c>
      <c r="AE36" s="206">
        <v>0</v>
      </c>
      <c r="AF36" s="206">
        <v>0</v>
      </c>
      <c r="AG36" s="206">
        <v>0</v>
      </c>
      <c r="AH36" s="211">
        <v>-0.10475999489426613</v>
      </c>
      <c r="AI36" s="206">
        <v>0</v>
      </c>
      <c r="AJ36" s="206">
        <v>0.10475999489426613</v>
      </c>
      <c r="AK36" s="212">
        <v>0</v>
      </c>
      <c r="AL36" s="213"/>
      <c r="AM36" s="206">
        <v>0</v>
      </c>
      <c r="AN36" s="213"/>
      <c r="AO36" s="213"/>
      <c r="AP36" s="206">
        <v>0</v>
      </c>
      <c r="AQ36" s="214"/>
      <c r="AR36" s="206"/>
      <c r="AS36" s="206"/>
      <c r="AT36" s="206">
        <v>0</v>
      </c>
      <c r="AU36" s="206">
        <v>0</v>
      </c>
      <c r="AV36" s="206">
        <v>0</v>
      </c>
      <c r="AW36" s="206">
        <v>0</v>
      </c>
      <c r="AX36" s="206">
        <v>-16696287.136852004</v>
      </c>
      <c r="AY36" s="206">
        <v>0</v>
      </c>
      <c r="AZ36" s="206">
        <v>16696287.136852004</v>
      </c>
      <c r="BA36" s="206">
        <v>0</v>
      </c>
      <c r="BB36" s="206"/>
      <c r="BC36" s="206"/>
      <c r="BD36" s="206"/>
      <c r="BE36" s="206"/>
      <c r="BF36" s="206"/>
      <c r="BG36" s="206"/>
      <c r="BH36" s="206"/>
      <c r="BI36" s="206"/>
      <c r="BJ36" s="206"/>
      <c r="BK36" s="206"/>
      <c r="BL36" s="206"/>
      <c r="BM36" s="206"/>
      <c r="BN36" s="206"/>
      <c r="BO36" s="206"/>
      <c r="BP36" s="206"/>
      <c r="BQ36" s="207"/>
      <c r="BR36" s="207"/>
      <c r="BS36" s="216"/>
      <c r="BT36" s="207"/>
      <c r="BU36" s="217"/>
      <c r="BV36" s="207"/>
      <c r="BW36" s="218"/>
      <c r="BX36" s="218"/>
      <c r="BY36" s="206"/>
      <c r="BZ36" s="206"/>
      <c r="CA36" s="206">
        <v>19030529.916004006</v>
      </c>
      <c r="CB36" s="206"/>
      <c r="CC36" s="206"/>
      <c r="CD36" s="206"/>
      <c r="CE36" s="206"/>
      <c r="CF36" s="206"/>
      <c r="CG36" s="206"/>
      <c r="CH36" s="206"/>
      <c r="CI36" s="206"/>
      <c r="CJ36" s="206"/>
      <c r="CK36" s="207"/>
      <c r="CL36" s="207"/>
    </row>
    <row r="37" spans="1:90" s="234" customFormat="1" ht="30" customHeight="1" outlineLevel="1" x14ac:dyDescent="0.3">
      <c r="A37" s="202"/>
      <c r="B37" s="202" t="s">
        <v>371</v>
      </c>
      <c r="C37" s="202"/>
      <c r="D37" s="202"/>
      <c r="E37" s="202"/>
      <c r="F37" s="202"/>
      <c r="G37" s="236"/>
      <c r="H37" s="236"/>
      <c r="I37" s="203"/>
      <c r="J37" s="220"/>
      <c r="K37" s="220"/>
      <c r="L37" s="222"/>
      <c r="M37" s="222"/>
      <c r="N37" s="222"/>
      <c r="O37" s="221"/>
      <c r="P37" s="223"/>
      <c r="Q37" s="223"/>
      <c r="R37" s="224">
        <v>0</v>
      </c>
      <c r="S37" s="255">
        <v>4</v>
      </c>
      <c r="T37" s="224">
        <v>0</v>
      </c>
      <c r="U37" s="225">
        <v>831730.78860000009</v>
      </c>
      <c r="V37" s="221"/>
      <c r="W37" s="221">
        <v>0</v>
      </c>
      <c r="X37" s="221">
        <v>0</v>
      </c>
      <c r="Y37" s="221">
        <v>0</v>
      </c>
      <c r="Z37" s="221">
        <v>0</v>
      </c>
      <c r="AA37" s="221">
        <v>0</v>
      </c>
      <c r="AB37" s="221">
        <v>0</v>
      </c>
      <c r="AC37" s="225">
        <v>831730.78860000009</v>
      </c>
      <c r="AD37" s="221">
        <v>0</v>
      </c>
      <c r="AE37" s="221">
        <v>0</v>
      </c>
      <c r="AF37" s="221">
        <v>0</v>
      </c>
      <c r="AG37" s="221">
        <v>0</v>
      </c>
      <c r="AH37" s="226">
        <v>-0.10475999489426613</v>
      </c>
      <c r="AI37" s="221">
        <v>0</v>
      </c>
      <c r="AJ37" s="221">
        <v>0.10475999489426613</v>
      </c>
      <c r="AK37" s="227">
        <v>0</v>
      </c>
      <c r="AL37" s="228"/>
      <c r="AM37" s="221">
        <v>3138698.4949500002</v>
      </c>
      <c r="AN37" s="228"/>
      <c r="AO37" s="228"/>
      <c r="AP37" s="221">
        <v>1379469.585032</v>
      </c>
      <c r="AQ37" s="229"/>
      <c r="AR37" s="221"/>
      <c r="AS37" s="221"/>
      <c r="AT37" s="221">
        <v>0</v>
      </c>
      <c r="AU37" s="221">
        <v>0</v>
      </c>
      <c r="AV37" s="221">
        <v>0</v>
      </c>
      <c r="AW37" s="221">
        <v>0</v>
      </c>
      <c r="AX37" s="221">
        <v>-18884966.502802003</v>
      </c>
      <c r="AY37" s="221">
        <v>0</v>
      </c>
      <c r="AZ37" s="221">
        <v>18884966.502802003</v>
      </c>
      <c r="BA37" s="221">
        <v>0</v>
      </c>
      <c r="BB37" s="221"/>
      <c r="BC37" s="221"/>
      <c r="BD37" s="221"/>
      <c r="BE37" s="221"/>
      <c r="BF37" s="221"/>
      <c r="BG37" s="221"/>
      <c r="BH37" s="221"/>
      <c r="BI37" s="221"/>
      <c r="BJ37" s="221"/>
      <c r="BK37" s="221"/>
      <c r="BL37" s="221"/>
      <c r="BM37" s="221"/>
      <c r="BN37" s="221"/>
      <c r="BO37" s="221"/>
      <c r="BP37" s="221"/>
      <c r="BQ37" s="222"/>
      <c r="BR37" s="222"/>
      <c r="BS37" s="231"/>
      <c r="BT37" s="222"/>
      <c r="BU37" s="232"/>
      <c r="BV37" s="222"/>
      <c r="BW37" s="233"/>
      <c r="BX37" s="233"/>
      <c r="BY37" s="221"/>
      <c r="BZ37" s="221"/>
      <c r="CA37" s="221">
        <v>18725850.676004007</v>
      </c>
      <c r="CB37" s="221"/>
      <c r="CC37" s="221"/>
      <c r="CD37" s="221"/>
      <c r="CE37" s="221"/>
      <c r="CF37" s="221"/>
      <c r="CG37" s="221"/>
      <c r="CH37" s="221"/>
      <c r="CI37" s="221"/>
      <c r="CJ37" s="221"/>
      <c r="CK37" s="222"/>
      <c r="CL37" s="222"/>
    </row>
    <row r="38" spans="1:90" outlineLevel="3" x14ac:dyDescent="0.3">
      <c r="A38" s="128" t="s">
        <v>395</v>
      </c>
      <c r="B38" s="128" t="s">
        <v>522</v>
      </c>
      <c r="C38" s="128" t="s">
        <v>361</v>
      </c>
      <c r="D38" s="128" t="s">
        <v>362</v>
      </c>
      <c r="E38" s="128" t="s">
        <v>396</v>
      </c>
      <c r="F38" s="128" t="s">
        <v>388</v>
      </c>
      <c r="G38" s="128" t="s">
        <v>507</v>
      </c>
      <c r="H38" s="128" t="s">
        <v>397</v>
      </c>
      <c r="I38" s="185" t="s">
        <v>398</v>
      </c>
      <c r="J38" s="186">
        <v>7663</v>
      </c>
      <c r="K38" s="187">
        <v>7663</v>
      </c>
      <c r="L38" s="189">
        <v>0</v>
      </c>
      <c r="M38" s="189">
        <v>0</v>
      </c>
      <c r="N38" s="189">
        <v>0</v>
      </c>
      <c r="O38" s="188">
        <v>6395.2427861150982</v>
      </c>
      <c r="P38" s="190">
        <v>6395.2427861150982</v>
      </c>
      <c r="Q38" s="190">
        <v>0</v>
      </c>
      <c r="R38" s="191" t="s">
        <v>543</v>
      </c>
      <c r="S38" s="252">
        <v>0.625</v>
      </c>
      <c r="T38" s="191" t="s">
        <v>544</v>
      </c>
      <c r="U38" s="192">
        <v>49006745.469999999</v>
      </c>
      <c r="V38" s="188" t="s">
        <v>304</v>
      </c>
      <c r="W38" s="188">
        <v>0</v>
      </c>
      <c r="X38" s="188">
        <v>0</v>
      </c>
      <c r="Y38" s="188">
        <v>0</v>
      </c>
      <c r="Z38" s="188">
        <v>0</v>
      </c>
      <c r="AA38" s="188">
        <v>0</v>
      </c>
      <c r="AB38" s="188">
        <v>0</v>
      </c>
      <c r="AC38" s="192">
        <v>49006745.469999999</v>
      </c>
      <c r="AD38" s="188">
        <v>0</v>
      </c>
      <c r="AE38" s="188">
        <v>0</v>
      </c>
      <c r="AF38" s="188">
        <v>0</v>
      </c>
      <c r="AG38" s="188">
        <v>0</v>
      </c>
      <c r="AH38" s="193">
        <v>0</v>
      </c>
      <c r="AI38" s="188">
        <v>0</v>
      </c>
      <c r="AJ38" s="188">
        <v>0</v>
      </c>
      <c r="AK38" s="194">
        <v>0</v>
      </c>
      <c r="AL38" s="195">
        <v>0</v>
      </c>
      <c r="AM38" s="188">
        <v>81210625</v>
      </c>
      <c r="AN38" s="195">
        <v>0</v>
      </c>
      <c r="AO38" s="189">
        <v>0</v>
      </c>
      <c r="AP38" s="188">
        <v>47929015.109999999</v>
      </c>
      <c r="AQ38" s="196">
        <v>1</v>
      </c>
      <c r="AR38" s="188">
        <v>0</v>
      </c>
      <c r="AS38" s="188">
        <v>6395.2427861150982</v>
      </c>
      <c r="AT38" s="188">
        <v>0</v>
      </c>
      <c r="AU38" s="188">
        <v>0</v>
      </c>
      <c r="AV38" s="188">
        <v>0</v>
      </c>
      <c r="AW38" s="188">
        <v>0</v>
      </c>
      <c r="AX38" s="188">
        <v>-35366446.379999995</v>
      </c>
      <c r="AY38" s="188">
        <v>0</v>
      </c>
      <c r="AZ38" s="188">
        <v>35366446.379999995</v>
      </c>
      <c r="BA38" s="188">
        <v>0</v>
      </c>
      <c r="BB38" s="188" t="s">
        <v>300</v>
      </c>
      <c r="BC38" s="188" t="s">
        <v>300</v>
      </c>
      <c r="BD38" s="188">
        <v>0</v>
      </c>
      <c r="BE38" s="188">
        <v>0</v>
      </c>
      <c r="BF38" s="188">
        <v>0</v>
      </c>
      <c r="BG38" s="188">
        <v>0</v>
      </c>
      <c r="BH38" s="188">
        <v>-35366446.379999995</v>
      </c>
      <c r="BI38" s="188">
        <v>0</v>
      </c>
      <c r="BJ38" s="188">
        <v>35366446.379999995</v>
      </c>
      <c r="BK38" s="188">
        <v>0</v>
      </c>
      <c r="BL38" s="188">
        <v>47929015.109999999</v>
      </c>
      <c r="BM38" s="188" t="s">
        <v>305</v>
      </c>
      <c r="BN38" s="188">
        <v>0</v>
      </c>
      <c r="BO38" s="188" t="b">
        <v>0</v>
      </c>
      <c r="BP38" s="188">
        <v>0</v>
      </c>
      <c r="BQ38" s="189" t="s">
        <v>549</v>
      </c>
      <c r="BR38" s="189">
        <v>45046166</v>
      </c>
      <c r="BS38" s="198">
        <v>78</v>
      </c>
      <c r="BT38" s="189">
        <v>0</v>
      </c>
      <c r="BU38" s="199">
        <v>0</v>
      </c>
      <c r="BV38" s="189">
        <v>165</v>
      </c>
      <c r="BW38" s="200">
        <v>0</v>
      </c>
      <c r="BX38" s="200">
        <v>0</v>
      </c>
      <c r="BY38" s="188">
        <v>0</v>
      </c>
      <c r="BZ38" s="188">
        <v>0</v>
      </c>
      <c r="CA38" s="188">
        <v>1077730.3600000001</v>
      </c>
      <c r="CB38" s="188">
        <v>3162566.85</v>
      </c>
      <c r="CC38" s="188">
        <v>0</v>
      </c>
      <c r="CD38" s="188">
        <v>0</v>
      </c>
      <c r="CE38" s="188">
        <v>0</v>
      </c>
      <c r="CF38" s="188">
        <v>0</v>
      </c>
      <c r="CG38" s="188">
        <v>0</v>
      </c>
      <c r="CH38" s="188">
        <v>0</v>
      </c>
      <c r="CI38" s="188">
        <v>0</v>
      </c>
      <c r="CJ38" s="188">
        <v>0</v>
      </c>
      <c r="CK38" s="189">
        <v>0</v>
      </c>
      <c r="CL38" s="189">
        <v>0</v>
      </c>
    </row>
    <row r="39" spans="1:90" s="219" customFormat="1" ht="20.100000000000001" customHeight="1" outlineLevel="2" x14ac:dyDescent="0.3">
      <c r="A39" s="202" t="s">
        <v>399</v>
      </c>
      <c r="B39" s="202"/>
      <c r="C39" s="202"/>
      <c r="D39" s="202"/>
      <c r="E39" s="202"/>
      <c r="F39" s="202"/>
      <c r="G39" s="202"/>
      <c r="H39" s="202"/>
      <c r="I39" s="203"/>
      <c r="J39" s="204"/>
      <c r="K39" s="205"/>
      <c r="L39" s="207"/>
      <c r="M39" s="207"/>
      <c r="N39" s="207"/>
      <c r="O39" s="206"/>
      <c r="P39" s="208"/>
      <c r="Q39" s="208"/>
      <c r="R39" s="209">
        <v>0</v>
      </c>
      <c r="S39" s="254">
        <v>0.625</v>
      </c>
      <c r="T39" s="209">
        <v>0</v>
      </c>
      <c r="U39" s="210">
        <v>49006745.469999999</v>
      </c>
      <c r="V39" s="206"/>
      <c r="W39" s="206">
        <v>0</v>
      </c>
      <c r="X39" s="206">
        <v>0</v>
      </c>
      <c r="Y39" s="206">
        <v>0</v>
      </c>
      <c r="Z39" s="206">
        <v>0</v>
      </c>
      <c r="AA39" s="206">
        <v>0</v>
      </c>
      <c r="AB39" s="206">
        <v>0</v>
      </c>
      <c r="AC39" s="210">
        <v>49006745.469999999</v>
      </c>
      <c r="AD39" s="206">
        <v>0</v>
      </c>
      <c r="AE39" s="206">
        <v>0</v>
      </c>
      <c r="AF39" s="206">
        <v>0</v>
      </c>
      <c r="AG39" s="206">
        <v>0</v>
      </c>
      <c r="AH39" s="211">
        <v>0</v>
      </c>
      <c r="AI39" s="206">
        <v>0</v>
      </c>
      <c r="AJ39" s="206">
        <v>0</v>
      </c>
      <c r="AK39" s="212">
        <v>0</v>
      </c>
      <c r="AL39" s="213"/>
      <c r="AM39" s="206">
        <v>81210625</v>
      </c>
      <c r="AN39" s="213"/>
      <c r="AO39" s="207"/>
      <c r="AP39" s="206">
        <v>47929015.109999999</v>
      </c>
      <c r="AQ39" s="214"/>
      <c r="AR39" s="206"/>
      <c r="AS39" s="206"/>
      <c r="AT39" s="206">
        <v>0</v>
      </c>
      <c r="AU39" s="206">
        <v>0</v>
      </c>
      <c r="AV39" s="206">
        <v>0</v>
      </c>
      <c r="AW39" s="206">
        <v>0</v>
      </c>
      <c r="AX39" s="206">
        <v>-35366446.379999995</v>
      </c>
      <c r="AY39" s="206">
        <v>0</v>
      </c>
      <c r="AZ39" s="206">
        <v>35366446.379999995</v>
      </c>
      <c r="BA39" s="206">
        <v>0</v>
      </c>
      <c r="BB39" s="206"/>
      <c r="BC39" s="206"/>
      <c r="BD39" s="206"/>
      <c r="BE39" s="206"/>
      <c r="BF39" s="206"/>
      <c r="BG39" s="206"/>
      <c r="BH39" s="206"/>
      <c r="BI39" s="206"/>
      <c r="BJ39" s="206"/>
      <c r="BK39" s="206"/>
      <c r="BL39" s="206"/>
      <c r="BM39" s="206"/>
      <c r="BN39" s="206"/>
      <c r="BO39" s="206"/>
      <c r="BP39" s="206"/>
      <c r="BQ39" s="207"/>
      <c r="BR39" s="207"/>
      <c r="BS39" s="216"/>
      <c r="BT39" s="207"/>
      <c r="BU39" s="217"/>
      <c r="BV39" s="207"/>
      <c r="BW39" s="218"/>
      <c r="BX39" s="218"/>
      <c r="BY39" s="206"/>
      <c r="BZ39" s="206"/>
      <c r="CA39" s="206">
        <v>1077730.3600000001</v>
      </c>
      <c r="CB39" s="206"/>
      <c r="CC39" s="206"/>
      <c r="CD39" s="206"/>
      <c r="CE39" s="206"/>
      <c r="CF39" s="206"/>
      <c r="CG39" s="206"/>
      <c r="CH39" s="206"/>
      <c r="CI39" s="206"/>
      <c r="CJ39" s="206"/>
      <c r="CK39" s="207"/>
      <c r="CL39" s="207"/>
    </row>
    <row r="40" spans="1:90" outlineLevel="3" x14ac:dyDescent="0.3">
      <c r="A40" s="128" t="s">
        <v>315</v>
      </c>
      <c r="B40" s="128" t="s">
        <v>522</v>
      </c>
      <c r="C40" s="128" t="s">
        <v>361</v>
      </c>
      <c r="D40" s="128" t="s">
        <v>362</v>
      </c>
      <c r="E40" s="128" t="s">
        <v>400</v>
      </c>
      <c r="F40" s="128" t="s">
        <v>300</v>
      </c>
      <c r="G40" s="128" t="s">
        <v>483</v>
      </c>
      <c r="H40" s="128" t="s">
        <v>302</v>
      </c>
      <c r="I40" s="185" t="s">
        <v>319</v>
      </c>
      <c r="J40" s="187">
        <v>1</v>
      </c>
      <c r="K40" s="187">
        <v>1</v>
      </c>
      <c r="L40" s="189">
        <v>0</v>
      </c>
      <c r="M40" s="189">
        <v>0</v>
      </c>
      <c r="N40" s="189">
        <v>0</v>
      </c>
      <c r="O40" s="188">
        <v>1250000</v>
      </c>
      <c r="P40" s="189">
        <v>1250000</v>
      </c>
      <c r="Q40" s="189">
        <v>0</v>
      </c>
      <c r="R40" s="191" t="s">
        <v>542</v>
      </c>
      <c r="S40" s="252">
        <v>1</v>
      </c>
      <c r="T40" s="191" t="s">
        <v>541</v>
      </c>
      <c r="U40" s="192">
        <v>1250000</v>
      </c>
      <c r="V40" s="188" t="s">
        <v>304</v>
      </c>
      <c r="W40" s="188">
        <v>0</v>
      </c>
      <c r="X40" s="188">
        <v>0</v>
      </c>
      <c r="Y40" s="188">
        <v>0</v>
      </c>
      <c r="Z40" s="188">
        <v>0</v>
      </c>
      <c r="AA40" s="188">
        <v>0</v>
      </c>
      <c r="AB40" s="188">
        <v>0</v>
      </c>
      <c r="AC40" s="192">
        <v>1250000</v>
      </c>
      <c r="AD40" s="188">
        <v>0</v>
      </c>
      <c r="AE40" s="188">
        <v>0</v>
      </c>
      <c r="AF40" s="188">
        <v>0</v>
      </c>
      <c r="AG40" s="188">
        <v>0</v>
      </c>
      <c r="AH40" s="193">
        <v>0</v>
      </c>
      <c r="AI40" s="188">
        <v>0</v>
      </c>
      <c r="AJ40" s="188">
        <v>0</v>
      </c>
      <c r="AK40" s="194">
        <v>0</v>
      </c>
      <c r="AL40" s="195">
        <v>0</v>
      </c>
      <c r="AM40" s="188">
        <v>1250000</v>
      </c>
      <c r="AN40" s="189">
        <v>0</v>
      </c>
      <c r="AO40" s="195">
        <v>0</v>
      </c>
      <c r="AP40" s="188">
        <v>1250000</v>
      </c>
      <c r="AQ40" s="196">
        <v>1</v>
      </c>
      <c r="AR40" s="188">
        <v>0</v>
      </c>
      <c r="AS40" s="188">
        <v>1250000</v>
      </c>
      <c r="AT40" s="188">
        <v>0</v>
      </c>
      <c r="AU40" s="188">
        <v>0</v>
      </c>
      <c r="AV40" s="188">
        <v>0</v>
      </c>
      <c r="AW40" s="188">
        <v>0</v>
      </c>
      <c r="AX40" s="188">
        <v>0</v>
      </c>
      <c r="AY40" s="188">
        <v>0</v>
      </c>
      <c r="AZ40" s="188">
        <v>0</v>
      </c>
      <c r="BA40" s="188">
        <v>0</v>
      </c>
      <c r="BB40" s="188" t="s">
        <v>300</v>
      </c>
      <c r="BC40" s="188" t="s">
        <v>300</v>
      </c>
      <c r="BD40" s="188">
        <v>0</v>
      </c>
      <c r="BE40" s="188">
        <v>0</v>
      </c>
      <c r="BF40" s="188">
        <v>0</v>
      </c>
      <c r="BG40" s="188">
        <v>0</v>
      </c>
      <c r="BH40" s="188">
        <v>0</v>
      </c>
      <c r="BI40" s="188">
        <v>0</v>
      </c>
      <c r="BJ40" s="188">
        <v>0</v>
      </c>
      <c r="BK40" s="188">
        <v>0</v>
      </c>
      <c r="BL40" s="188">
        <v>1250000</v>
      </c>
      <c r="BM40" s="188" t="s">
        <v>305</v>
      </c>
      <c r="BN40" s="188">
        <v>0</v>
      </c>
      <c r="BO40" s="188" t="b">
        <v>0</v>
      </c>
      <c r="BP40" s="188">
        <v>0</v>
      </c>
      <c r="BQ40" s="190">
        <v>0</v>
      </c>
      <c r="BR40" s="189">
        <v>0</v>
      </c>
      <c r="BS40" s="198">
        <v>83</v>
      </c>
      <c r="BT40" s="189">
        <v>0</v>
      </c>
      <c r="BU40" s="199">
        <v>0</v>
      </c>
      <c r="BV40" s="189">
        <v>206</v>
      </c>
      <c r="BW40" s="200">
        <v>0</v>
      </c>
      <c r="BX40" s="200">
        <v>0</v>
      </c>
      <c r="BY40" s="188">
        <v>0</v>
      </c>
      <c r="BZ40" s="188">
        <v>0</v>
      </c>
      <c r="CA40" s="188">
        <v>0</v>
      </c>
      <c r="CB40" s="188">
        <v>0</v>
      </c>
      <c r="CC40" s="188">
        <v>0</v>
      </c>
      <c r="CD40" s="188">
        <v>0</v>
      </c>
      <c r="CE40" s="188">
        <v>0</v>
      </c>
      <c r="CF40" s="188">
        <v>0</v>
      </c>
      <c r="CG40" s="188">
        <v>0</v>
      </c>
      <c r="CH40" s="188">
        <v>0</v>
      </c>
      <c r="CI40" s="188">
        <v>0</v>
      </c>
      <c r="CJ40" s="188">
        <v>0</v>
      </c>
      <c r="CK40" s="189">
        <v>0</v>
      </c>
      <c r="CL40" s="189">
        <v>0</v>
      </c>
    </row>
    <row r="41" spans="1:90" outlineLevel="3" x14ac:dyDescent="0.3">
      <c r="A41" s="128" t="s">
        <v>315</v>
      </c>
      <c r="B41" s="128" t="s">
        <v>522</v>
      </c>
      <c r="C41" s="128" t="s">
        <v>528</v>
      </c>
      <c r="D41" s="128" t="s">
        <v>529</v>
      </c>
      <c r="E41" s="128" t="s">
        <v>401</v>
      </c>
      <c r="F41" s="128" t="s">
        <v>300</v>
      </c>
      <c r="G41" s="128" t="s">
        <v>507</v>
      </c>
      <c r="H41" s="235" t="s">
        <v>374</v>
      </c>
      <c r="I41" s="185" t="s">
        <v>402</v>
      </c>
      <c r="J41" s="187">
        <v>1</v>
      </c>
      <c r="K41" s="187">
        <v>1</v>
      </c>
      <c r="L41" s="189">
        <v>0</v>
      </c>
      <c r="M41" s="189">
        <v>0</v>
      </c>
      <c r="N41" s="189">
        <v>0</v>
      </c>
      <c r="O41" s="188">
        <v>0</v>
      </c>
      <c r="P41" s="189">
        <v>0</v>
      </c>
      <c r="Q41" s="189">
        <v>0</v>
      </c>
      <c r="R41" s="191">
        <v>0</v>
      </c>
      <c r="S41" s="252">
        <v>1</v>
      </c>
      <c r="T41" s="191" t="s">
        <v>541</v>
      </c>
      <c r="U41" s="192">
        <v>0</v>
      </c>
      <c r="V41" s="188" t="s">
        <v>304</v>
      </c>
      <c r="W41" s="188">
        <v>0</v>
      </c>
      <c r="X41" s="188">
        <v>0</v>
      </c>
      <c r="Y41" s="188">
        <v>0</v>
      </c>
      <c r="Z41" s="188">
        <v>0</v>
      </c>
      <c r="AA41" s="188">
        <v>0</v>
      </c>
      <c r="AB41" s="188">
        <v>0</v>
      </c>
      <c r="AC41" s="192">
        <v>0</v>
      </c>
      <c r="AD41" s="188">
        <v>0</v>
      </c>
      <c r="AE41" s="188">
        <v>0</v>
      </c>
      <c r="AF41" s="188">
        <v>0</v>
      </c>
      <c r="AG41" s="188">
        <v>0</v>
      </c>
      <c r="AH41" s="193">
        <v>0</v>
      </c>
      <c r="AI41" s="188">
        <v>0</v>
      </c>
      <c r="AJ41" s="188">
        <v>0</v>
      </c>
      <c r="AK41" s="194">
        <v>0</v>
      </c>
      <c r="AL41" s="195">
        <v>0</v>
      </c>
      <c r="AM41" s="188">
        <v>1663000</v>
      </c>
      <c r="AN41" s="189">
        <v>0</v>
      </c>
      <c r="AO41" s="195">
        <v>0</v>
      </c>
      <c r="AP41" s="188">
        <v>0</v>
      </c>
      <c r="AQ41" s="196">
        <v>1</v>
      </c>
      <c r="AR41" s="188">
        <v>0</v>
      </c>
      <c r="AS41" s="188">
        <v>0</v>
      </c>
      <c r="AT41" s="188">
        <v>0</v>
      </c>
      <c r="AU41" s="188">
        <v>0</v>
      </c>
      <c r="AV41" s="188">
        <v>0</v>
      </c>
      <c r="AW41" s="188">
        <v>0</v>
      </c>
      <c r="AX41" s="188">
        <v>-1663000</v>
      </c>
      <c r="AY41" s="188">
        <v>0</v>
      </c>
      <c r="AZ41" s="188">
        <v>1663000</v>
      </c>
      <c r="BA41" s="188">
        <v>0</v>
      </c>
      <c r="BB41" s="188" t="s">
        <v>300</v>
      </c>
      <c r="BC41" s="188" t="s">
        <v>300</v>
      </c>
      <c r="BD41" s="188">
        <v>0</v>
      </c>
      <c r="BE41" s="188">
        <v>0</v>
      </c>
      <c r="BF41" s="188">
        <v>0</v>
      </c>
      <c r="BG41" s="188">
        <v>0</v>
      </c>
      <c r="BH41" s="188">
        <v>-1663000</v>
      </c>
      <c r="BI41" s="188">
        <v>0</v>
      </c>
      <c r="BJ41" s="188">
        <v>1663000</v>
      </c>
      <c r="BK41" s="188">
        <v>0</v>
      </c>
      <c r="BL41" s="188">
        <v>0</v>
      </c>
      <c r="BM41" s="188" t="s">
        <v>305</v>
      </c>
      <c r="BN41" s="188">
        <v>0</v>
      </c>
      <c r="BO41" s="188" t="b">
        <v>0</v>
      </c>
      <c r="BP41" s="188">
        <v>0</v>
      </c>
      <c r="BQ41" s="189">
        <v>25</v>
      </c>
      <c r="BR41" s="189">
        <v>5183167</v>
      </c>
      <c r="BS41" s="198">
        <v>83</v>
      </c>
      <c r="BT41" s="189">
        <v>0</v>
      </c>
      <c r="BU41" s="199">
        <v>0</v>
      </c>
      <c r="BV41" s="189">
        <v>212</v>
      </c>
      <c r="BW41" s="200">
        <v>0</v>
      </c>
      <c r="BX41" s="200">
        <v>0</v>
      </c>
      <c r="BY41" s="188">
        <v>0</v>
      </c>
      <c r="BZ41" s="188">
        <v>0</v>
      </c>
      <c r="CA41" s="188">
        <v>0</v>
      </c>
      <c r="CB41" s="188">
        <v>0</v>
      </c>
      <c r="CC41" s="188">
        <v>0</v>
      </c>
      <c r="CD41" s="188">
        <v>0</v>
      </c>
      <c r="CE41" s="188">
        <v>0</v>
      </c>
      <c r="CF41" s="188">
        <v>0</v>
      </c>
      <c r="CG41" s="188">
        <v>0</v>
      </c>
      <c r="CH41" s="188">
        <v>0</v>
      </c>
      <c r="CI41" s="188">
        <v>0</v>
      </c>
      <c r="CJ41" s="188">
        <v>0</v>
      </c>
      <c r="CK41" s="189">
        <v>0</v>
      </c>
      <c r="CL41" s="189">
        <v>0</v>
      </c>
    </row>
    <row r="42" spans="1:90" s="219" customFormat="1" ht="20.100000000000001" customHeight="1" outlineLevel="2" x14ac:dyDescent="0.3">
      <c r="A42" s="202" t="s">
        <v>326</v>
      </c>
      <c r="B42" s="202"/>
      <c r="C42" s="202"/>
      <c r="D42" s="202"/>
      <c r="E42" s="202"/>
      <c r="F42" s="202"/>
      <c r="G42" s="202"/>
      <c r="H42" s="236"/>
      <c r="I42" s="203"/>
      <c r="J42" s="205"/>
      <c r="K42" s="205"/>
      <c r="L42" s="207"/>
      <c r="M42" s="207"/>
      <c r="N42" s="207"/>
      <c r="O42" s="206"/>
      <c r="P42" s="207"/>
      <c r="Q42" s="207"/>
      <c r="R42" s="209">
        <v>0</v>
      </c>
      <c r="S42" s="254">
        <v>2</v>
      </c>
      <c r="T42" s="209">
        <v>0</v>
      </c>
      <c r="U42" s="210">
        <v>1250000</v>
      </c>
      <c r="V42" s="206"/>
      <c r="W42" s="206">
        <v>0</v>
      </c>
      <c r="X42" s="206">
        <v>0</v>
      </c>
      <c r="Y42" s="206">
        <v>0</v>
      </c>
      <c r="Z42" s="206">
        <v>0</v>
      </c>
      <c r="AA42" s="206">
        <v>0</v>
      </c>
      <c r="AB42" s="206">
        <v>0</v>
      </c>
      <c r="AC42" s="210">
        <v>1250000</v>
      </c>
      <c r="AD42" s="206">
        <v>0</v>
      </c>
      <c r="AE42" s="206">
        <v>0</v>
      </c>
      <c r="AF42" s="206">
        <v>0</v>
      </c>
      <c r="AG42" s="206">
        <v>0</v>
      </c>
      <c r="AH42" s="211">
        <v>0</v>
      </c>
      <c r="AI42" s="206">
        <v>0</v>
      </c>
      <c r="AJ42" s="206">
        <v>0</v>
      </c>
      <c r="AK42" s="212">
        <v>0</v>
      </c>
      <c r="AL42" s="213"/>
      <c r="AM42" s="206">
        <v>2913000</v>
      </c>
      <c r="AN42" s="207"/>
      <c r="AO42" s="213"/>
      <c r="AP42" s="206">
        <v>1250000</v>
      </c>
      <c r="AQ42" s="214"/>
      <c r="AR42" s="206"/>
      <c r="AS42" s="206"/>
      <c r="AT42" s="206">
        <v>0</v>
      </c>
      <c r="AU42" s="206">
        <v>0</v>
      </c>
      <c r="AV42" s="206">
        <v>0</v>
      </c>
      <c r="AW42" s="206">
        <v>0</v>
      </c>
      <c r="AX42" s="206">
        <v>-1663000</v>
      </c>
      <c r="AY42" s="206">
        <v>0</v>
      </c>
      <c r="AZ42" s="206">
        <v>1663000</v>
      </c>
      <c r="BA42" s="206">
        <v>0</v>
      </c>
      <c r="BB42" s="206"/>
      <c r="BC42" s="206"/>
      <c r="BD42" s="206"/>
      <c r="BE42" s="206"/>
      <c r="BF42" s="206"/>
      <c r="BG42" s="206"/>
      <c r="BH42" s="206"/>
      <c r="BI42" s="206"/>
      <c r="BJ42" s="206"/>
      <c r="BK42" s="206"/>
      <c r="BL42" s="206"/>
      <c r="BM42" s="206"/>
      <c r="BN42" s="206"/>
      <c r="BO42" s="206"/>
      <c r="BP42" s="206"/>
      <c r="BQ42" s="207"/>
      <c r="BR42" s="207"/>
      <c r="BS42" s="216"/>
      <c r="BT42" s="207"/>
      <c r="BU42" s="217"/>
      <c r="BV42" s="207"/>
      <c r="BW42" s="218"/>
      <c r="BX42" s="218"/>
      <c r="BY42" s="206"/>
      <c r="BZ42" s="206"/>
      <c r="CA42" s="206">
        <v>0</v>
      </c>
      <c r="CB42" s="206"/>
      <c r="CC42" s="206"/>
      <c r="CD42" s="206"/>
      <c r="CE42" s="206"/>
      <c r="CF42" s="206"/>
      <c r="CG42" s="206"/>
      <c r="CH42" s="206"/>
      <c r="CI42" s="206"/>
      <c r="CJ42" s="206"/>
      <c r="CK42" s="207"/>
      <c r="CL42" s="207"/>
    </row>
    <row r="43" spans="1:90" outlineLevel="3" x14ac:dyDescent="0.3">
      <c r="A43" s="128" t="s">
        <v>372</v>
      </c>
      <c r="B43" s="128" t="s">
        <v>522</v>
      </c>
      <c r="C43" s="128" t="s">
        <v>532</v>
      </c>
      <c r="D43" s="128" t="s">
        <v>533</v>
      </c>
      <c r="E43" s="128" t="s">
        <v>412</v>
      </c>
      <c r="F43" s="128" t="s">
        <v>300</v>
      </c>
      <c r="G43" s="128" t="s">
        <v>483</v>
      </c>
      <c r="H43" s="235" t="s">
        <v>374</v>
      </c>
      <c r="I43" s="185" t="s">
        <v>303</v>
      </c>
      <c r="J43" s="186">
        <v>1</v>
      </c>
      <c r="K43" s="187">
        <v>1</v>
      </c>
      <c r="L43" s="189">
        <v>0</v>
      </c>
      <c r="M43" s="189">
        <v>0</v>
      </c>
      <c r="N43" s="189">
        <v>1</v>
      </c>
      <c r="O43" s="188">
        <v>0</v>
      </c>
      <c r="P43" s="190">
        <v>0</v>
      </c>
      <c r="Q43" s="190">
        <v>0</v>
      </c>
      <c r="R43" s="191" t="s">
        <v>543</v>
      </c>
      <c r="S43" s="252">
        <v>0.5</v>
      </c>
      <c r="T43" s="191">
        <v>0</v>
      </c>
      <c r="U43" s="192">
        <v>0</v>
      </c>
      <c r="V43" s="188" t="s">
        <v>304</v>
      </c>
      <c r="W43" s="188">
        <v>0</v>
      </c>
      <c r="X43" s="188">
        <v>0</v>
      </c>
      <c r="Y43" s="188">
        <v>0</v>
      </c>
      <c r="Z43" s="188">
        <v>0</v>
      </c>
      <c r="AA43" s="188">
        <v>0</v>
      </c>
      <c r="AB43" s="188">
        <v>0</v>
      </c>
      <c r="AC43" s="192">
        <v>0</v>
      </c>
      <c r="AD43" s="188">
        <v>0</v>
      </c>
      <c r="AE43" s="188">
        <v>0</v>
      </c>
      <c r="AF43" s="188">
        <v>0</v>
      </c>
      <c r="AG43" s="188">
        <v>0</v>
      </c>
      <c r="AH43" s="193">
        <v>179755.5</v>
      </c>
      <c r="AI43" s="188">
        <v>0</v>
      </c>
      <c r="AJ43" s="188">
        <v>-179755.5</v>
      </c>
      <c r="AK43" s="194">
        <v>0</v>
      </c>
      <c r="AL43" s="195">
        <v>0</v>
      </c>
      <c r="AM43" s="188">
        <v>1247943.5</v>
      </c>
      <c r="AN43" s="195">
        <v>0</v>
      </c>
      <c r="AO43" s="189">
        <v>0</v>
      </c>
      <c r="AP43" s="188">
        <v>0</v>
      </c>
      <c r="AQ43" s="196">
        <v>1</v>
      </c>
      <c r="AR43" s="188">
        <v>0</v>
      </c>
      <c r="AS43" s="188">
        <v>0</v>
      </c>
      <c r="AT43" s="188">
        <v>179755.5</v>
      </c>
      <c r="AU43" s="188">
        <v>0</v>
      </c>
      <c r="AV43" s="188">
        <v>-179755.5</v>
      </c>
      <c r="AW43" s="188">
        <v>0</v>
      </c>
      <c r="AX43" s="188">
        <v>-297943.5</v>
      </c>
      <c r="AY43" s="188">
        <v>0</v>
      </c>
      <c r="AZ43" s="188">
        <v>297943.5</v>
      </c>
      <c r="BA43" s="188">
        <v>0</v>
      </c>
      <c r="BB43" s="188" t="s">
        <v>300</v>
      </c>
      <c r="BC43" s="188" t="s">
        <v>300</v>
      </c>
      <c r="BD43" s="188">
        <v>179755.5</v>
      </c>
      <c r="BE43" s="188">
        <v>0</v>
      </c>
      <c r="BF43" s="188">
        <v>-179755.5</v>
      </c>
      <c r="BG43" s="188">
        <v>0</v>
      </c>
      <c r="BH43" s="188">
        <v>-297943.5</v>
      </c>
      <c r="BI43" s="188">
        <v>0</v>
      </c>
      <c r="BJ43" s="188">
        <v>297943.5</v>
      </c>
      <c r="BK43" s="188">
        <v>0</v>
      </c>
      <c r="BL43" s="200">
        <v>0</v>
      </c>
      <c r="BM43" s="188" t="s">
        <v>313</v>
      </c>
      <c r="BN43" s="188">
        <v>0</v>
      </c>
      <c r="BO43" s="188" t="b">
        <v>0</v>
      </c>
      <c r="BP43" s="188">
        <v>-179755.5</v>
      </c>
      <c r="BQ43" s="189" t="s">
        <v>549</v>
      </c>
      <c r="BR43" s="189">
        <v>0</v>
      </c>
      <c r="BS43" s="198">
        <v>77</v>
      </c>
      <c r="BT43" s="189">
        <v>0</v>
      </c>
      <c r="BU43" s="199">
        <v>0</v>
      </c>
      <c r="BV43" s="189">
        <v>59</v>
      </c>
      <c r="BW43" s="200">
        <v>0</v>
      </c>
      <c r="BX43" s="200">
        <v>0</v>
      </c>
      <c r="BY43" s="188">
        <v>0</v>
      </c>
      <c r="BZ43" s="188">
        <v>-950000</v>
      </c>
      <c r="CA43" s="188">
        <v>-950000</v>
      </c>
      <c r="CB43" s="188">
        <v>-950000</v>
      </c>
      <c r="CC43" s="188">
        <v>0</v>
      </c>
      <c r="CD43" s="188">
        <v>0</v>
      </c>
      <c r="CE43" s="188">
        <v>0</v>
      </c>
      <c r="CF43" s="188">
        <v>0</v>
      </c>
      <c r="CG43" s="188">
        <v>179755.5</v>
      </c>
      <c r="CH43" s="188">
        <v>0</v>
      </c>
      <c r="CI43" s="188">
        <v>-179755.5</v>
      </c>
      <c r="CJ43" s="188">
        <v>0</v>
      </c>
      <c r="CK43" s="189">
        <v>0</v>
      </c>
      <c r="CL43" s="189">
        <v>0</v>
      </c>
    </row>
    <row r="44" spans="1:90" outlineLevel="3" x14ac:dyDescent="0.3">
      <c r="A44" s="128" t="s">
        <v>372</v>
      </c>
      <c r="B44" s="128" t="s">
        <v>522</v>
      </c>
      <c r="C44" s="128" t="s">
        <v>532</v>
      </c>
      <c r="D44" s="128" t="s">
        <v>533</v>
      </c>
      <c r="E44" s="128" t="s">
        <v>417</v>
      </c>
      <c r="F44" s="128" t="s">
        <v>300</v>
      </c>
      <c r="G44" s="128" t="s">
        <v>483</v>
      </c>
      <c r="H44" s="235" t="s">
        <v>374</v>
      </c>
      <c r="I44" s="185" t="s">
        <v>303</v>
      </c>
      <c r="J44" s="186">
        <v>1</v>
      </c>
      <c r="K44" s="187">
        <v>1</v>
      </c>
      <c r="L44" s="189">
        <v>0</v>
      </c>
      <c r="M44" s="189">
        <v>0</v>
      </c>
      <c r="N44" s="189">
        <v>1</v>
      </c>
      <c r="O44" s="188">
        <v>0</v>
      </c>
      <c r="P44" s="190">
        <v>0</v>
      </c>
      <c r="Q44" s="190">
        <v>0</v>
      </c>
      <c r="R44" s="191" t="s">
        <v>543</v>
      </c>
      <c r="S44" s="252">
        <v>0.5</v>
      </c>
      <c r="T44" s="191">
        <v>0</v>
      </c>
      <c r="U44" s="192">
        <v>0</v>
      </c>
      <c r="V44" s="188" t="s">
        <v>304</v>
      </c>
      <c r="W44" s="188">
        <v>0</v>
      </c>
      <c r="X44" s="188">
        <v>0</v>
      </c>
      <c r="Y44" s="188">
        <v>0</v>
      </c>
      <c r="Z44" s="188">
        <v>0</v>
      </c>
      <c r="AA44" s="188">
        <v>0</v>
      </c>
      <c r="AB44" s="188">
        <v>0</v>
      </c>
      <c r="AC44" s="192">
        <v>0</v>
      </c>
      <c r="AD44" s="188">
        <v>0</v>
      </c>
      <c r="AE44" s="188">
        <v>0</v>
      </c>
      <c r="AF44" s="188">
        <v>0</v>
      </c>
      <c r="AG44" s="188">
        <v>0</v>
      </c>
      <c r="AH44" s="193">
        <v>0</v>
      </c>
      <c r="AI44" s="188">
        <v>0</v>
      </c>
      <c r="AJ44" s="188">
        <v>0</v>
      </c>
      <c r="AK44" s="194">
        <v>0</v>
      </c>
      <c r="AL44" s="195">
        <v>0</v>
      </c>
      <c r="AM44" s="188">
        <v>0</v>
      </c>
      <c r="AN44" s="195">
        <v>0</v>
      </c>
      <c r="AO44" s="189">
        <v>0</v>
      </c>
      <c r="AP44" s="188">
        <v>0</v>
      </c>
      <c r="AQ44" s="196">
        <v>1</v>
      </c>
      <c r="AR44" s="188">
        <v>0</v>
      </c>
      <c r="AS44" s="188">
        <v>0</v>
      </c>
      <c r="AT44" s="188">
        <v>0</v>
      </c>
      <c r="AU44" s="188">
        <v>0</v>
      </c>
      <c r="AV44" s="188">
        <v>0</v>
      </c>
      <c r="AW44" s="188">
        <v>0</v>
      </c>
      <c r="AX44" s="188">
        <v>-175230.57</v>
      </c>
      <c r="AY44" s="188">
        <v>0</v>
      </c>
      <c r="AZ44" s="188">
        <v>175230.57</v>
      </c>
      <c r="BA44" s="188">
        <v>0</v>
      </c>
      <c r="BB44" s="188" t="s">
        <v>300</v>
      </c>
      <c r="BC44" s="188" t="s">
        <v>300</v>
      </c>
      <c r="BD44" s="188">
        <v>0</v>
      </c>
      <c r="BE44" s="188">
        <v>0</v>
      </c>
      <c r="BF44" s="188">
        <v>0</v>
      </c>
      <c r="BG44" s="188">
        <v>0</v>
      </c>
      <c r="BH44" s="188">
        <v>-175230.57</v>
      </c>
      <c r="BI44" s="188">
        <v>0</v>
      </c>
      <c r="BJ44" s="188">
        <v>175230.57</v>
      </c>
      <c r="BK44" s="188">
        <v>0</v>
      </c>
      <c r="BL44" s="200">
        <v>0</v>
      </c>
      <c r="BM44" s="188" t="s">
        <v>305</v>
      </c>
      <c r="BN44" s="188">
        <v>0</v>
      </c>
      <c r="BO44" s="188" t="b">
        <v>0</v>
      </c>
      <c r="BP44" s="188">
        <v>0</v>
      </c>
      <c r="BQ44" s="189" t="s">
        <v>549</v>
      </c>
      <c r="BR44" s="189">
        <v>1247944</v>
      </c>
      <c r="BS44" s="198">
        <v>77</v>
      </c>
      <c r="BT44" s="189">
        <v>0</v>
      </c>
      <c r="BU44" s="199">
        <v>0</v>
      </c>
      <c r="BV44" s="189">
        <v>60</v>
      </c>
      <c r="BW44" s="200">
        <v>0</v>
      </c>
      <c r="BX44" s="200">
        <v>0</v>
      </c>
      <c r="BY44" s="188">
        <v>0</v>
      </c>
      <c r="BZ44" s="188">
        <v>0</v>
      </c>
      <c r="CA44" s="188">
        <v>0</v>
      </c>
      <c r="CB44" s="188">
        <v>175230.57</v>
      </c>
      <c r="CC44" s="188">
        <v>0</v>
      </c>
      <c r="CD44" s="188">
        <v>0</v>
      </c>
      <c r="CE44" s="188">
        <v>0</v>
      </c>
      <c r="CF44" s="188">
        <v>0</v>
      </c>
      <c r="CG44" s="188">
        <v>0</v>
      </c>
      <c r="CH44" s="188">
        <v>0</v>
      </c>
      <c r="CI44" s="188">
        <v>0</v>
      </c>
      <c r="CJ44" s="188">
        <v>0</v>
      </c>
      <c r="CK44" s="189">
        <v>0</v>
      </c>
      <c r="CL44" s="189">
        <v>0</v>
      </c>
    </row>
    <row r="45" spans="1:90" outlineLevel="3" x14ac:dyDescent="0.3">
      <c r="A45" s="128" t="s">
        <v>372</v>
      </c>
      <c r="B45" s="128" t="s">
        <v>522</v>
      </c>
      <c r="C45" s="128" t="s">
        <v>367</v>
      </c>
      <c r="D45" s="128" t="s">
        <v>368</v>
      </c>
      <c r="E45" s="128" t="s">
        <v>403</v>
      </c>
      <c r="F45" s="128" t="s">
        <v>300</v>
      </c>
      <c r="G45" s="128" t="s">
        <v>507</v>
      </c>
      <c r="H45" s="235" t="s">
        <v>374</v>
      </c>
      <c r="I45" s="185" t="s">
        <v>303</v>
      </c>
      <c r="J45" s="186">
        <v>1000</v>
      </c>
      <c r="K45" s="187">
        <v>1000</v>
      </c>
      <c r="L45" s="189">
        <v>0</v>
      </c>
      <c r="M45" s="189">
        <v>0</v>
      </c>
      <c r="N45" s="189">
        <v>1</v>
      </c>
      <c r="O45" s="188">
        <v>0</v>
      </c>
      <c r="P45" s="190">
        <v>0</v>
      </c>
      <c r="Q45" s="190">
        <v>0</v>
      </c>
      <c r="R45" s="191">
        <v>0</v>
      </c>
      <c r="S45" s="252">
        <v>1</v>
      </c>
      <c r="T45" s="191" t="s">
        <v>541</v>
      </c>
      <c r="U45" s="192">
        <v>0</v>
      </c>
      <c r="V45" s="188" t="s">
        <v>304</v>
      </c>
      <c r="W45" s="188">
        <v>0</v>
      </c>
      <c r="X45" s="188">
        <v>0</v>
      </c>
      <c r="Y45" s="188">
        <v>0</v>
      </c>
      <c r="Z45" s="188">
        <v>0</v>
      </c>
      <c r="AA45" s="188">
        <v>0</v>
      </c>
      <c r="AB45" s="188">
        <v>0</v>
      </c>
      <c r="AC45" s="192">
        <v>0</v>
      </c>
      <c r="AD45" s="188">
        <v>0</v>
      </c>
      <c r="AE45" s="188">
        <v>0</v>
      </c>
      <c r="AF45" s="188">
        <v>0</v>
      </c>
      <c r="AG45" s="188">
        <v>0</v>
      </c>
      <c r="AH45" s="193">
        <v>0</v>
      </c>
      <c r="AI45" s="188">
        <v>0</v>
      </c>
      <c r="AJ45" s="188">
        <v>0</v>
      </c>
      <c r="AK45" s="194">
        <v>0</v>
      </c>
      <c r="AL45" s="195">
        <v>0</v>
      </c>
      <c r="AM45" s="188">
        <v>1360000</v>
      </c>
      <c r="AN45" s="195">
        <v>0</v>
      </c>
      <c r="AO45" s="189">
        <v>0</v>
      </c>
      <c r="AP45" s="188">
        <v>0</v>
      </c>
      <c r="AQ45" s="196">
        <v>1</v>
      </c>
      <c r="AR45" s="188">
        <v>0</v>
      </c>
      <c r="AS45" s="188">
        <v>0</v>
      </c>
      <c r="AT45" s="188">
        <v>0</v>
      </c>
      <c r="AU45" s="188">
        <v>0</v>
      </c>
      <c r="AV45" s="188">
        <v>0</v>
      </c>
      <c r="AW45" s="188">
        <v>0</v>
      </c>
      <c r="AX45" s="188">
        <v>-1360000</v>
      </c>
      <c r="AY45" s="188">
        <v>0</v>
      </c>
      <c r="AZ45" s="188">
        <v>1360000</v>
      </c>
      <c r="BA45" s="188">
        <v>0</v>
      </c>
      <c r="BB45" s="188" t="s">
        <v>300</v>
      </c>
      <c r="BC45" s="188" t="s">
        <v>300</v>
      </c>
      <c r="BD45" s="188">
        <v>0</v>
      </c>
      <c r="BE45" s="188">
        <v>0</v>
      </c>
      <c r="BF45" s="188">
        <v>0</v>
      </c>
      <c r="BG45" s="188">
        <v>0</v>
      </c>
      <c r="BH45" s="188">
        <v>-1360000</v>
      </c>
      <c r="BI45" s="188">
        <v>0</v>
      </c>
      <c r="BJ45" s="188">
        <v>1360000</v>
      </c>
      <c r="BK45" s="188">
        <v>0</v>
      </c>
      <c r="BL45" s="200">
        <v>0</v>
      </c>
      <c r="BM45" s="188" t="s">
        <v>305</v>
      </c>
      <c r="BN45" s="188">
        <v>0</v>
      </c>
      <c r="BO45" s="188" t="b">
        <v>0</v>
      </c>
      <c r="BP45" s="188">
        <v>0</v>
      </c>
      <c r="BQ45" s="189">
        <v>1000</v>
      </c>
      <c r="BR45" s="189">
        <v>2360000</v>
      </c>
      <c r="BS45" s="198">
        <v>77</v>
      </c>
      <c r="BT45" s="189">
        <v>0</v>
      </c>
      <c r="BU45" s="199">
        <v>0</v>
      </c>
      <c r="BV45" s="189">
        <v>61</v>
      </c>
      <c r="BW45" s="200">
        <v>0</v>
      </c>
      <c r="BX45" s="200">
        <v>0</v>
      </c>
      <c r="BY45" s="188">
        <v>0</v>
      </c>
      <c r="BZ45" s="188">
        <v>0</v>
      </c>
      <c r="CA45" s="188">
        <v>0</v>
      </c>
      <c r="CB45" s="188">
        <v>0</v>
      </c>
      <c r="CC45" s="188">
        <v>0</v>
      </c>
      <c r="CD45" s="188">
        <v>0</v>
      </c>
      <c r="CE45" s="188">
        <v>0</v>
      </c>
      <c r="CF45" s="188">
        <v>0</v>
      </c>
      <c r="CG45" s="188">
        <v>0</v>
      </c>
      <c r="CH45" s="188">
        <v>0</v>
      </c>
      <c r="CI45" s="188">
        <v>0</v>
      </c>
      <c r="CJ45" s="188">
        <v>0</v>
      </c>
      <c r="CK45" s="189">
        <v>0</v>
      </c>
      <c r="CL45" s="189">
        <v>0</v>
      </c>
    </row>
    <row r="46" spans="1:90" outlineLevel="3" x14ac:dyDescent="0.3">
      <c r="A46" s="128" t="s">
        <v>372</v>
      </c>
      <c r="B46" s="128" t="s">
        <v>522</v>
      </c>
      <c r="C46" s="128" t="s">
        <v>367</v>
      </c>
      <c r="D46" s="128" t="s">
        <v>368</v>
      </c>
      <c r="E46" s="128" t="s">
        <v>373</v>
      </c>
      <c r="F46" s="128" t="s">
        <v>300</v>
      </c>
      <c r="G46" s="128" t="s">
        <v>483</v>
      </c>
      <c r="H46" s="235" t="s">
        <v>374</v>
      </c>
      <c r="I46" s="185" t="s">
        <v>303</v>
      </c>
      <c r="J46" s="186">
        <v>172031</v>
      </c>
      <c r="K46" s="187">
        <v>172031</v>
      </c>
      <c r="L46" s="189">
        <v>0</v>
      </c>
      <c r="M46" s="189">
        <v>0.5</v>
      </c>
      <c r="N46" s="189">
        <v>1</v>
      </c>
      <c r="O46" s="188">
        <v>0</v>
      </c>
      <c r="P46" s="190">
        <v>0</v>
      </c>
      <c r="Q46" s="190">
        <v>0</v>
      </c>
      <c r="R46" s="191">
        <v>0</v>
      </c>
      <c r="S46" s="252">
        <v>1</v>
      </c>
      <c r="T46" s="191" t="s">
        <v>541</v>
      </c>
      <c r="U46" s="192">
        <v>0</v>
      </c>
      <c r="V46" s="188" t="s">
        <v>304</v>
      </c>
      <c r="W46" s="188">
        <v>0</v>
      </c>
      <c r="X46" s="188">
        <v>0</v>
      </c>
      <c r="Y46" s="188">
        <v>0</v>
      </c>
      <c r="Z46" s="188">
        <v>0</v>
      </c>
      <c r="AA46" s="188">
        <v>0</v>
      </c>
      <c r="AB46" s="188">
        <v>0</v>
      </c>
      <c r="AC46" s="192">
        <v>0</v>
      </c>
      <c r="AD46" s="188">
        <v>0</v>
      </c>
      <c r="AE46" s="188">
        <v>0</v>
      </c>
      <c r="AF46" s="188">
        <v>0</v>
      </c>
      <c r="AG46" s="188">
        <v>0</v>
      </c>
      <c r="AH46" s="193">
        <v>0</v>
      </c>
      <c r="AI46" s="188">
        <v>0</v>
      </c>
      <c r="AJ46" s="188">
        <v>0</v>
      </c>
      <c r="AK46" s="194">
        <v>0</v>
      </c>
      <c r="AL46" s="195">
        <v>0</v>
      </c>
      <c r="AM46" s="188">
        <v>23507915</v>
      </c>
      <c r="AN46" s="195">
        <v>0</v>
      </c>
      <c r="AO46" s="189">
        <v>0</v>
      </c>
      <c r="AP46" s="188">
        <v>0</v>
      </c>
      <c r="AQ46" s="196">
        <v>1</v>
      </c>
      <c r="AR46" s="188">
        <v>0</v>
      </c>
      <c r="AS46" s="188">
        <v>0</v>
      </c>
      <c r="AT46" s="188">
        <v>0</v>
      </c>
      <c r="AU46" s="188">
        <v>0</v>
      </c>
      <c r="AV46" s="188">
        <v>0</v>
      </c>
      <c r="AW46" s="188">
        <v>0</v>
      </c>
      <c r="AX46" s="188">
        <v>-23507915</v>
      </c>
      <c r="AY46" s="188">
        <v>0</v>
      </c>
      <c r="AZ46" s="188">
        <v>23507915</v>
      </c>
      <c r="BA46" s="188">
        <v>0</v>
      </c>
      <c r="BB46" s="188" t="s">
        <v>300</v>
      </c>
      <c r="BC46" s="188" t="s">
        <v>300</v>
      </c>
      <c r="BD46" s="188">
        <v>0</v>
      </c>
      <c r="BE46" s="188">
        <v>0</v>
      </c>
      <c r="BF46" s="188">
        <v>0</v>
      </c>
      <c r="BG46" s="188">
        <v>0</v>
      </c>
      <c r="BH46" s="188">
        <v>-23507915</v>
      </c>
      <c r="BI46" s="188">
        <v>0</v>
      </c>
      <c r="BJ46" s="188">
        <v>23507915</v>
      </c>
      <c r="BK46" s="188">
        <v>0</v>
      </c>
      <c r="BL46" s="200">
        <v>0</v>
      </c>
      <c r="BM46" s="188" t="s">
        <v>305</v>
      </c>
      <c r="BN46" s="188">
        <v>0</v>
      </c>
      <c r="BO46" s="188" t="b">
        <v>0</v>
      </c>
      <c r="BP46" s="188">
        <v>0</v>
      </c>
      <c r="BQ46" s="190">
        <v>0</v>
      </c>
      <c r="BR46" s="189">
        <v>10687838</v>
      </c>
      <c r="BS46" s="198">
        <v>77</v>
      </c>
      <c r="BT46" s="189">
        <v>0</v>
      </c>
      <c r="BU46" s="199">
        <v>0</v>
      </c>
      <c r="BV46" s="189">
        <v>64</v>
      </c>
      <c r="BW46" s="200">
        <v>0</v>
      </c>
      <c r="BX46" s="200">
        <v>0</v>
      </c>
      <c r="BY46" s="188">
        <v>0</v>
      </c>
      <c r="BZ46" s="188">
        <v>0</v>
      </c>
      <c r="CA46" s="188">
        <v>0</v>
      </c>
      <c r="CB46" s="188">
        <v>0</v>
      </c>
      <c r="CC46" s="188">
        <v>0</v>
      </c>
      <c r="CD46" s="188">
        <v>0</v>
      </c>
      <c r="CE46" s="188">
        <v>0</v>
      </c>
      <c r="CF46" s="188">
        <v>0</v>
      </c>
      <c r="CG46" s="188">
        <v>0</v>
      </c>
      <c r="CH46" s="188">
        <v>0</v>
      </c>
      <c r="CI46" s="188">
        <v>0</v>
      </c>
      <c r="CJ46" s="188">
        <v>0</v>
      </c>
      <c r="CK46" s="189">
        <v>0.5</v>
      </c>
      <c r="CL46" s="189">
        <v>0</v>
      </c>
    </row>
    <row r="47" spans="1:90" outlineLevel="3" x14ac:dyDescent="0.3">
      <c r="A47" s="128" t="s">
        <v>372</v>
      </c>
      <c r="B47" s="128" t="s">
        <v>522</v>
      </c>
      <c r="C47" s="128" t="s">
        <v>367</v>
      </c>
      <c r="D47" s="128" t="s">
        <v>368</v>
      </c>
      <c r="E47" s="128" t="s">
        <v>375</v>
      </c>
      <c r="F47" s="128" t="s">
        <v>300</v>
      </c>
      <c r="G47" s="235" t="s">
        <v>376</v>
      </c>
      <c r="H47" s="235" t="s">
        <v>374</v>
      </c>
      <c r="I47" s="185" t="s">
        <v>303</v>
      </c>
      <c r="J47" s="186">
        <v>1</v>
      </c>
      <c r="K47" s="187">
        <v>1</v>
      </c>
      <c r="L47" s="189">
        <v>0</v>
      </c>
      <c r="M47" s="189">
        <v>0</v>
      </c>
      <c r="N47" s="189">
        <v>1</v>
      </c>
      <c r="O47" s="188">
        <v>0</v>
      </c>
      <c r="P47" s="190">
        <v>0</v>
      </c>
      <c r="Q47" s="190">
        <v>0</v>
      </c>
      <c r="R47" s="191">
        <v>0</v>
      </c>
      <c r="S47" s="252">
        <v>1</v>
      </c>
      <c r="T47" s="191" t="s">
        <v>545</v>
      </c>
      <c r="U47" s="192">
        <v>0</v>
      </c>
      <c r="V47" s="188" t="s">
        <v>304</v>
      </c>
      <c r="W47" s="188">
        <v>0</v>
      </c>
      <c r="X47" s="188">
        <v>0</v>
      </c>
      <c r="Y47" s="188">
        <v>0</v>
      </c>
      <c r="Z47" s="188">
        <v>0</v>
      </c>
      <c r="AA47" s="188">
        <v>0</v>
      </c>
      <c r="AB47" s="188">
        <v>0</v>
      </c>
      <c r="AC47" s="192">
        <v>0</v>
      </c>
      <c r="AD47" s="188">
        <v>0</v>
      </c>
      <c r="AE47" s="188">
        <v>0</v>
      </c>
      <c r="AF47" s="188">
        <v>0</v>
      </c>
      <c r="AG47" s="188">
        <v>0</v>
      </c>
      <c r="AH47" s="193">
        <v>0</v>
      </c>
      <c r="AI47" s="188">
        <v>0</v>
      </c>
      <c r="AJ47" s="188">
        <v>0</v>
      </c>
      <c r="AK47" s="194">
        <v>0</v>
      </c>
      <c r="AL47" s="195">
        <v>0</v>
      </c>
      <c r="AM47" s="188">
        <v>10372212</v>
      </c>
      <c r="AN47" s="195">
        <v>0</v>
      </c>
      <c r="AO47" s="189">
        <v>0</v>
      </c>
      <c r="AP47" s="188">
        <v>0</v>
      </c>
      <c r="AQ47" s="196">
        <v>1</v>
      </c>
      <c r="AR47" s="188">
        <v>0</v>
      </c>
      <c r="AS47" s="188">
        <v>0</v>
      </c>
      <c r="AT47" s="188">
        <v>0</v>
      </c>
      <c r="AU47" s="188">
        <v>0</v>
      </c>
      <c r="AV47" s="188">
        <v>0</v>
      </c>
      <c r="AW47" s="188">
        <v>0</v>
      </c>
      <c r="AX47" s="188">
        <v>-10372212</v>
      </c>
      <c r="AY47" s="188">
        <v>0</v>
      </c>
      <c r="AZ47" s="188">
        <v>10372212</v>
      </c>
      <c r="BA47" s="188">
        <v>0</v>
      </c>
      <c r="BB47" s="188" t="s">
        <v>300</v>
      </c>
      <c r="BC47" s="188" t="s">
        <v>300</v>
      </c>
      <c r="BD47" s="188">
        <v>0</v>
      </c>
      <c r="BE47" s="188">
        <v>0</v>
      </c>
      <c r="BF47" s="188">
        <v>0</v>
      </c>
      <c r="BG47" s="188">
        <v>0</v>
      </c>
      <c r="BH47" s="188">
        <v>-10372212</v>
      </c>
      <c r="BI47" s="188">
        <v>0</v>
      </c>
      <c r="BJ47" s="188">
        <v>10372212</v>
      </c>
      <c r="BK47" s="188">
        <v>0</v>
      </c>
      <c r="BL47" s="188">
        <v>0</v>
      </c>
      <c r="BM47" s="188" t="s">
        <v>305</v>
      </c>
      <c r="BN47" s="188">
        <v>0</v>
      </c>
      <c r="BO47" s="188" t="b">
        <v>0</v>
      </c>
      <c r="BP47" s="188">
        <v>0</v>
      </c>
      <c r="BQ47" s="190">
        <v>159431</v>
      </c>
      <c r="BR47" s="189">
        <v>10372212</v>
      </c>
      <c r="BS47" s="198">
        <v>77</v>
      </c>
      <c r="BT47" s="189">
        <v>0</v>
      </c>
      <c r="BU47" s="199">
        <v>0</v>
      </c>
      <c r="BV47" s="189">
        <v>66</v>
      </c>
      <c r="BW47" s="200">
        <v>0</v>
      </c>
      <c r="BX47" s="200">
        <v>0</v>
      </c>
      <c r="BY47" s="188">
        <v>0</v>
      </c>
      <c r="BZ47" s="188">
        <v>0</v>
      </c>
      <c r="CA47" s="188">
        <v>0</v>
      </c>
      <c r="CB47" s="188">
        <v>0</v>
      </c>
      <c r="CC47" s="188">
        <v>0</v>
      </c>
      <c r="CD47" s="188">
        <v>0</v>
      </c>
      <c r="CE47" s="188">
        <v>0</v>
      </c>
      <c r="CF47" s="188">
        <v>0</v>
      </c>
      <c r="CG47" s="188">
        <v>0</v>
      </c>
      <c r="CH47" s="188">
        <v>0</v>
      </c>
      <c r="CI47" s="188">
        <v>0</v>
      </c>
      <c r="CJ47" s="188">
        <v>0</v>
      </c>
      <c r="CK47" s="189">
        <v>0</v>
      </c>
      <c r="CL47" s="189">
        <v>0</v>
      </c>
    </row>
    <row r="48" spans="1:90" s="219" customFormat="1" ht="20.100000000000001" customHeight="1" outlineLevel="2" x14ac:dyDescent="0.3">
      <c r="A48" s="202" t="s">
        <v>377</v>
      </c>
      <c r="B48" s="202"/>
      <c r="C48" s="202"/>
      <c r="D48" s="202"/>
      <c r="E48" s="202"/>
      <c r="F48" s="202"/>
      <c r="G48" s="236"/>
      <c r="H48" s="236"/>
      <c r="I48" s="203"/>
      <c r="J48" s="204"/>
      <c r="K48" s="205"/>
      <c r="L48" s="207"/>
      <c r="M48" s="207"/>
      <c r="N48" s="207"/>
      <c r="O48" s="206"/>
      <c r="P48" s="208"/>
      <c r="Q48" s="208"/>
      <c r="R48" s="209">
        <v>0</v>
      </c>
      <c r="S48" s="254">
        <v>4</v>
      </c>
      <c r="T48" s="209">
        <v>0</v>
      </c>
      <c r="U48" s="210">
        <v>0</v>
      </c>
      <c r="V48" s="206"/>
      <c r="W48" s="206">
        <v>0</v>
      </c>
      <c r="X48" s="206">
        <v>0</v>
      </c>
      <c r="Y48" s="206">
        <v>0</v>
      </c>
      <c r="Z48" s="206">
        <v>0</v>
      </c>
      <c r="AA48" s="206">
        <v>0</v>
      </c>
      <c r="AB48" s="206">
        <v>0</v>
      </c>
      <c r="AC48" s="210">
        <v>0</v>
      </c>
      <c r="AD48" s="206">
        <v>0</v>
      </c>
      <c r="AE48" s="206">
        <v>0</v>
      </c>
      <c r="AF48" s="206">
        <v>0</v>
      </c>
      <c r="AG48" s="206">
        <v>0</v>
      </c>
      <c r="AH48" s="211">
        <v>179755.5</v>
      </c>
      <c r="AI48" s="206">
        <v>0</v>
      </c>
      <c r="AJ48" s="206">
        <v>-179755.5</v>
      </c>
      <c r="AK48" s="212">
        <v>0</v>
      </c>
      <c r="AL48" s="213"/>
      <c r="AM48" s="206">
        <v>36488070.5</v>
      </c>
      <c r="AN48" s="213"/>
      <c r="AO48" s="207"/>
      <c r="AP48" s="206">
        <v>0</v>
      </c>
      <c r="AQ48" s="214"/>
      <c r="AR48" s="206"/>
      <c r="AS48" s="206"/>
      <c r="AT48" s="206">
        <v>179755.5</v>
      </c>
      <c r="AU48" s="206">
        <v>0</v>
      </c>
      <c r="AV48" s="206">
        <v>-179755.5</v>
      </c>
      <c r="AW48" s="206">
        <v>0</v>
      </c>
      <c r="AX48" s="206">
        <v>-35713301.07</v>
      </c>
      <c r="AY48" s="206">
        <v>0</v>
      </c>
      <c r="AZ48" s="206">
        <v>35713301.07</v>
      </c>
      <c r="BA48" s="206">
        <v>0</v>
      </c>
      <c r="BB48" s="206"/>
      <c r="BC48" s="206"/>
      <c r="BD48" s="206"/>
      <c r="BE48" s="206"/>
      <c r="BF48" s="206"/>
      <c r="BG48" s="206"/>
      <c r="BH48" s="206"/>
      <c r="BI48" s="206"/>
      <c r="BJ48" s="206"/>
      <c r="BK48" s="206"/>
      <c r="BL48" s="206"/>
      <c r="BM48" s="206"/>
      <c r="BN48" s="206"/>
      <c r="BO48" s="206"/>
      <c r="BP48" s="206"/>
      <c r="BQ48" s="208"/>
      <c r="BR48" s="207"/>
      <c r="BS48" s="216"/>
      <c r="BT48" s="207"/>
      <c r="BU48" s="217"/>
      <c r="BV48" s="207"/>
      <c r="BW48" s="218"/>
      <c r="BX48" s="218"/>
      <c r="BY48" s="206"/>
      <c r="BZ48" s="206"/>
      <c r="CA48" s="206">
        <v>-950000</v>
      </c>
      <c r="CB48" s="206"/>
      <c r="CC48" s="206"/>
      <c r="CD48" s="206"/>
      <c r="CE48" s="206"/>
      <c r="CF48" s="206"/>
      <c r="CG48" s="206"/>
      <c r="CH48" s="206"/>
      <c r="CI48" s="206"/>
      <c r="CJ48" s="206"/>
      <c r="CK48" s="207"/>
      <c r="CL48" s="207"/>
    </row>
    <row r="49" spans="1:90" outlineLevel="3" x14ac:dyDescent="0.3">
      <c r="A49" s="128" t="s">
        <v>347</v>
      </c>
      <c r="B49" s="128" t="s">
        <v>522</v>
      </c>
      <c r="C49" s="128" t="s">
        <v>367</v>
      </c>
      <c r="D49" s="128" t="s">
        <v>368</v>
      </c>
      <c r="E49" s="128" t="s">
        <v>404</v>
      </c>
      <c r="F49" s="128" t="s">
        <v>405</v>
      </c>
      <c r="G49" s="128" t="s">
        <v>483</v>
      </c>
      <c r="H49" s="128" t="s">
        <v>312</v>
      </c>
      <c r="I49" s="185" t="s">
        <v>303</v>
      </c>
      <c r="J49" s="187">
        <v>0</v>
      </c>
      <c r="K49" s="187">
        <v>0</v>
      </c>
      <c r="L49" s="189">
        <v>0</v>
      </c>
      <c r="M49" s="189">
        <v>0</v>
      </c>
      <c r="N49" s="189">
        <v>1</v>
      </c>
      <c r="O49" s="188">
        <v>3.9</v>
      </c>
      <c r="P49" s="190">
        <v>3.7</v>
      </c>
      <c r="Q49" s="190">
        <v>0.2</v>
      </c>
      <c r="R49" s="191" t="s">
        <v>546</v>
      </c>
      <c r="S49" s="252">
        <v>0.5</v>
      </c>
      <c r="T49" s="191" t="s">
        <v>541</v>
      </c>
      <c r="U49" s="192">
        <v>0</v>
      </c>
      <c r="V49" s="188" t="s">
        <v>304</v>
      </c>
      <c r="W49" s="188">
        <v>0</v>
      </c>
      <c r="X49" s="188">
        <v>0</v>
      </c>
      <c r="Y49" s="188">
        <v>0</v>
      </c>
      <c r="Z49" s="188">
        <v>0</v>
      </c>
      <c r="AA49" s="188">
        <v>0</v>
      </c>
      <c r="AB49" s="188">
        <v>0</v>
      </c>
      <c r="AC49" s="192">
        <v>0</v>
      </c>
      <c r="AD49" s="188">
        <v>0</v>
      </c>
      <c r="AE49" s="188">
        <v>0</v>
      </c>
      <c r="AF49" s="188">
        <v>0</v>
      </c>
      <c r="AG49" s="188">
        <v>0</v>
      </c>
      <c r="AH49" s="193">
        <v>0</v>
      </c>
      <c r="AI49" s="188">
        <v>0</v>
      </c>
      <c r="AJ49" s="188">
        <v>0</v>
      </c>
      <c r="AK49" s="194">
        <v>0</v>
      </c>
      <c r="AL49" s="195">
        <v>0</v>
      </c>
      <c r="AM49" s="188">
        <v>269509.5</v>
      </c>
      <c r="AN49" s="189">
        <v>0</v>
      </c>
      <c r="AO49" s="195">
        <v>0</v>
      </c>
      <c r="AP49" s="188">
        <v>385548.3125</v>
      </c>
      <c r="AQ49" s="196">
        <v>1</v>
      </c>
      <c r="AR49" s="188">
        <v>0</v>
      </c>
      <c r="AS49" s="188">
        <v>3.9</v>
      </c>
      <c r="AT49" s="188">
        <v>0</v>
      </c>
      <c r="AU49" s="188">
        <v>0</v>
      </c>
      <c r="AV49" s="188">
        <v>0</v>
      </c>
      <c r="AW49" s="188">
        <v>0</v>
      </c>
      <c r="AX49" s="188">
        <v>65035.12</v>
      </c>
      <c r="AY49" s="188">
        <v>0</v>
      </c>
      <c r="AZ49" s="188">
        <v>-65035.12</v>
      </c>
      <c r="BA49" s="188">
        <v>0</v>
      </c>
      <c r="BB49" s="188">
        <v>3.9</v>
      </c>
      <c r="BC49" s="188">
        <v>3.7</v>
      </c>
      <c r="BD49" s="188">
        <v>0</v>
      </c>
      <c r="BE49" s="188">
        <v>0</v>
      </c>
      <c r="BF49" s="188">
        <v>0</v>
      </c>
      <c r="BG49" s="188">
        <v>0</v>
      </c>
      <c r="BH49" s="188">
        <v>65035.12</v>
      </c>
      <c r="BI49" s="188">
        <v>0</v>
      </c>
      <c r="BJ49" s="188">
        <v>-65035.12</v>
      </c>
      <c r="BK49" s="188">
        <v>0</v>
      </c>
      <c r="BL49" s="188">
        <v>385548.3125</v>
      </c>
      <c r="BM49" s="188" t="s">
        <v>313</v>
      </c>
      <c r="BN49" s="188">
        <v>0</v>
      </c>
      <c r="BO49" s="188" t="b">
        <v>0</v>
      </c>
      <c r="BP49" s="188">
        <v>0</v>
      </c>
      <c r="BQ49" s="190">
        <v>0</v>
      </c>
      <c r="BR49" s="189">
        <v>0</v>
      </c>
      <c r="BS49" s="198">
        <v>76</v>
      </c>
      <c r="BT49" s="189">
        <v>0</v>
      </c>
      <c r="BU49" s="199">
        <v>0</v>
      </c>
      <c r="BV49" s="189">
        <v>13</v>
      </c>
      <c r="BW49" s="200">
        <v>3.9</v>
      </c>
      <c r="BX49" s="200">
        <v>0</v>
      </c>
      <c r="BY49" s="188">
        <v>0</v>
      </c>
      <c r="BZ49" s="188">
        <v>0</v>
      </c>
      <c r="CA49" s="188">
        <v>0</v>
      </c>
      <c r="CB49" s="188">
        <v>-334544.62</v>
      </c>
      <c r="CC49" s="188">
        <v>0</v>
      </c>
      <c r="CD49" s="188">
        <v>0</v>
      </c>
      <c r="CE49" s="188">
        <v>0</v>
      </c>
      <c r="CF49" s="188">
        <v>0</v>
      </c>
      <c r="CG49" s="188">
        <v>0</v>
      </c>
      <c r="CH49" s="188">
        <v>0</v>
      </c>
      <c r="CI49" s="188">
        <v>0</v>
      </c>
      <c r="CJ49" s="188">
        <v>0</v>
      </c>
      <c r="CK49" s="189">
        <v>0</v>
      </c>
      <c r="CL49" s="189">
        <v>0</v>
      </c>
    </row>
    <row r="50" spans="1:90" outlineLevel="3" x14ac:dyDescent="0.3">
      <c r="A50" s="128" t="s">
        <v>347</v>
      </c>
      <c r="B50" s="128" t="s">
        <v>522</v>
      </c>
      <c r="C50" s="128" t="s">
        <v>367</v>
      </c>
      <c r="D50" s="128" t="s">
        <v>368</v>
      </c>
      <c r="E50" s="128" t="s">
        <v>378</v>
      </c>
      <c r="F50" s="128" t="s">
        <v>364</v>
      </c>
      <c r="G50" s="128" t="s">
        <v>483</v>
      </c>
      <c r="H50" s="128" t="s">
        <v>312</v>
      </c>
      <c r="I50" s="185" t="s">
        <v>303</v>
      </c>
      <c r="J50" s="187">
        <v>0</v>
      </c>
      <c r="K50" s="187">
        <v>0</v>
      </c>
      <c r="L50" s="189">
        <v>0</v>
      </c>
      <c r="M50" s="189">
        <v>0</v>
      </c>
      <c r="N50" s="189">
        <v>1</v>
      </c>
      <c r="O50" s="188">
        <v>5.4</v>
      </c>
      <c r="P50" s="190">
        <v>5.25</v>
      </c>
      <c r="Q50" s="190">
        <v>0.15</v>
      </c>
      <c r="R50" s="191" t="s">
        <v>542</v>
      </c>
      <c r="S50" s="252">
        <v>0.6</v>
      </c>
      <c r="T50" s="191" t="s">
        <v>541</v>
      </c>
      <c r="U50" s="192">
        <v>0</v>
      </c>
      <c r="V50" s="188" t="s">
        <v>304</v>
      </c>
      <c r="W50" s="188">
        <v>0</v>
      </c>
      <c r="X50" s="188">
        <v>0</v>
      </c>
      <c r="Y50" s="188">
        <v>0</v>
      </c>
      <c r="Z50" s="188">
        <v>0</v>
      </c>
      <c r="AA50" s="188">
        <v>0</v>
      </c>
      <c r="AB50" s="188">
        <v>0</v>
      </c>
      <c r="AC50" s="192">
        <v>0</v>
      </c>
      <c r="AD50" s="188">
        <v>0</v>
      </c>
      <c r="AE50" s="188">
        <v>0</v>
      </c>
      <c r="AF50" s="188">
        <v>0</v>
      </c>
      <c r="AG50" s="188">
        <v>0</v>
      </c>
      <c r="AH50" s="193">
        <v>0</v>
      </c>
      <c r="AI50" s="188">
        <v>0</v>
      </c>
      <c r="AJ50" s="188">
        <v>0</v>
      </c>
      <c r="AK50" s="194">
        <v>0</v>
      </c>
      <c r="AL50" s="195">
        <v>0</v>
      </c>
      <c r="AM50" s="188">
        <v>79809.975000000049</v>
      </c>
      <c r="AN50" s="189">
        <v>0</v>
      </c>
      <c r="AO50" s="195">
        <v>0</v>
      </c>
      <c r="AP50" s="188">
        <v>403753.41600000003</v>
      </c>
      <c r="AQ50" s="196">
        <v>1</v>
      </c>
      <c r="AR50" s="188">
        <v>0</v>
      </c>
      <c r="AS50" s="188">
        <v>5.4</v>
      </c>
      <c r="AT50" s="188">
        <v>0</v>
      </c>
      <c r="AU50" s="188">
        <v>0</v>
      </c>
      <c r="AV50" s="188">
        <v>0</v>
      </c>
      <c r="AW50" s="188">
        <v>0</v>
      </c>
      <c r="AX50" s="188">
        <v>1259.3250000003636</v>
      </c>
      <c r="AY50" s="188">
        <v>0</v>
      </c>
      <c r="AZ50" s="188">
        <v>-1259.3250000003636</v>
      </c>
      <c r="BA50" s="188">
        <v>0</v>
      </c>
      <c r="BB50" s="188">
        <v>5.4</v>
      </c>
      <c r="BC50" s="188">
        <v>5.25</v>
      </c>
      <c r="BD50" s="188">
        <v>0</v>
      </c>
      <c r="BE50" s="188">
        <v>0</v>
      </c>
      <c r="BF50" s="188">
        <v>0</v>
      </c>
      <c r="BG50" s="188">
        <v>0</v>
      </c>
      <c r="BH50" s="188">
        <v>1259.3250000003636</v>
      </c>
      <c r="BI50" s="188">
        <v>0</v>
      </c>
      <c r="BJ50" s="188">
        <v>-1259.3250000003636</v>
      </c>
      <c r="BK50" s="188">
        <v>0</v>
      </c>
      <c r="BL50" s="188">
        <v>403753.41600000003</v>
      </c>
      <c r="BM50" s="188" t="s">
        <v>313</v>
      </c>
      <c r="BN50" s="188">
        <v>0</v>
      </c>
      <c r="BO50" s="188" t="b">
        <v>0</v>
      </c>
      <c r="BP50" s="188">
        <v>0</v>
      </c>
      <c r="BQ50" s="190">
        <v>0</v>
      </c>
      <c r="BR50" s="189">
        <v>532660</v>
      </c>
      <c r="BS50" s="198">
        <v>76</v>
      </c>
      <c r="BT50" s="189">
        <v>0</v>
      </c>
      <c r="BU50" s="199">
        <v>0</v>
      </c>
      <c r="BV50" s="189">
        <v>14</v>
      </c>
      <c r="BW50" s="200">
        <v>5.4</v>
      </c>
      <c r="BX50" s="200">
        <v>0</v>
      </c>
      <c r="BY50" s="188">
        <v>0</v>
      </c>
      <c r="BZ50" s="188">
        <v>0</v>
      </c>
      <c r="CA50" s="188">
        <v>0</v>
      </c>
      <c r="CB50" s="188">
        <v>-81069.3</v>
      </c>
      <c r="CC50" s="188">
        <v>0</v>
      </c>
      <c r="CD50" s="188">
        <v>0</v>
      </c>
      <c r="CE50" s="188">
        <v>0</v>
      </c>
      <c r="CF50" s="188">
        <v>0</v>
      </c>
      <c r="CG50" s="188">
        <v>0</v>
      </c>
      <c r="CH50" s="188">
        <v>0</v>
      </c>
      <c r="CI50" s="188">
        <v>0</v>
      </c>
      <c r="CJ50" s="188">
        <v>0</v>
      </c>
      <c r="CK50" s="189">
        <v>0</v>
      </c>
      <c r="CL50" s="189">
        <v>0</v>
      </c>
    </row>
    <row r="51" spans="1:90" outlineLevel="3" x14ac:dyDescent="0.3">
      <c r="A51" s="128" t="s">
        <v>347</v>
      </c>
      <c r="B51" s="128" t="s">
        <v>522</v>
      </c>
      <c r="C51" s="128" t="s">
        <v>534</v>
      </c>
      <c r="D51" s="128" t="s">
        <v>535</v>
      </c>
      <c r="E51" s="128" t="s">
        <v>422</v>
      </c>
      <c r="F51" s="128" t="s">
        <v>406</v>
      </c>
      <c r="G51" s="128" t="s">
        <v>508</v>
      </c>
      <c r="H51" s="128" t="s">
        <v>312</v>
      </c>
      <c r="I51" s="185" t="s">
        <v>303</v>
      </c>
      <c r="J51" s="187">
        <v>1342889</v>
      </c>
      <c r="K51" s="187">
        <v>1342889</v>
      </c>
      <c r="L51" s="189">
        <v>0</v>
      </c>
      <c r="M51" s="189">
        <v>0.03</v>
      </c>
      <c r="N51" s="189">
        <v>1</v>
      </c>
      <c r="O51" s="188">
        <v>7.72</v>
      </c>
      <c r="P51" s="190">
        <v>7.25</v>
      </c>
      <c r="Q51" s="190">
        <v>0.47</v>
      </c>
      <c r="R51" s="191">
        <v>0</v>
      </c>
      <c r="S51" s="252">
        <v>1</v>
      </c>
      <c r="T51" s="191">
        <v>0</v>
      </c>
      <c r="U51" s="192">
        <v>10367103.08</v>
      </c>
      <c r="V51" s="188" t="s">
        <v>304</v>
      </c>
      <c r="W51" s="188">
        <v>311013.09239999996</v>
      </c>
      <c r="X51" s="188">
        <v>0</v>
      </c>
      <c r="Y51" s="188">
        <v>311013.09239999996</v>
      </c>
      <c r="Z51" s="188">
        <v>0</v>
      </c>
      <c r="AA51" s="188">
        <v>0</v>
      </c>
      <c r="AB51" s="188">
        <v>0</v>
      </c>
      <c r="AC51" s="192">
        <v>9735945.25</v>
      </c>
      <c r="AD51" s="188">
        <v>631157.82999999996</v>
      </c>
      <c r="AE51" s="188">
        <v>0</v>
      </c>
      <c r="AF51" s="188">
        <v>-631157.82999999996</v>
      </c>
      <c r="AG51" s="188">
        <v>0</v>
      </c>
      <c r="AH51" s="193">
        <v>-18773588.220000006</v>
      </c>
      <c r="AI51" s="188">
        <v>0</v>
      </c>
      <c r="AJ51" s="188">
        <v>18773588.220000006</v>
      </c>
      <c r="AK51" s="194">
        <v>0</v>
      </c>
      <c r="AL51" s="195">
        <v>0</v>
      </c>
      <c r="AM51" s="188">
        <v>23102683.5</v>
      </c>
      <c r="AN51" s="189">
        <v>0</v>
      </c>
      <c r="AO51" s="195">
        <v>0</v>
      </c>
      <c r="AP51" s="188">
        <v>0</v>
      </c>
      <c r="AQ51" s="196">
        <v>1</v>
      </c>
      <c r="AR51" s="188">
        <v>10367103.08</v>
      </c>
      <c r="AS51" s="188">
        <v>7.72</v>
      </c>
      <c r="AT51" s="188">
        <v>-308864.46999999997</v>
      </c>
      <c r="AU51" s="188">
        <v>0</v>
      </c>
      <c r="AV51" s="188">
        <v>308864.46999999997</v>
      </c>
      <c r="AW51" s="188">
        <v>0</v>
      </c>
      <c r="AX51" s="188">
        <v>-12735580.419999998</v>
      </c>
      <c r="AY51" s="188">
        <v>0</v>
      </c>
      <c r="AZ51" s="188">
        <v>12735580.419999998</v>
      </c>
      <c r="BA51" s="188">
        <v>0</v>
      </c>
      <c r="BB51" s="188">
        <v>7.72</v>
      </c>
      <c r="BC51" s="188">
        <v>7.25</v>
      </c>
      <c r="BD51" s="188">
        <v>-940022.3</v>
      </c>
      <c r="BE51" s="188">
        <v>0</v>
      </c>
      <c r="BF51" s="188">
        <v>940022.3</v>
      </c>
      <c r="BG51" s="188">
        <v>0</v>
      </c>
      <c r="BH51" s="188">
        <v>-13366738.249999998</v>
      </c>
      <c r="BI51" s="188">
        <v>0</v>
      </c>
      <c r="BJ51" s="188">
        <v>13366738.249999998</v>
      </c>
      <c r="BK51" s="188">
        <v>0</v>
      </c>
      <c r="BL51" s="188">
        <v>0</v>
      </c>
      <c r="BM51" s="188" t="s">
        <v>313</v>
      </c>
      <c r="BN51" s="188">
        <v>0</v>
      </c>
      <c r="BO51" s="188" t="b">
        <v>0</v>
      </c>
      <c r="BP51" s="188">
        <v>19404746.050000004</v>
      </c>
      <c r="BQ51" s="190">
        <v>0</v>
      </c>
      <c r="BR51" s="189">
        <v>30000000</v>
      </c>
      <c r="BS51" s="198">
        <v>76</v>
      </c>
      <c r="BT51" s="189">
        <v>631157.82999999996</v>
      </c>
      <c r="BU51" s="199">
        <v>1342889</v>
      </c>
      <c r="BV51" s="189">
        <v>37</v>
      </c>
      <c r="BW51" s="200">
        <v>7.72</v>
      </c>
      <c r="BX51" s="200">
        <v>0</v>
      </c>
      <c r="BY51" s="188">
        <v>0</v>
      </c>
      <c r="BZ51" s="188">
        <v>0</v>
      </c>
      <c r="CA51" s="188">
        <v>0</v>
      </c>
      <c r="CB51" s="188">
        <v>0</v>
      </c>
      <c r="CC51" s="188">
        <v>0</v>
      </c>
      <c r="CD51" s="188">
        <v>0</v>
      </c>
      <c r="CE51" s="188">
        <v>0</v>
      </c>
      <c r="CF51" s="188">
        <v>0</v>
      </c>
      <c r="CG51" s="188">
        <v>-19404746.050000004</v>
      </c>
      <c r="CH51" s="188">
        <v>0</v>
      </c>
      <c r="CI51" s="188">
        <v>19404746.050000004</v>
      </c>
      <c r="CJ51" s="188">
        <v>0</v>
      </c>
      <c r="CK51" s="189">
        <v>0.03</v>
      </c>
      <c r="CL51" s="189">
        <v>0</v>
      </c>
    </row>
    <row r="52" spans="1:90" s="219" customFormat="1" ht="20.100000000000001" customHeight="1" outlineLevel="2" x14ac:dyDescent="0.3">
      <c r="A52" s="202" t="s">
        <v>350</v>
      </c>
      <c r="B52" s="202"/>
      <c r="C52" s="202"/>
      <c r="D52" s="202"/>
      <c r="E52" s="202"/>
      <c r="F52" s="202"/>
      <c r="G52" s="202"/>
      <c r="H52" s="202"/>
      <c r="I52" s="203"/>
      <c r="J52" s="205"/>
      <c r="K52" s="205"/>
      <c r="L52" s="207"/>
      <c r="M52" s="207"/>
      <c r="N52" s="207"/>
      <c r="O52" s="206"/>
      <c r="P52" s="208"/>
      <c r="Q52" s="208"/>
      <c r="R52" s="209">
        <v>0</v>
      </c>
      <c r="S52" s="254">
        <v>2.1</v>
      </c>
      <c r="T52" s="209">
        <v>0</v>
      </c>
      <c r="U52" s="210">
        <v>10367103.08</v>
      </c>
      <c r="V52" s="206"/>
      <c r="W52" s="206">
        <v>311013.09239999996</v>
      </c>
      <c r="X52" s="206">
        <v>0</v>
      </c>
      <c r="Y52" s="206">
        <v>311013.09239999996</v>
      </c>
      <c r="Z52" s="206">
        <v>0</v>
      </c>
      <c r="AA52" s="206">
        <v>0</v>
      </c>
      <c r="AB52" s="206">
        <v>0</v>
      </c>
      <c r="AC52" s="210">
        <v>9735945.25</v>
      </c>
      <c r="AD52" s="206">
        <v>631157.82999999996</v>
      </c>
      <c r="AE52" s="206">
        <v>0</v>
      </c>
      <c r="AF52" s="206">
        <v>-631157.82999999996</v>
      </c>
      <c r="AG52" s="206">
        <v>0</v>
      </c>
      <c r="AH52" s="211">
        <v>-18773588.220000006</v>
      </c>
      <c r="AI52" s="206">
        <v>0</v>
      </c>
      <c r="AJ52" s="206">
        <v>18773588.220000006</v>
      </c>
      <c r="AK52" s="212">
        <v>0</v>
      </c>
      <c r="AL52" s="213"/>
      <c r="AM52" s="206">
        <v>23452002.975000001</v>
      </c>
      <c r="AN52" s="207"/>
      <c r="AO52" s="213"/>
      <c r="AP52" s="206">
        <v>789301.72849999997</v>
      </c>
      <c r="AQ52" s="214"/>
      <c r="AR52" s="206"/>
      <c r="AS52" s="206"/>
      <c r="AT52" s="206">
        <v>-308864.46999999997</v>
      </c>
      <c r="AU52" s="206">
        <v>0</v>
      </c>
      <c r="AV52" s="206">
        <v>308864.46999999997</v>
      </c>
      <c r="AW52" s="206">
        <v>0</v>
      </c>
      <c r="AX52" s="206">
        <v>-12669285.974999998</v>
      </c>
      <c r="AY52" s="206">
        <v>0</v>
      </c>
      <c r="AZ52" s="206">
        <v>12669285.974999998</v>
      </c>
      <c r="BA52" s="206">
        <v>0</v>
      </c>
      <c r="BB52" s="206"/>
      <c r="BC52" s="206"/>
      <c r="BD52" s="206"/>
      <c r="BE52" s="206"/>
      <c r="BF52" s="206"/>
      <c r="BG52" s="206"/>
      <c r="BH52" s="206"/>
      <c r="BI52" s="206"/>
      <c r="BJ52" s="206"/>
      <c r="BK52" s="206"/>
      <c r="BL52" s="206"/>
      <c r="BM52" s="206"/>
      <c r="BN52" s="206"/>
      <c r="BO52" s="206"/>
      <c r="BP52" s="206"/>
      <c r="BQ52" s="208"/>
      <c r="BR52" s="207"/>
      <c r="BS52" s="216"/>
      <c r="BT52" s="207"/>
      <c r="BU52" s="217"/>
      <c r="BV52" s="207"/>
      <c r="BW52" s="218"/>
      <c r="BX52" s="218"/>
      <c r="BY52" s="206"/>
      <c r="BZ52" s="206"/>
      <c r="CA52" s="206">
        <v>0</v>
      </c>
      <c r="CB52" s="206"/>
      <c r="CC52" s="206"/>
      <c r="CD52" s="206"/>
      <c r="CE52" s="206"/>
      <c r="CF52" s="206"/>
      <c r="CG52" s="206"/>
      <c r="CH52" s="206"/>
      <c r="CI52" s="206"/>
      <c r="CJ52" s="206"/>
      <c r="CK52" s="207"/>
      <c r="CL52" s="207"/>
    </row>
    <row r="53" spans="1:90" outlineLevel="3" x14ac:dyDescent="0.3">
      <c r="A53" s="128" t="s">
        <v>340</v>
      </c>
      <c r="B53" s="128" t="s">
        <v>522</v>
      </c>
      <c r="C53" s="128" t="s">
        <v>536</v>
      </c>
      <c r="D53" s="128" t="s">
        <v>537</v>
      </c>
      <c r="E53" s="128" t="s">
        <v>379</v>
      </c>
      <c r="F53" s="128" t="s">
        <v>300</v>
      </c>
      <c r="G53" s="128" t="s">
        <v>483</v>
      </c>
      <c r="H53" s="128" t="s">
        <v>302</v>
      </c>
      <c r="I53" s="185" t="s">
        <v>345</v>
      </c>
      <c r="J53" s="187">
        <v>1</v>
      </c>
      <c r="K53" s="187">
        <v>1</v>
      </c>
      <c r="L53" s="189">
        <v>0</v>
      </c>
      <c r="M53" s="189">
        <v>0</v>
      </c>
      <c r="N53" s="189">
        <v>0</v>
      </c>
      <c r="O53" s="188">
        <v>0</v>
      </c>
      <c r="P53" s="189">
        <v>0</v>
      </c>
      <c r="Q53" s="189">
        <v>0</v>
      </c>
      <c r="R53" s="191">
        <v>0</v>
      </c>
      <c r="S53" s="256">
        <v>1</v>
      </c>
      <c r="T53" s="191" t="s">
        <v>541</v>
      </c>
      <c r="U53" s="192">
        <v>0</v>
      </c>
      <c r="V53" s="188" t="s">
        <v>304</v>
      </c>
      <c r="W53" s="188">
        <v>0</v>
      </c>
      <c r="X53" s="188">
        <v>0</v>
      </c>
      <c r="Y53" s="188">
        <v>0</v>
      </c>
      <c r="Z53" s="188">
        <v>0</v>
      </c>
      <c r="AA53" s="188">
        <v>0</v>
      </c>
      <c r="AB53" s="188">
        <v>0</v>
      </c>
      <c r="AC53" s="192">
        <v>0</v>
      </c>
      <c r="AD53" s="188">
        <v>0</v>
      </c>
      <c r="AE53" s="188">
        <v>0</v>
      </c>
      <c r="AF53" s="188">
        <v>0</v>
      </c>
      <c r="AG53" s="188">
        <v>0</v>
      </c>
      <c r="AH53" s="193">
        <v>0</v>
      </c>
      <c r="AI53" s="188">
        <v>0</v>
      </c>
      <c r="AJ53" s="188">
        <v>0</v>
      </c>
      <c r="AK53" s="194">
        <v>0</v>
      </c>
      <c r="AL53" s="195">
        <v>0</v>
      </c>
      <c r="AM53" s="188">
        <v>0</v>
      </c>
      <c r="AN53" s="189">
        <v>0</v>
      </c>
      <c r="AO53" s="195">
        <v>0</v>
      </c>
      <c r="AP53" s="188">
        <v>0</v>
      </c>
      <c r="AQ53" s="196">
        <v>1</v>
      </c>
      <c r="AR53" s="188">
        <v>0</v>
      </c>
      <c r="AS53" s="188">
        <v>0</v>
      </c>
      <c r="AT53" s="188">
        <v>0</v>
      </c>
      <c r="AU53" s="188">
        <v>0</v>
      </c>
      <c r="AV53" s="188">
        <v>0</v>
      </c>
      <c r="AW53" s="188">
        <v>0</v>
      </c>
      <c r="AX53" s="188">
        <v>0</v>
      </c>
      <c r="AY53" s="188">
        <v>0</v>
      </c>
      <c r="AZ53" s="188">
        <v>0</v>
      </c>
      <c r="BA53" s="188">
        <v>0</v>
      </c>
      <c r="BB53" s="188" t="s">
        <v>300</v>
      </c>
      <c r="BC53" s="188" t="s">
        <v>300</v>
      </c>
      <c r="BD53" s="188">
        <v>0</v>
      </c>
      <c r="BE53" s="188">
        <v>0</v>
      </c>
      <c r="BF53" s="188">
        <v>0</v>
      </c>
      <c r="BG53" s="188">
        <v>0</v>
      </c>
      <c r="BH53" s="188">
        <v>0</v>
      </c>
      <c r="BI53" s="188">
        <v>0</v>
      </c>
      <c r="BJ53" s="188">
        <v>0</v>
      </c>
      <c r="BK53" s="188">
        <v>0</v>
      </c>
      <c r="BL53" s="188">
        <v>0</v>
      </c>
      <c r="BM53" s="188" t="s">
        <v>313</v>
      </c>
      <c r="BN53" s="188">
        <v>0</v>
      </c>
      <c r="BO53" s="188" t="b">
        <v>0</v>
      </c>
      <c r="BP53" s="188">
        <v>0</v>
      </c>
      <c r="BQ53" s="190">
        <v>0</v>
      </c>
      <c r="BR53" s="189">
        <v>19785000</v>
      </c>
      <c r="BS53" s="198">
        <v>84</v>
      </c>
      <c r="BT53" s="189">
        <v>0</v>
      </c>
      <c r="BU53" s="199">
        <v>0</v>
      </c>
      <c r="BV53" s="189">
        <v>267</v>
      </c>
      <c r="BW53" s="200">
        <v>0</v>
      </c>
      <c r="BX53" s="200">
        <v>0</v>
      </c>
      <c r="BY53" s="188">
        <v>0</v>
      </c>
      <c r="BZ53" s="188">
        <v>0</v>
      </c>
      <c r="CA53" s="188">
        <v>0</v>
      </c>
      <c r="CB53" s="188">
        <v>0</v>
      </c>
      <c r="CC53" s="188">
        <v>0</v>
      </c>
      <c r="CD53" s="188">
        <v>0</v>
      </c>
      <c r="CE53" s="188">
        <v>0</v>
      </c>
      <c r="CF53" s="188">
        <v>0</v>
      </c>
      <c r="CG53" s="188">
        <v>0</v>
      </c>
      <c r="CH53" s="188">
        <v>0</v>
      </c>
      <c r="CI53" s="188">
        <v>0</v>
      </c>
      <c r="CJ53" s="188">
        <v>0</v>
      </c>
      <c r="CK53" s="189">
        <v>0</v>
      </c>
      <c r="CL53" s="189">
        <v>0</v>
      </c>
    </row>
    <row r="54" spans="1:90" outlineLevel="3" x14ac:dyDescent="0.3">
      <c r="A54" s="128" t="s">
        <v>340</v>
      </c>
      <c r="B54" s="128" t="s">
        <v>522</v>
      </c>
      <c r="C54" s="128" t="s">
        <v>367</v>
      </c>
      <c r="D54" s="128" t="s">
        <v>368</v>
      </c>
      <c r="E54" s="128" t="s">
        <v>423</v>
      </c>
      <c r="F54" s="128" t="s">
        <v>300</v>
      </c>
      <c r="G54" s="128" t="s">
        <v>483</v>
      </c>
      <c r="H54" s="128" t="s">
        <v>302</v>
      </c>
      <c r="I54" s="185" t="s">
        <v>345</v>
      </c>
      <c r="J54" s="187">
        <v>1</v>
      </c>
      <c r="K54" s="187">
        <v>1</v>
      </c>
      <c r="L54" s="189">
        <v>0</v>
      </c>
      <c r="M54" s="189">
        <v>0</v>
      </c>
      <c r="N54" s="189">
        <v>0</v>
      </c>
      <c r="O54" s="188">
        <v>0</v>
      </c>
      <c r="P54" s="189">
        <v>0</v>
      </c>
      <c r="Q54" s="189">
        <v>0</v>
      </c>
      <c r="R54" s="191" t="s">
        <v>543</v>
      </c>
      <c r="S54" s="256">
        <v>0.75</v>
      </c>
      <c r="T54" s="191" t="s">
        <v>541</v>
      </c>
      <c r="U54" s="192">
        <v>0</v>
      </c>
      <c r="V54" s="188" t="s">
        <v>304</v>
      </c>
      <c r="W54" s="188">
        <v>0</v>
      </c>
      <c r="X54" s="188">
        <v>0</v>
      </c>
      <c r="Y54" s="188">
        <v>0</v>
      </c>
      <c r="Z54" s="188">
        <v>0</v>
      </c>
      <c r="AA54" s="188">
        <v>0</v>
      </c>
      <c r="AB54" s="188">
        <v>0</v>
      </c>
      <c r="AC54" s="192">
        <v>0</v>
      </c>
      <c r="AD54" s="188">
        <v>0</v>
      </c>
      <c r="AE54" s="188">
        <v>0</v>
      </c>
      <c r="AF54" s="188">
        <v>0</v>
      </c>
      <c r="AG54" s="188">
        <v>0</v>
      </c>
      <c r="AH54" s="193">
        <v>0</v>
      </c>
      <c r="AI54" s="188">
        <v>0</v>
      </c>
      <c r="AJ54" s="188">
        <v>0</v>
      </c>
      <c r="AK54" s="194">
        <v>0</v>
      </c>
      <c r="AL54" s="195">
        <v>0</v>
      </c>
      <c r="AM54" s="188">
        <v>2013591.6599838899</v>
      </c>
      <c r="AN54" s="189">
        <v>0</v>
      </c>
      <c r="AO54" s="195">
        <v>0</v>
      </c>
      <c r="AP54" s="188">
        <v>0</v>
      </c>
      <c r="AQ54" s="196">
        <v>1</v>
      </c>
      <c r="AR54" s="188">
        <v>0</v>
      </c>
      <c r="AS54" s="188">
        <v>0</v>
      </c>
      <c r="AT54" s="188">
        <v>0</v>
      </c>
      <c r="AU54" s="188">
        <v>0</v>
      </c>
      <c r="AV54" s="188">
        <v>0</v>
      </c>
      <c r="AW54" s="188">
        <v>0</v>
      </c>
      <c r="AX54" s="188">
        <v>-2013591.6599838899</v>
      </c>
      <c r="AY54" s="188">
        <v>0</v>
      </c>
      <c r="AZ54" s="188">
        <v>2013591.6599838899</v>
      </c>
      <c r="BA54" s="188">
        <v>0</v>
      </c>
      <c r="BB54" s="188" t="s">
        <v>300</v>
      </c>
      <c r="BC54" s="188" t="s">
        <v>300</v>
      </c>
      <c r="BD54" s="188">
        <v>0</v>
      </c>
      <c r="BE54" s="188">
        <v>0</v>
      </c>
      <c r="BF54" s="188">
        <v>0</v>
      </c>
      <c r="BG54" s="188">
        <v>0</v>
      </c>
      <c r="BH54" s="188">
        <v>-2013591.6599838899</v>
      </c>
      <c r="BI54" s="188">
        <v>0</v>
      </c>
      <c r="BJ54" s="188">
        <v>2013591.6599838899</v>
      </c>
      <c r="BK54" s="188">
        <v>0</v>
      </c>
      <c r="BL54" s="188">
        <v>0</v>
      </c>
      <c r="BM54" s="188" t="s">
        <v>313</v>
      </c>
      <c r="BN54" s="188">
        <v>0</v>
      </c>
      <c r="BO54" s="188" t="b">
        <v>0</v>
      </c>
      <c r="BP54" s="188">
        <v>0</v>
      </c>
      <c r="BQ54" s="190">
        <v>0</v>
      </c>
      <c r="BR54" s="189">
        <v>0</v>
      </c>
      <c r="BS54" s="198">
        <v>84</v>
      </c>
      <c r="BT54" s="189">
        <v>0</v>
      </c>
      <c r="BU54" s="199">
        <v>0</v>
      </c>
      <c r="BV54" s="189">
        <v>268</v>
      </c>
      <c r="BW54" s="200">
        <v>0</v>
      </c>
      <c r="BX54" s="200">
        <v>0</v>
      </c>
      <c r="BY54" s="188">
        <v>0</v>
      </c>
      <c r="BZ54" s="188">
        <v>0</v>
      </c>
      <c r="CA54" s="188">
        <v>0</v>
      </c>
      <c r="CB54" s="188">
        <v>0</v>
      </c>
      <c r="CC54" s="188">
        <v>0</v>
      </c>
      <c r="CD54" s="188">
        <v>0</v>
      </c>
      <c r="CE54" s="188">
        <v>0</v>
      </c>
      <c r="CF54" s="188">
        <v>0</v>
      </c>
      <c r="CG54" s="188">
        <v>0</v>
      </c>
      <c r="CH54" s="188">
        <v>0</v>
      </c>
      <c r="CI54" s="188">
        <v>0</v>
      </c>
      <c r="CJ54" s="188">
        <v>0</v>
      </c>
      <c r="CK54" s="189">
        <v>0</v>
      </c>
      <c r="CL54" s="189">
        <v>0</v>
      </c>
    </row>
    <row r="55" spans="1:90" outlineLevel="3" x14ac:dyDescent="0.3">
      <c r="A55" s="128" t="s">
        <v>340</v>
      </c>
      <c r="B55" s="128" t="s">
        <v>522</v>
      </c>
      <c r="C55" s="128" t="s">
        <v>341</v>
      </c>
      <c r="D55" s="128" t="s">
        <v>342</v>
      </c>
      <c r="E55" s="128" t="s">
        <v>343</v>
      </c>
      <c r="F55" s="128" t="s">
        <v>300</v>
      </c>
      <c r="G55" s="128" t="s">
        <v>344</v>
      </c>
      <c r="H55" s="128" t="s">
        <v>302</v>
      </c>
      <c r="I55" s="185" t="s">
        <v>345</v>
      </c>
      <c r="J55" s="187">
        <v>1</v>
      </c>
      <c r="K55" s="187">
        <v>1</v>
      </c>
      <c r="L55" s="189">
        <v>0</v>
      </c>
      <c r="M55" s="189">
        <v>0</v>
      </c>
      <c r="N55" s="189">
        <v>0</v>
      </c>
      <c r="O55" s="188">
        <v>0</v>
      </c>
      <c r="P55" s="189">
        <v>0</v>
      </c>
      <c r="Q55" s="189">
        <v>0</v>
      </c>
      <c r="R55" s="191">
        <v>0</v>
      </c>
      <c r="S55" s="256">
        <v>1</v>
      </c>
      <c r="T55" s="191" t="s">
        <v>541</v>
      </c>
      <c r="U55" s="192">
        <v>0</v>
      </c>
      <c r="V55" s="188" t="s">
        <v>304</v>
      </c>
      <c r="W55" s="188">
        <v>0</v>
      </c>
      <c r="X55" s="188">
        <v>0</v>
      </c>
      <c r="Y55" s="188">
        <v>0</v>
      </c>
      <c r="Z55" s="188">
        <v>0</v>
      </c>
      <c r="AA55" s="188">
        <v>0</v>
      </c>
      <c r="AB55" s="188">
        <v>0</v>
      </c>
      <c r="AC55" s="192">
        <v>0</v>
      </c>
      <c r="AD55" s="188">
        <v>0</v>
      </c>
      <c r="AE55" s="188">
        <v>0</v>
      </c>
      <c r="AF55" s="188">
        <v>0</v>
      </c>
      <c r="AG55" s="188">
        <v>0</v>
      </c>
      <c r="AH55" s="193">
        <v>0</v>
      </c>
      <c r="AI55" s="188">
        <v>0</v>
      </c>
      <c r="AJ55" s="188">
        <v>0</v>
      </c>
      <c r="AK55" s="194">
        <v>0</v>
      </c>
      <c r="AL55" s="195">
        <v>0</v>
      </c>
      <c r="AM55" s="188">
        <v>93746588.676477998</v>
      </c>
      <c r="AN55" s="189">
        <v>0</v>
      </c>
      <c r="AO55" s="195">
        <v>0</v>
      </c>
      <c r="AP55" s="188">
        <v>0</v>
      </c>
      <c r="AQ55" s="196">
        <v>1</v>
      </c>
      <c r="AR55" s="188">
        <v>0</v>
      </c>
      <c r="AS55" s="188">
        <v>0</v>
      </c>
      <c r="AT55" s="188">
        <v>0</v>
      </c>
      <c r="AU55" s="188">
        <v>0</v>
      </c>
      <c r="AV55" s="188">
        <v>0</v>
      </c>
      <c r="AW55" s="188">
        <v>0</v>
      </c>
      <c r="AX55" s="188">
        <v>-93746588.676477998</v>
      </c>
      <c r="AY55" s="188">
        <v>0</v>
      </c>
      <c r="AZ55" s="188">
        <v>93746588.676477998</v>
      </c>
      <c r="BA55" s="188">
        <v>0</v>
      </c>
      <c r="BB55" s="188" t="s">
        <v>300</v>
      </c>
      <c r="BC55" s="188" t="s">
        <v>300</v>
      </c>
      <c r="BD55" s="188">
        <v>0</v>
      </c>
      <c r="BE55" s="188">
        <v>0</v>
      </c>
      <c r="BF55" s="188">
        <v>0</v>
      </c>
      <c r="BG55" s="188">
        <v>0</v>
      </c>
      <c r="BH55" s="188">
        <v>-93746588.676477998</v>
      </c>
      <c r="BI55" s="188">
        <v>0</v>
      </c>
      <c r="BJ55" s="188">
        <v>93746588.676477998</v>
      </c>
      <c r="BK55" s="188">
        <v>0</v>
      </c>
      <c r="BL55" s="188">
        <v>0</v>
      </c>
      <c r="BM55" s="188" t="s">
        <v>305</v>
      </c>
      <c r="BN55" s="188">
        <v>0</v>
      </c>
      <c r="BO55" s="188" t="b">
        <v>0</v>
      </c>
      <c r="BP55" s="188">
        <v>0</v>
      </c>
      <c r="BQ55" s="190">
        <v>0</v>
      </c>
      <c r="BR55" s="189">
        <v>0</v>
      </c>
      <c r="BS55" s="198">
        <v>84</v>
      </c>
      <c r="BT55" s="189">
        <v>0</v>
      </c>
      <c r="BU55" s="199">
        <v>0</v>
      </c>
      <c r="BV55" s="189">
        <v>283</v>
      </c>
      <c r="BW55" s="200">
        <v>0</v>
      </c>
      <c r="BX55" s="200">
        <v>0</v>
      </c>
      <c r="BY55" s="188">
        <v>0</v>
      </c>
      <c r="BZ55" s="188">
        <v>0</v>
      </c>
      <c r="CA55" s="188">
        <v>0</v>
      </c>
      <c r="CB55" s="188">
        <v>0</v>
      </c>
      <c r="CC55" s="188">
        <v>0</v>
      </c>
      <c r="CD55" s="188">
        <v>0</v>
      </c>
      <c r="CE55" s="188">
        <v>0</v>
      </c>
      <c r="CF55" s="188">
        <v>0</v>
      </c>
      <c r="CG55" s="188">
        <v>0</v>
      </c>
      <c r="CH55" s="188">
        <v>0</v>
      </c>
      <c r="CI55" s="188">
        <v>0</v>
      </c>
      <c r="CJ55" s="188">
        <v>0</v>
      </c>
      <c r="CK55" s="189">
        <v>0</v>
      </c>
      <c r="CL55" s="189">
        <v>0</v>
      </c>
    </row>
    <row r="56" spans="1:90" s="219" customFormat="1" ht="20.100000000000001" customHeight="1" outlineLevel="2" x14ac:dyDescent="0.3">
      <c r="A56" s="202" t="s">
        <v>346</v>
      </c>
      <c r="B56" s="202"/>
      <c r="C56" s="202"/>
      <c r="D56" s="202"/>
      <c r="E56" s="202"/>
      <c r="F56" s="202"/>
      <c r="G56" s="202"/>
      <c r="H56" s="202"/>
      <c r="I56" s="203"/>
      <c r="J56" s="205"/>
      <c r="K56" s="205"/>
      <c r="L56" s="207"/>
      <c r="M56" s="207"/>
      <c r="N56" s="207"/>
      <c r="O56" s="206"/>
      <c r="P56" s="207"/>
      <c r="Q56" s="207"/>
      <c r="R56" s="209">
        <v>0</v>
      </c>
      <c r="S56" s="257">
        <v>2.75</v>
      </c>
      <c r="T56" s="209">
        <v>0</v>
      </c>
      <c r="U56" s="210">
        <v>0</v>
      </c>
      <c r="V56" s="206"/>
      <c r="W56" s="206">
        <v>0</v>
      </c>
      <c r="X56" s="206">
        <v>0</v>
      </c>
      <c r="Y56" s="206">
        <v>0</v>
      </c>
      <c r="Z56" s="206">
        <v>0</v>
      </c>
      <c r="AA56" s="206">
        <v>0</v>
      </c>
      <c r="AB56" s="206">
        <v>0</v>
      </c>
      <c r="AC56" s="210">
        <v>0</v>
      </c>
      <c r="AD56" s="206">
        <v>0</v>
      </c>
      <c r="AE56" s="206">
        <v>0</v>
      </c>
      <c r="AF56" s="206">
        <v>0</v>
      </c>
      <c r="AG56" s="206">
        <v>0</v>
      </c>
      <c r="AH56" s="211">
        <v>0</v>
      </c>
      <c r="AI56" s="206">
        <v>0</v>
      </c>
      <c r="AJ56" s="206">
        <v>0</v>
      </c>
      <c r="AK56" s="212">
        <v>0</v>
      </c>
      <c r="AL56" s="213"/>
      <c r="AM56" s="206">
        <v>95760180.336461887</v>
      </c>
      <c r="AN56" s="207"/>
      <c r="AO56" s="213"/>
      <c r="AP56" s="206">
        <v>0</v>
      </c>
      <c r="AQ56" s="214"/>
      <c r="AR56" s="206"/>
      <c r="AS56" s="206"/>
      <c r="AT56" s="206">
        <v>0</v>
      </c>
      <c r="AU56" s="206">
        <v>0</v>
      </c>
      <c r="AV56" s="206">
        <v>0</v>
      </c>
      <c r="AW56" s="206">
        <v>0</v>
      </c>
      <c r="AX56" s="206">
        <v>-95760180.336461887</v>
      </c>
      <c r="AY56" s="206">
        <v>0</v>
      </c>
      <c r="AZ56" s="206">
        <v>95760180.336461887</v>
      </c>
      <c r="BA56" s="206">
        <v>0</v>
      </c>
      <c r="BB56" s="206"/>
      <c r="BC56" s="206"/>
      <c r="BD56" s="206"/>
      <c r="BE56" s="206"/>
      <c r="BF56" s="206"/>
      <c r="BG56" s="206"/>
      <c r="BH56" s="206"/>
      <c r="BI56" s="206"/>
      <c r="BJ56" s="206"/>
      <c r="BK56" s="206"/>
      <c r="BL56" s="206"/>
      <c r="BM56" s="206"/>
      <c r="BN56" s="206"/>
      <c r="BO56" s="206"/>
      <c r="BP56" s="206"/>
      <c r="BQ56" s="208"/>
      <c r="BR56" s="207"/>
      <c r="BS56" s="216"/>
      <c r="BT56" s="207"/>
      <c r="BU56" s="217"/>
      <c r="BV56" s="207"/>
      <c r="BW56" s="218"/>
      <c r="BX56" s="218"/>
      <c r="BY56" s="206"/>
      <c r="BZ56" s="206"/>
      <c r="CA56" s="206">
        <v>0</v>
      </c>
      <c r="CB56" s="206"/>
      <c r="CC56" s="206"/>
      <c r="CD56" s="206"/>
      <c r="CE56" s="206"/>
      <c r="CF56" s="206"/>
      <c r="CG56" s="206"/>
      <c r="CH56" s="206"/>
      <c r="CI56" s="206"/>
      <c r="CJ56" s="206"/>
      <c r="CK56" s="207"/>
      <c r="CL56" s="207"/>
    </row>
    <row r="57" spans="1:90" outlineLevel="3" x14ac:dyDescent="0.3">
      <c r="A57" s="128" t="s">
        <v>380</v>
      </c>
      <c r="B57" s="128" t="s">
        <v>522</v>
      </c>
      <c r="C57" s="128" t="s">
        <v>367</v>
      </c>
      <c r="D57" s="128" t="s">
        <v>368</v>
      </c>
      <c r="E57" s="128" t="s">
        <v>381</v>
      </c>
      <c r="F57" s="128" t="s">
        <v>300</v>
      </c>
      <c r="G57" s="128" t="s">
        <v>483</v>
      </c>
      <c r="H57" s="128" t="s">
        <v>302</v>
      </c>
      <c r="I57" s="185" t="s">
        <v>345</v>
      </c>
      <c r="J57" s="187">
        <v>1</v>
      </c>
      <c r="K57" s="187">
        <v>1</v>
      </c>
      <c r="L57" s="189">
        <v>0</v>
      </c>
      <c r="M57" s="189">
        <v>0</v>
      </c>
      <c r="N57" s="189">
        <v>0</v>
      </c>
      <c r="O57" s="188">
        <v>0</v>
      </c>
      <c r="P57" s="189">
        <v>0</v>
      </c>
      <c r="Q57" s="189">
        <v>0</v>
      </c>
      <c r="R57" s="191">
        <v>0</v>
      </c>
      <c r="S57" s="256">
        <v>1</v>
      </c>
      <c r="T57" s="191" t="s">
        <v>541</v>
      </c>
      <c r="U57" s="192">
        <v>0</v>
      </c>
      <c r="V57" s="188" t="s">
        <v>304</v>
      </c>
      <c r="W57" s="188">
        <v>0</v>
      </c>
      <c r="X57" s="188">
        <v>0</v>
      </c>
      <c r="Y57" s="188">
        <v>0</v>
      </c>
      <c r="Z57" s="188">
        <v>0</v>
      </c>
      <c r="AA57" s="188">
        <v>0</v>
      </c>
      <c r="AB57" s="188">
        <v>0</v>
      </c>
      <c r="AC57" s="192">
        <v>0</v>
      </c>
      <c r="AD57" s="188">
        <v>0</v>
      </c>
      <c r="AE57" s="188">
        <v>0</v>
      </c>
      <c r="AF57" s="188">
        <v>0</v>
      </c>
      <c r="AG57" s="188">
        <v>0</v>
      </c>
      <c r="AH57" s="193">
        <v>0</v>
      </c>
      <c r="AI57" s="188">
        <v>0</v>
      </c>
      <c r="AJ57" s="188">
        <v>0</v>
      </c>
      <c r="AK57" s="194">
        <v>0</v>
      </c>
      <c r="AL57" s="195">
        <v>0</v>
      </c>
      <c r="AM57" s="188">
        <v>1165662.43</v>
      </c>
      <c r="AN57" s="189">
        <v>0</v>
      </c>
      <c r="AO57" s="195">
        <v>0</v>
      </c>
      <c r="AP57" s="188">
        <v>0</v>
      </c>
      <c r="AQ57" s="196">
        <v>1</v>
      </c>
      <c r="AR57" s="188">
        <v>0</v>
      </c>
      <c r="AS57" s="188">
        <v>0</v>
      </c>
      <c r="AT57" s="188">
        <v>0</v>
      </c>
      <c r="AU57" s="188">
        <v>0</v>
      </c>
      <c r="AV57" s="188">
        <v>0</v>
      </c>
      <c r="AW57" s="188">
        <v>0</v>
      </c>
      <c r="AX57" s="188">
        <v>-1165662.43</v>
      </c>
      <c r="AY57" s="188">
        <v>0</v>
      </c>
      <c r="AZ57" s="188">
        <v>1165662.43</v>
      </c>
      <c r="BA57" s="188">
        <v>0</v>
      </c>
      <c r="BB57" s="188" t="s">
        <v>300</v>
      </c>
      <c r="BC57" s="188" t="s">
        <v>300</v>
      </c>
      <c r="BD57" s="188">
        <v>0</v>
      </c>
      <c r="BE57" s="188">
        <v>0</v>
      </c>
      <c r="BF57" s="188">
        <v>0</v>
      </c>
      <c r="BG57" s="188">
        <v>0</v>
      </c>
      <c r="BH57" s="188">
        <v>-1165662.43</v>
      </c>
      <c r="BI57" s="188">
        <v>0</v>
      </c>
      <c r="BJ57" s="188">
        <v>1165662.43</v>
      </c>
      <c r="BK57" s="188">
        <v>0</v>
      </c>
      <c r="BL57" s="188">
        <v>0</v>
      </c>
      <c r="BM57" s="188" t="s">
        <v>305</v>
      </c>
      <c r="BN57" s="188">
        <v>0</v>
      </c>
      <c r="BO57" s="188" t="b">
        <v>0</v>
      </c>
      <c r="BP57" s="188">
        <v>0</v>
      </c>
      <c r="BQ57" s="190">
        <v>0</v>
      </c>
      <c r="BR57" s="189">
        <v>0</v>
      </c>
      <c r="BS57" s="198">
        <v>86</v>
      </c>
      <c r="BT57" s="189">
        <v>0</v>
      </c>
      <c r="BU57" s="199">
        <v>0</v>
      </c>
      <c r="BV57" s="189">
        <v>276</v>
      </c>
      <c r="BW57" s="200">
        <v>0</v>
      </c>
      <c r="BX57" s="200">
        <v>0</v>
      </c>
      <c r="BY57" s="188">
        <v>0</v>
      </c>
      <c r="BZ57" s="188">
        <v>0</v>
      </c>
      <c r="CA57" s="188">
        <v>0</v>
      </c>
      <c r="CB57" s="188">
        <v>0</v>
      </c>
      <c r="CC57" s="188">
        <v>0</v>
      </c>
      <c r="CD57" s="188">
        <v>0</v>
      </c>
      <c r="CE57" s="188">
        <v>0</v>
      </c>
      <c r="CF57" s="188">
        <v>0</v>
      </c>
      <c r="CG57" s="188">
        <v>0</v>
      </c>
      <c r="CH57" s="188">
        <v>0</v>
      </c>
      <c r="CI57" s="188">
        <v>0</v>
      </c>
      <c r="CJ57" s="188">
        <v>0</v>
      </c>
      <c r="CK57" s="189">
        <v>0</v>
      </c>
      <c r="CL57" s="189">
        <v>0</v>
      </c>
    </row>
    <row r="58" spans="1:90" outlineLevel="3" x14ac:dyDescent="0.3">
      <c r="A58" s="128" t="s">
        <v>380</v>
      </c>
      <c r="B58" s="128" t="s">
        <v>522</v>
      </c>
      <c r="C58" s="128" t="s">
        <v>367</v>
      </c>
      <c r="D58" s="128" t="s">
        <v>368</v>
      </c>
      <c r="E58" s="128" t="s">
        <v>382</v>
      </c>
      <c r="F58" s="128" t="s">
        <v>300</v>
      </c>
      <c r="G58" s="128" t="s">
        <v>483</v>
      </c>
      <c r="H58" s="128" t="s">
        <v>302</v>
      </c>
      <c r="I58" s="185" t="s">
        <v>345</v>
      </c>
      <c r="J58" s="187">
        <v>1</v>
      </c>
      <c r="K58" s="187">
        <v>1</v>
      </c>
      <c r="L58" s="189">
        <v>0</v>
      </c>
      <c r="M58" s="189">
        <v>0</v>
      </c>
      <c r="N58" s="189">
        <v>0</v>
      </c>
      <c r="O58" s="188">
        <v>0</v>
      </c>
      <c r="P58" s="189">
        <v>0</v>
      </c>
      <c r="Q58" s="189">
        <v>0</v>
      </c>
      <c r="R58" s="191">
        <v>0</v>
      </c>
      <c r="S58" s="252">
        <v>1</v>
      </c>
      <c r="T58" s="191" t="s">
        <v>541</v>
      </c>
      <c r="U58" s="192">
        <v>0</v>
      </c>
      <c r="V58" s="188" t="s">
        <v>304</v>
      </c>
      <c r="W58" s="188">
        <v>0</v>
      </c>
      <c r="X58" s="188">
        <v>0</v>
      </c>
      <c r="Y58" s="188">
        <v>0</v>
      </c>
      <c r="Z58" s="188">
        <v>0</v>
      </c>
      <c r="AA58" s="188">
        <v>0</v>
      </c>
      <c r="AB58" s="188">
        <v>0</v>
      </c>
      <c r="AC58" s="192">
        <v>0</v>
      </c>
      <c r="AD58" s="188">
        <v>0</v>
      </c>
      <c r="AE58" s="188">
        <v>0</v>
      </c>
      <c r="AF58" s="188">
        <v>0</v>
      </c>
      <c r="AG58" s="188">
        <v>0</v>
      </c>
      <c r="AH58" s="193">
        <v>0</v>
      </c>
      <c r="AI58" s="188">
        <v>0</v>
      </c>
      <c r="AJ58" s="188">
        <v>0</v>
      </c>
      <c r="AK58" s="194">
        <v>0</v>
      </c>
      <c r="AL58" s="195">
        <v>0</v>
      </c>
      <c r="AM58" s="188">
        <v>429210</v>
      </c>
      <c r="AN58" s="189">
        <v>0</v>
      </c>
      <c r="AO58" s="195">
        <v>0</v>
      </c>
      <c r="AP58" s="188">
        <v>0</v>
      </c>
      <c r="AQ58" s="196">
        <v>1</v>
      </c>
      <c r="AR58" s="188">
        <v>0</v>
      </c>
      <c r="AS58" s="188">
        <v>0</v>
      </c>
      <c r="AT58" s="188">
        <v>0</v>
      </c>
      <c r="AU58" s="188">
        <v>0</v>
      </c>
      <c r="AV58" s="188">
        <v>0</v>
      </c>
      <c r="AW58" s="188">
        <v>0</v>
      </c>
      <c r="AX58" s="188">
        <v>670790</v>
      </c>
      <c r="AY58" s="188">
        <v>0</v>
      </c>
      <c r="AZ58" s="188">
        <v>-670790</v>
      </c>
      <c r="BA58" s="188">
        <v>0</v>
      </c>
      <c r="BB58" s="188" t="s">
        <v>300</v>
      </c>
      <c r="BC58" s="188" t="s">
        <v>300</v>
      </c>
      <c r="BD58" s="188">
        <v>0</v>
      </c>
      <c r="BE58" s="188">
        <v>0</v>
      </c>
      <c r="BF58" s="188">
        <v>0</v>
      </c>
      <c r="BG58" s="188">
        <v>0</v>
      </c>
      <c r="BH58" s="188">
        <v>670790</v>
      </c>
      <c r="BI58" s="188">
        <v>0</v>
      </c>
      <c r="BJ58" s="188">
        <v>-670790</v>
      </c>
      <c r="BK58" s="188">
        <v>0</v>
      </c>
      <c r="BL58" s="188">
        <v>0</v>
      </c>
      <c r="BM58" s="188" t="s">
        <v>305</v>
      </c>
      <c r="BN58" s="188">
        <v>0</v>
      </c>
      <c r="BO58" s="188" t="b">
        <v>0</v>
      </c>
      <c r="BP58" s="188">
        <v>0</v>
      </c>
      <c r="BQ58" s="190">
        <v>0</v>
      </c>
      <c r="BR58" s="189">
        <v>0</v>
      </c>
      <c r="BS58" s="198">
        <v>86</v>
      </c>
      <c r="BT58" s="189">
        <v>0</v>
      </c>
      <c r="BU58" s="199">
        <v>0</v>
      </c>
      <c r="BV58" s="189">
        <v>290</v>
      </c>
      <c r="BW58" s="200">
        <v>0</v>
      </c>
      <c r="BX58" s="200">
        <v>0</v>
      </c>
      <c r="BY58" s="188">
        <v>0</v>
      </c>
      <c r="BZ58" s="188">
        <v>0</v>
      </c>
      <c r="CA58" s="188">
        <v>0</v>
      </c>
      <c r="CB58" s="188">
        <v>-1100000</v>
      </c>
      <c r="CC58" s="188">
        <v>0</v>
      </c>
      <c r="CD58" s="188">
        <v>0</v>
      </c>
      <c r="CE58" s="188">
        <v>0</v>
      </c>
      <c r="CF58" s="188">
        <v>0</v>
      </c>
      <c r="CG58" s="188">
        <v>0</v>
      </c>
      <c r="CH58" s="188">
        <v>0</v>
      </c>
      <c r="CI58" s="188">
        <v>0</v>
      </c>
      <c r="CJ58" s="188">
        <v>0</v>
      </c>
      <c r="CK58" s="189">
        <v>0</v>
      </c>
      <c r="CL58" s="189">
        <v>0</v>
      </c>
    </row>
    <row r="59" spans="1:90" outlineLevel="3" x14ac:dyDescent="0.3">
      <c r="A59" s="128" t="s">
        <v>380</v>
      </c>
      <c r="B59" s="128" t="s">
        <v>522</v>
      </c>
      <c r="C59" s="128" t="s">
        <v>367</v>
      </c>
      <c r="D59" s="128" t="s">
        <v>368</v>
      </c>
      <c r="E59" s="128" t="s">
        <v>383</v>
      </c>
      <c r="F59" s="128" t="s">
        <v>300</v>
      </c>
      <c r="G59" s="128" t="s">
        <v>483</v>
      </c>
      <c r="H59" s="128" t="s">
        <v>302</v>
      </c>
      <c r="I59" s="185" t="s">
        <v>345</v>
      </c>
      <c r="J59" s="187">
        <v>1</v>
      </c>
      <c r="K59" s="187">
        <v>1</v>
      </c>
      <c r="L59" s="189">
        <v>0</v>
      </c>
      <c r="M59" s="189">
        <v>0</v>
      </c>
      <c r="N59" s="189">
        <v>0</v>
      </c>
      <c r="O59" s="188">
        <v>0</v>
      </c>
      <c r="P59" s="189">
        <v>0</v>
      </c>
      <c r="Q59" s="189">
        <v>0</v>
      </c>
      <c r="R59" s="191">
        <v>0</v>
      </c>
      <c r="S59" s="252">
        <v>1</v>
      </c>
      <c r="T59" s="191" t="s">
        <v>541</v>
      </c>
      <c r="U59" s="192">
        <v>0</v>
      </c>
      <c r="V59" s="188" t="s">
        <v>304</v>
      </c>
      <c r="W59" s="188">
        <v>0</v>
      </c>
      <c r="X59" s="188">
        <v>0</v>
      </c>
      <c r="Y59" s="188">
        <v>0</v>
      </c>
      <c r="Z59" s="188">
        <v>0</v>
      </c>
      <c r="AA59" s="188">
        <v>0</v>
      </c>
      <c r="AB59" s="188">
        <v>0</v>
      </c>
      <c r="AC59" s="192">
        <v>0</v>
      </c>
      <c r="AD59" s="188">
        <v>0</v>
      </c>
      <c r="AE59" s="188">
        <v>0</v>
      </c>
      <c r="AF59" s="188">
        <v>0</v>
      </c>
      <c r="AG59" s="188">
        <v>0</v>
      </c>
      <c r="AH59" s="193">
        <v>0</v>
      </c>
      <c r="AI59" s="188">
        <v>0</v>
      </c>
      <c r="AJ59" s="188">
        <v>0</v>
      </c>
      <c r="AK59" s="194">
        <v>0</v>
      </c>
      <c r="AL59" s="195">
        <v>0</v>
      </c>
      <c r="AM59" s="188">
        <v>470790</v>
      </c>
      <c r="AN59" s="189">
        <v>0</v>
      </c>
      <c r="AO59" s="195">
        <v>0</v>
      </c>
      <c r="AP59" s="188">
        <v>0</v>
      </c>
      <c r="AQ59" s="196">
        <v>1</v>
      </c>
      <c r="AR59" s="188">
        <v>0</v>
      </c>
      <c r="AS59" s="188">
        <v>0</v>
      </c>
      <c r="AT59" s="188">
        <v>0</v>
      </c>
      <c r="AU59" s="188">
        <v>0</v>
      </c>
      <c r="AV59" s="188">
        <v>0</v>
      </c>
      <c r="AW59" s="188">
        <v>0</v>
      </c>
      <c r="AX59" s="188">
        <v>-470790</v>
      </c>
      <c r="AY59" s="188">
        <v>0</v>
      </c>
      <c r="AZ59" s="188">
        <v>470790</v>
      </c>
      <c r="BA59" s="188">
        <v>0</v>
      </c>
      <c r="BB59" s="188" t="s">
        <v>300</v>
      </c>
      <c r="BC59" s="188" t="s">
        <v>300</v>
      </c>
      <c r="BD59" s="188">
        <v>0</v>
      </c>
      <c r="BE59" s="188">
        <v>0</v>
      </c>
      <c r="BF59" s="188">
        <v>0</v>
      </c>
      <c r="BG59" s="188">
        <v>0</v>
      </c>
      <c r="BH59" s="188">
        <v>-470790</v>
      </c>
      <c r="BI59" s="188">
        <v>0</v>
      </c>
      <c r="BJ59" s="188">
        <v>470790</v>
      </c>
      <c r="BK59" s="188">
        <v>0</v>
      </c>
      <c r="BL59" s="188">
        <v>0</v>
      </c>
      <c r="BM59" s="188" t="s">
        <v>305</v>
      </c>
      <c r="BN59" s="188">
        <v>0</v>
      </c>
      <c r="BO59" s="188" t="b">
        <v>0</v>
      </c>
      <c r="BP59" s="188">
        <v>0</v>
      </c>
      <c r="BQ59" s="190">
        <v>0</v>
      </c>
      <c r="BR59" s="189">
        <v>0</v>
      </c>
      <c r="BS59" s="198">
        <v>86</v>
      </c>
      <c r="BT59" s="189">
        <v>0</v>
      </c>
      <c r="BU59" s="199">
        <v>0</v>
      </c>
      <c r="BV59" s="189">
        <v>292</v>
      </c>
      <c r="BW59" s="200">
        <v>0</v>
      </c>
      <c r="BX59" s="200">
        <v>0</v>
      </c>
      <c r="BY59" s="188">
        <v>0</v>
      </c>
      <c r="BZ59" s="188">
        <v>0</v>
      </c>
      <c r="CA59" s="188">
        <v>0</v>
      </c>
      <c r="CB59" s="188">
        <v>0</v>
      </c>
      <c r="CC59" s="188">
        <v>0</v>
      </c>
      <c r="CD59" s="188">
        <v>0</v>
      </c>
      <c r="CE59" s="188">
        <v>0</v>
      </c>
      <c r="CF59" s="188">
        <v>0</v>
      </c>
      <c r="CG59" s="188">
        <v>0</v>
      </c>
      <c r="CH59" s="188">
        <v>0</v>
      </c>
      <c r="CI59" s="188">
        <v>0</v>
      </c>
      <c r="CJ59" s="188">
        <v>0</v>
      </c>
      <c r="CK59" s="189">
        <v>0</v>
      </c>
      <c r="CL59" s="189">
        <v>0</v>
      </c>
    </row>
    <row r="60" spans="1:90" outlineLevel="3" x14ac:dyDescent="0.3">
      <c r="A60" s="128" t="s">
        <v>380</v>
      </c>
      <c r="B60" s="128" t="s">
        <v>522</v>
      </c>
      <c r="C60" s="128" t="s">
        <v>528</v>
      </c>
      <c r="D60" s="128" t="s">
        <v>529</v>
      </c>
      <c r="E60" s="128" t="s">
        <v>384</v>
      </c>
      <c r="F60" s="128" t="s">
        <v>300</v>
      </c>
      <c r="G60" s="128" t="s">
        <v>483</v>
      </c>
      <c r="H60" s="128" t="s">
        <v>302</v>
      </c>
      <c r="I60" s="185" t="s">
        <v>345</v>
      </c>
      <c r="J60" s="187">
        <v>1</v>
      </c>
      <c r="K60" s="187">
        <v>1</v>
      </c>
      <c r="L60" s="189">
        <v>0</v>
      </c>
      <c r="M60" s="189">
        <v>0</v>
      </c>
      <c r="N60" s="189">
        <v>0</v>
      </c>
      <c r="O60" s="188">
        <v>7121810</v>
      </c>
      <c r="P60" s="189">
        <v>7121810</v>
      </c>
      <c r="Q60" s="189">
        <v>0</v>
      </c>
      <c r="R60" s="191" t="s">
        <v>543</v>
      </c>
      <c r="S60" s="252">
        <v>0.5</v>
      </c>
      <c r="T60" s="191" t="s">
        <v>541</v>
      </c>
      <c r="U60" s="192">
        <v>7121810</v>
      </c>
      <c r="V60" s="188" t="s">
        <v>304</v>
      </c>
      <c r="W60" s="188">
        <v>0</v>
      </c>
      <c r="X60" s="188">
        <v>0</v>
      </c>
      <c r="Y60" s="188">
        <v>0</v>
      </c>
      <c r="Z60" s="188">
        <v>0</v>
      </c>
      <c r="AA60" s="188">
        <v>0</v>
      </c>
      <c r="AB60" s="188">
        <v>0</v>
      </c>
      <c r="AC60" s="192">
        <v>7121810</v>
      </c>
      <c r="AD60" s="188">
        <v>0</v>
      </c>
      <c r="AE60" s="188">
        <v>0</v>
      </c>
      <c r="AF60" s="188">
        <v>0</v>
      </c>
      <c r="AG60" s="188">
        <v>0</v>
      </c>
      <c r="AH60" s="193">
        <v>0</v>
      </c>
      <c r="AI60" s="188">
        <v>0</v>
      </c>
      <c r="AJ60" s="188">
        <v>0</v>
      </c>
      <c r="AK60" s="194">
        <v>0</v>
      </c>
      <c r="AL60" s="195">
        <v>0</v>
      </c>
      <c r="AM60" s="188">
        <v>7121810</v>
      </c>
      <c r="AN60" s="189">
        <v>0</v>
      </c>
      <c r="AO60" s="195">
        <v>0</v>
      </c>
      <c r="AP60" s="188">
        <v>7121810</v>
      </c>
      <c r="AQ60" s="196">
        <v>1</v>
      </c>
      <c r="AR60" s="188">
        <v>0</v>
      </c>
      <c r="AS60" s="188">
        <v>7121810</v>
      </c>
      <c r="AT60" s="188">
        <v>0</v>
      </c>
      <c r="AU60" s="188">
        <v>0</v>
      </c>
      <c r="AV60" s="188">
        <v>0</v>
      </c>
      <c r="AW60" s="188">
        <v>0</v>
      </c>
      <c r="AX60" s="188">
        <v>0</v>
      </c>
      <c r="AY60" s="188">
        <v>0</v>
      </c>
      <c r="AZ60" s="188">
        <v>0</v>
      </c>
      <c r="BA60" s="188">
        <v>0</v>
      </c>
      <c r="BB60" s="188" t="s">
        <v>300</v>
      </c>
      <c r="BC60" s="188" t="s">
        <v>300</v>
      </c>
      <c r="BD60" s="188">
        <v>0</v>
      </c>
      <c r="BE60" s="188">
        <v>0</v>
      </c>
      <c r="BF60" s="188">
        <v>0</v>
      </c>
      <c r="BG60" s="188">
        <v>0</v>
      </c>
      <c r="BH60" s="188">
        <v>0</v>
      </c>
      <c r="BI60" s="188">
        <v>0</v>
      </c>
      <c r="BJ60" s="188">
        <v>0</v>
      </c>
      <c r="BK60" s="188">
        <v>0</v>
      </c>
      <c r="BL60" s="188">
        <v>7121810</v>
      </c>
      <c r="BM60" s="188" t="s">
        <v>305</v>
      </c>
      <c r="BN60" s="188">
        <v>0</v>
      </c>
      <c r="BO60" s="188" t="b">
        <v>0</v>
      </c>
      <c r="BP60" s="188">
        <v>0</v>
      </c>
      <c r="BQ60" s="190">
        <v>0</v>
      </c>
      <c r="BR60" s="189">
        <v>7500000</v>
      </c>
      <c r="BS60" s="198">
        <v>86</v>
      </c>
      <c r="BT60" s="189">
        <v>0</v>
      </c>
      <c r="BU60" s="199">
        <v>0</v>
      </c>
      <c r="BV60" s="189">
        <v>293</v>
      </c>
      <c r="BW60" s="200">
        <v>0</v>
      </c>
      <c r="BX60" s="200">
        <v>0</v>
      </c>
      <c r="BY60" s="188">
        <v>0</v>
      </c>
      <c r="BZ60" s="188">
        <v>0</v>
      </c>
      <c r="CA60" s="188">
        <v>0</v>
      </c>
      <c r="CB60" s="188">
        <v>0</v>
      </c>
      <c r="CC60" s="188">
        <v>0</v>
      </c>
      <c r="CD60" s="188">
        <v>0</v>
      </c>
      <c r="CE60" s="188">
        <v>0</v>
      </c>
      <c r="CF60" s="188">
        <v>0</v>
      </c>
      <c r="CG60" s="188">
        <v>0</v>
      </c>
      <c r="CH60" s="188">
        <v>0</v>
      </c>
      <c r="CI60" s="188">
        <v>0</v>
      </c>
      <c r="CJ60" s="188">
        <v>0</v>
      </c>
      <c r="CK60" s="189">
        <v>0</v>
      </c>
      <c r="CL60" s="189">
        <v>0</v>
      </c>
    </row>
    <row r="61" spans="1:90" s="219" customFormat="1" ht="20.100000000000001" customHeight="1" outlineLevel="2" x14ac:dyDescent="0.3">
      <c r="A61" s="202" t="s">
        <v>385</v>
      </c>
      <c r="B61" s="202"/>
      <c r="C61" s="202"/>
      <c r="D61" s="202"/>
      <c r="E61" s="202"/>
      <c r="F61" s="202"/>
      <c r="G61" s="202"/>
      <c r="H61" s="202"/>
      <c r="I61" s="203"/>
      <c r="J61" s="205"/>
      <c r="K61" s="205"/>
      <c r="L61" s="207"/>
      <c r="M61" s="207"/>
      <c r="N61" s="207"/>
      <c r="O61" s="206"/>
      <c r="P61" s="207"/>
      <c r="Q61" s="207"/>
      <c r="R61" s="209">
        <v>0</v>
      </c>
      <c r="S61" s="254">
        <v>3.5</v>
      </c>
      <c r="T61" s="209">
        <v>0</v>
      </c>
      <c r="U61" s="210">
        <v>7121810</v>
      </c>
      <c r="V61" s="206"/>
      <c r="W61" s="206">
        <v>0</v>
      </c>
      <c r="X61" s="206">
        <v>0</v>
      </c>
      <c r="Y61" s="206">
        <v>0</v>
      </c>
      <c r="Z61" s="206">
        <v>0</v>
      </c>
      <c r="AA61" s="206">
        <v>0</v>
      </c>
      <c r="AB61" s="206">
        <v>0</v>
      </c>
      <c r="AC61" s="210">
        <v>7121810</v>
      </c>
      <c r="AD61" s="206">
        <v>0</v>
      </c>
      <c r="AE61" s="206">
        <v>0</v>
      </c>
      <c r="AF61" s="206">
        <v>0</v>
      </c>
      <c r="AG61" s="206">
        <v>0</v>
      </c>
      <c r="AH61" s="211">
        <v>0</v>
      </c>
      <c r="AI61" s="206">
        <v>0</v>
      </c>
      <c r="AJ61" s="206">
        <v>0</v>
      </c>
      <c r="AK61" s="212">
        <v>0</v>
      </c>
      <c r="AL61" s="213"/>
      <c r="AM61" s="206">
        <v>9187472.4299999997</v>
      </c>
      <c r="AN61" s="207"/>
      <c r="AO61" s="213"/>
      <c r="AP61" s="206">
        <v>7121810</v>
      </c>
      <c r="AQ61" s="214"/>
      <c r="AR61" s="206"/>
      <c r="AS61" s="206"/>
      <c r="AT61" s="206">
        <v>0</v>
      </c>
      <c r="AU61" s="206">
        <v>0</v>
      </c>
      <c r="AV61" s="206">
        <v>0</v>
      </c>
      <c r="AW61" s="206">
        <v>0</v>
      </c>
      <c r="AX61" s="206">
        <v>-965662.43</v>
      </c>
      <c r="AY61" s="206">
        <v>0</v>
      </c>
      <c r="AZ61" s="206">
        <v>965662.43</v>
      </c>
      <c r="BA61" s="206">
        <v>0</v>
      </c>
      <c r="BB61" s="206"/>
      <c r="BC61" s="206"/>
      <c r="BD61" s="206"/>
      <c r="BE61" s="206"/>
      <c r="BF61" s="206"/>
      <c r="BG61" s="206"/>
      <c r="BH61" s="206"/>
      <c r="BI61" s="206"/>
      <c r="BJ61" s="206"/>
      <c r="BK61" s="206"/>
      <c r="BL61" s="206"/>
      <c r="BM61" s="206"/>
      <c r="BN61" s="206"/>
      <c r="BO61" s="206"/>
      <c r="BP61" s="206"/>
      <c r="BQ61" s="208"/>
      <c r="BR61" s="207"/>
      <c r="BS61" s="216"/>
      <c r="BT61" s="207"/>
      <c r="BU61" s="217"/>
      <c r="BV61" s="207"/>
      <c r="BW61" s="218"/>
      <c r="BX61" s="218"/>
      <c r="BY61" s="206"/>
      <c r="BZ61" s="206"/>
      <c r="CA61" s="206">
        <v>0</v>
      </c>
      <c r="CB61" s="206"/>
      <c r="CC61" s="206"/>
      <c r="CD61" s="206"/>
      <c r="CE61" s="206"/>
      <c r="CF61" s="206"/>
      <c r="CG61" s="206"/>
      <c r="CH61" s="206"/>
      <c r="CI61" s="206"/>
      <c r="CJ61" s="206"/>
      <c r="CK61" s="207"/>
      <c r="CL61" s="207"/>
    </row>
    <row r="62" spans="1:90" outlineLevel="3" x14ac:dyDescent="0.3">
      <c r="A62" s="128" t="s">
        <v>386</v>
      </c>
      <c r="B62" s="128" t="s">
        <v>522</v>
      </c>
      <c r="C62" s="128" t="s">
        <v>361</v>
      </c>
      <c r="D62" s="128" t="s">
        <v>362</v>
      </c>
      <c r="E62" s="128" t="s">
        <v>419</v>
      </c>
      <c r="F62" s="128" t="s">
        <v>388</v>
      </c>
      <c r="G62" s="128" t="s">
        <v>507</v>
      </c>
      <c r="H62" s="128" t="s">
        <v>335</v>
      </c>
      <c r="I62" s="185" t="s">
        <v>335</v>
      </c>
      <c r="J62" s="186">
        <v>11904760</v>
      </c>
      <c r="K62" s="187">
        <v>11904760</v>
      </c>
      <c r="L62" s="189">
        <v>0</v>
      </c>
      <c r="M62" s="189">
        <v>0</v>
      </c>
      <c r="N62" s="189">
        <v>1</v>
      </c>
      <c r="O62" s="188">
        <v>0.85050013608002173</v>
      </c>
      <c r="P62" s="189">
        <v>0.85050013608002173</v>
      </c>
      <c r="Q62" s="189">
        <v>0</v>
      </c>
      <c r="R62" s="191" t="s">
        <v>543</v>
      </c>
      <c r="S62" s="252">
        <v>0.75</v>
      </c>
      <c r="T62" s="191" t="s">
        <v>545</v>
      </c>
      <c r="U62" s="192">
        <v>10125000</v>
      </c>
      <c r="V62" s="188" t="s">
        <v>304</v>
      </c>
      <c r="W62" s="188">
        <v>0</v>
      </c>
      <c r="X62" s="188">
        <v>0</v>
      </c>
      <c r="Y62" s="188">
        <v>0</v>
      </c>
      <c r="Z62" s="188">
        <v>0</v>
      </c>
      <c r="AA62" s="188">
        <v>0</v>
      </c>
      <c r="AB62" s="188">
        <v>0</v>
      </c>
      <c r="AC62" s="192">
        <v>10125000</v>
      </c>
      <c r="AD62" s="188">
        <v>0</v>
      </c>
      <c r="AE62" s="188">
        <v>0</v>
      </c>
      <c r="AF62" s="188">
        <v>0</v>
      </c>
      <c r="AG62" s="188">
        <v>0</v>
      </c>
      <c r="AH62" s="193">
        <v>0</v>
      </c>
      <c r="AI62" s="188">
        <v>0</v>
      </c>
      <c r="AJ62" s="188">
        <v>0</v>
      </c>
      <c r="AK62" s="194">
        <v>0</v>
      </c>
      <c r="AL62" s="195">
        <v>0</v>
      </c>
      <c r="AM62" s="188">
        <v>23513434.5</v>
      </c>
      <c r="AN62" s="195">
        <v>0</v>
      </c>
      <c r="AO62" s="195">
        <v>0</v>
      </c>
      <c r="AP62" s="188">
        <v>10125000</v>
      </c>
      <c r="AQ62" s="196">
        <v>1</v>
      </c>
      <c r="AR62" s="188">
        <v>10125000</v>
      </c>
      <c r="AS62" s="188">
        <v>0.85050013608002173</v>
      </c>
      <c r="AT62" s="188">
        <v>0</v>
      </c>
      <c r="AU62" s="188">
        <v>0</v>
      </c>
      <c r="AV62" s="188">
        <v>0</v>
      </c>
      <c r="AW62" s="188">
        <v>0</v>
      </c>
      <c r="AX62" s="188">
        <v>-13388434.5</v>
      </c>
      <c r="AY62" s="188">
        <v>0</v>
      </c>
      <c r="AZ62" s="188">
        <v>13388434.5</v>
      </c>
      <c r="BA62" s="188">
        <v>0</v>
      </c>
      <c r="BB62" s="188" t="s">
        <v>300</v>
      </c>
      <c r="BC62" s="188" t="s">
        <v>300</v>
      </c>
      <c r="BD62" s="188">
        <v>0</v>
      </c>
      <c r="BE62" s="188">
        <v>0</v>
      </c>
      <c r="BF62" s="188">
        <v>0</v>
      </c>
      <c r="BG62" s="188">
        <v>0</v>
      </c>
      <c r="BH62" s="188">
        <v>-13388434.5</v>
      </c>
      <c r="BI62" s="188">
        <v>0</v>
      </c>
      <c r="BJ62" s="188">
        <v>13388434.5</v>
      </c>
      <c r="BK62" s="188">
        <v>0</v>
      </c>
      <c r="BL62" s="188">
        <v>10125000</v>
      </c>
      <c r="BM62" s="188" t="s">
        <v>305</v>
      </c>
      <c r="BN62" s="188">
        <v>0</v>
      </c>
      <c r="BO62" s="188" t="b">
        <v>0</v>
      </c>
      <c r="BP62" s="188">
        <v>0</v>
      </c>
      <c r="BQ62" s="189">
        <v>7875000</v>
      </c>
      <c r="BR62" s="189">
        <v>3546849</v>
      </c>
      <c r="BS62" s="198">
        <v>79</v>
      </c>
      <c r="BT62" s="189">
        <v>0</v>
      </c>
      <c r="BU62" s="199">
        <v>0</v>
      </c>
      <c r="BV62" s="189">
        <v>170</v>
      </c>
      <c r="BW62" s="200">
        <v>0</v>
      </c>
      <c r="BX62" s="200">
        <v>0</v>
      </c>
      <c r="BY62" s="188">
        <v>0</v>
      </c>
      <c r="BZ62" s="188">
        <v>0</v>
      </c>
      <c r="CA62" s="188">
        <v>0</v>
      </c>
      <c r="CB62" s="188">
        <v>0</v>
      </c>
      <c r="CC62" s="188">
        <v>0</v>
      </c>
      <c r="CD62" s="188">
        <v>0</v>
      </c>
      <c r="CE62" s="188">
        <v>0</v>
      </c>
      <c r="CF62" s="188">
        <v>0</v>
      </c>
      <c r="CG62" s="188">
        <v>0</v>
      </c>
      <c r="CH62" s="188">
        <v>0</v>
      </c>
      <c r="CI62" s="188">
        <v>0</v>
      </c>
      <c r="CJ62" s="188">
        <v>0</v>
      </c>
      <c r="CK62" s="189">
        <v>0</v>
      </c>
      <c r="CL62" s="189">
        <v>0</v>
      </c>
    </row>
    <row r="63" spans="1:90" outlineLevel="3" x14ac:dyDescent="0.3">
      <c r="A63" s="128" t="s">
        <v>386</v>
      </c>
      <c r="B63" s="128" t="s">
        <v>522</v>
      </c>
      <c r="C63" s="128" t="s">
        <v>367</v>
      </c>
      <c r="D63" s="128" t="s">
        <v>368</v>
      </c>
      <c r="E63" s="128" t="s">
        <v>387</v>
      </c>
      <c r="F63" s="128" t="s">
        <v>388</v>
      </c>
      <c r="G63" s="128" t="s">
        <v>483</v>
      </c>
      <c r="H63" s="128" t="s">
        <v>335</v>
      </c>
      <c r="I63" s="185" t="s">
        <v>335</v>
      </c>
      <c r="J63" s="186">
        <v>20344</v>
      </c>
      <c r="K63" s="187">
        <v>20344</v>
      </c>
      <c r="L63" s="189">
        <v>0</v>
      </c>
      <c r="M63" s="189">
        <v>0</v>
      </c>
      <c r="N63" s="189">
        <v>1</v>
      </c>
      <c r="O63" s="188">
        <v>0</v>
      </c>
      <c r="P63" s="189">
        <v>0</v>
      </c>
      <c r="Q63" s="189">
        <v>0</v>
      </c>
      <c r="R63" s="191">
        <v>0</v>
      </c>
      <c r="S63" s="252">
        <v>1</v>
      </c>
      <c r="T63" s="191" t="s">
        <v>541</v>
      </c>
      <c r="U63" s="192">
        <v>0</v>
      </c>
      <c r="V63" s="188" t="s">
        <v>304</v>
      </c>
      <c r="W63" s="188">
        <v>0</v>
      </c>
      <c r="X63" s="188">
        <v>0</v>
      </c>
      <c r="Y63" s="188">
        <v>0</v>
      </c>
      <c r="Z63" s="188">
        <v>0</v>
      </c>
      <c r="AA63" s="188">
        <v>0</v>
      </c>
      <c r="AB63" s="188">
        <v>0</v>
      </c>
      <c r="AC63" s="192">
        <v>0</v>
      </c>
      <c r="AD63" s="188">
        <v>0</v>
      </c>
      <c r="AE63" s="188">
        <v>0</v>
      </c>
      <c r="AF63" s="188">
        <v>0</v>
      </c>
      <c r="AG63" s="188">
        <v>0</v>
      </c>
      <c r="AH63" s="193">
        <v>0</v>
      </c>
      <c r="AI63" s="188">
        <v>0</v>
      </c>
      <c r="AJ63" s="188">
        <v>0</v>
      </c>
      <c r="AK63" s="194">
        <v>0</v>
      </c>
      <c r="AL63" s="195">
        <v>0</v>
      </c>
      <c r="AM63" s="188">
        <v>3486752</v>
      </c>
      <c r="AN63" s="195">
        <v>0</v>
      </c>
      <c r="AO63" s="195">
        <v>0</v>
      </c>
      <c r="AP63" s="188">
        <v>0</v>
      </c>
      <c r="AQ63" s="196">
        <v>1</v>
      </c>
      <c r="AR63" s="188">
        <v>0</v>
      </c>
      <c r="AS63" s="188">
        <v>0</v>
      </c>
      <c r="AT63" s="188">
        <v>0</v>
      </c>
      <c r="AU63" s="188">
        <v>0</v>
      </c>
      <c r="AV63" s="188">
        <v>0</v>
      </c>
      <c r="AW63" s="188">
        <v>0</v>
      </c>
      <c r="AX63" s="188">
        <v>-3486752</v>
      </c>
      <c r="AY63" s="188">
        <v>0</v>
      </c>
      <c r="AZ63" s="188">
        <v>3486752</v>
      </c>
      <c r="BA63" s="188">
        <v>0</v>
      </c>
      <c r="BB63" s="188" t="s">
        <v>300</v>
      </c>
      <c r="BC63" s="188" t="s">
        <v>300</v>
      </c>
      <c r="BD63" s="188">
        <v>0</v>
      </c>
      <c r="BE63" s="188">
        <v>0</v>
      </c>
      <c r="BF63" s="188">
        <v>0</v>
      </c>
      <c r="BG63" s="188">
        <v>0</v>
      </c>
      <c r="BH63" s="188">
        <v>-3486752</v>
      </c>
      <c r="BI63" s="188">
        <v>0</v>
      </c>
      <c r="BJ63" s="188">
        <v>3486752</v>
      </c>
      <c r="BK63" s="188">
        <v>0</v>
      </c>
      <c r="BL63" s="188">
        <v>0</v>
      </c>
      <c r="BM63" s="188" t="s">
        <v>305</v>
      </c>
      <c r="BN63" s="188">
        <v>0</v>
      </c>
      <c r="BO63" s="188" t="b">
        <v>0</v>
      </c>
      <c r="BP63" s="188">
        <v>0</v>
      </c>
      <c r="BQ63" s="189">
        <v>20344</v>
      </c>
      <c r="BR63" s="189">
        <v>0</v>
      </c>
      <c r="BS63" s="198">
        <v>79</v>
      </c>
      <c r="BT63" s="189">
        <v>0</v>
      </c>
      <c r="BU63" s="199">
        <v>0</v>
      </c>
      <c r="BV63" s="189">
        <v>171</v>
      </c>
      <c r="BW63" s="200">
        <v>0</v>
      </c>
      <c r="BX63" s="200">
        <v>0</v>
      </c>
      <c r="BY63" s="188">
        <v>0</v>
      </c>
      <c r="BZ63" s="188">
        <v>0</v>
      </c>
      <c r="CA63" s="188">
        <v>0</v>
      </c>
      <c r="CB63" s="188">
        <v>0</v>
      </c>
      <c r="CC63" s="188">
        <v>0</v>
      </c>
      <c r="CD63" s="188">
        <v>0</v>
      </c>
      <c r="CE63" s="188">
        <v>0</v>
      </c>
      <c r="CF63" s="188">
        <v>0</v>
      </c>
      <c r="CG63" s="188">
        <v>0</v>
      </c>
      <c r="CH63" s="188">
        <v>0</v>
      </c>
      <c r="CI63" s="188">
        <v>0</v>
      </c>
      <c r="CJ63" s="188">
        <v>0</v>
      </c>
      <c r="CK63" s="189">
        <v>0</v>
      </c>
      <c r="CL63" s="189">
        <v>0</v>
      </c>
    </row>
    <row r="64" spans="1:90" outlineLevel="3" x14ac:dyDescent="0.3">
      <c r="A64" s="128" t="s">
        <v>386</v>
      </c>
      <c r="B64" s="128" t="s">
        <v>522</v>
      </c>
      <c r="C64" s="128" t="s">
        <v>367</v>
      </c>
      <c r="D64" s="128" t="s">
        <v>368</v>
      </c>
      <c r="E64" s="128" t="s">
        <v>424</v>
      </c>
      <c r="F64" s="128" t="s">
        <v>388</v>
      </c>
      <c r="G64" s="128" t="s">
        <v>483</v>
      </c>
      <c r="H64" s="128" t="s">
        <v>335</v>
      </c>
      <c r="I64" s="185" t="s">
        <v>335</v>
      </c>
      <c r="J64" s="186">
        <v>1</v>
      </c>
      <c r="K64" s="187">
        <v>1</v>
      </c>
      <c r="L64" s="189">
        <v>0</v>
      </c>
      <c r="M64" s="189">
        <v>0</v>
      </c>
      <c r="N64" s="189">
        <v>1</v>
      </c>
      <c r="O64" s="188">
        <v>0</v>
      </c>
      <c r="P64" s="189">
        <v>0</v>
      </c>
      <c r="Q64" s="189">
        <v>0</v>
      </c>
      <c r="R64" s="191" t="s">
        <v>543</v>
      </c>
      <c r="S64" s="252">
        <v>0.75</v>
      </c>
      <c r="T64" s="191" t="s">
        <v>541</v>
      </c>
      <c r="U64" s="192">
        <v>0</v>
      </c>
      <c r="V64" s="188" t="s">
        <v>304</v>
      </c>
      <c r="W64" s="188">
        <v>0</v>
      </c>
      <c r="X64" s="188">
        <v>0</v>
      </c>
      <c r="Y64" s="188">
        <v>0</v>
      </c>
      <c r="Z64" s="188">
        <v>0</v>
      </c>
      <c r="AA64" s="188">
        <v>0</v>
      </c>
      <c r="AB64" s="188">
        <v>0</v>
      </c>
      <c r="AC64" s="192">
        <v>0</v>
      </c>
      <c r="AD64" s="188">
        <v>0</v>
      </c>
      <c r="AE64" s="188">
        <v>0</v>
      </c>
      <c r="AF64" s="188">
        <v>0</v>
      </c>
      <c r="AG64" s="188">
        <v>0</v>
      </c>
      <c r="AH64" s="193">
        <v>0</v>
      </c>
      <c r="AI64" s="188">
        <v>0</v>
      </c>
      <c r="AJ64" s="188">
        <v>0</v>
      </c>
      <c r="AK64" s="194">
        <v>0</v>
      </c>
      <c r="AL64" s="195">
        <v>0</v>
      </c>
      <c r="AM64" s="188">
        <v>1374750</v>
      </c>
      <c r="AN64" s="195">
        <v>0</v>
      </c>
      <c r="AO64" s="195">
        <v>0</v>
      </c>
      <c r="AP64" s="188">
        <v>0</v>
      </c>
      <c r="AQ64" s="196">
        <v>1</v>
      </c>
      <c r="AR64" s="188">
        <v>0</v>
      </c>
      <c r="AS64" s="188">
        <v>0</v>
      </c>
      <c r="AT64" s="188">
        <v>0</v>
      </c>
      <c r="AU64" s="188">
        <v>0</v>
      </c>
      <c r="AV64" s="188">
        <v>0</v>
      </c>
      <c r="AW64" s="188">
        <v>0</v>
      </c>
      <c r="AX64" s="188">
        <v>-1374750</v>
      </c>
      <c r="AY64" s="188">
        <v>0</v>
      </c>
      <c r="AZ64" s="188">
        <v>1374750</v>
      </c>
      <c r="BA64" s="188">
        <v>0</v>
      </c>
      <c r="BB64" s="188" t="s">
        <v>300</v>
      </c>
      <c r="BC64" s="188" t="s">
        <v>300</v>
      </c>
      <c r="BD64" s="188">
        <v>0</v>
      </c>
      <c r="BE64" s="188">
        <v>0</v>
      </c>
      <c r="BF64" s="188">
        <v>0</v>
      </c>
      <c r="BG64" s="188">
        <v>0</v>
      </c>
      <c r="BH64" s="188">
        <v>-1374750</v>
      </c>
      <c r="BI64" s="188">
        <v>0</v>
      </c>
      <c r="BJ64" s="188">
        <v>1374750</v>
      </c>
      <c r="BK64" s="188">
        <v>0</v>
      </c>
      <c r="BL64" s="188">
        <v>0</v>
      </c>
      <c r="BM64" s="188" t="s">
        <v>313</v>
      </c>
      <c r="BN64" s="188">
        <v>0</v>
      </c>
      <c r="BO64" s="188" t="b">
        <v>0</v>
      </c>
      <c r="BP64" s="188">
        <v>0</v>
      </c>
      <c r="BQ64" s="189">
        <v>0</v>
      </c>
      <c r="BR64" s="189">
        <v>0</v>
      </c>
      <c r="BS64" s="198">
        <v>79</v>
      </c>
      <c r="BT64" s="189">
        <v>0</v>
      </c>
      <c r="BU64" s="199">
        <v>0</v>
      </c>
      <c r="BV64" s="189">
        <v>172</v>
      </c>
      <c r="BW64" s="200">
        <v>0</v>
      </c>
      <c r="BX64" s="200">
        <v>0</v>
      </c>
      <c r="BY64" s="188">
        <v>0</v>
      </c>
      <c r="BZ64" s="188">
        <v>0</v>
      </c>
      <c r="CA64" s="188">
        <v>0</v>
      </c>
      <c r="CB64" s="188">
        <v>0</v>
      </c>
      <c r="CC64" s="188">
        <v>0</v>
      </c>
      <c r="CD64" s="188">
        <v>0</v>
      </c>
      <c r="CE64" s="188">
        <v>0</v>
      </c>
      <c r="CF64" s="188">
        <v>0</v>
      </c>
      <c r="CG64" s="188">
        <v>0</v>
      </c>
      <c r="CH64" s="188">
        <v>0</v>
      </c>
      <c r="CI64" s="188">
        <v>0</v>
      </c>
      <c r="CJ64" s="188">
        <v>0</v>
      </c>
      <c r="CK64" s="189">
        <v>0</v>
      </c>
      <c r="CL64" s="189">
        <v>0</v>
      </c>
    </row>
    <row r="65" spans="1:90" s="219" customFormat="1" ht="20.100000000000001" customHeight="1" outlineLevel="2" x14ac:dyDescent="0.3">
      <c r="A65" s="202" t="s">
        <v>389</v>
      </c>
      <c r="B65" s="202"/>
      <c r="C65" s="202"/>
      <c r="D65" s="202"/>
      <c r="E65" s="202"/>
      <c r="F65" s="202"/>
      <c r="G65" s="202"/>
      <c r="H65" s="202"/>
      <c r="I65" s="203"/>
      <c r="J65" s="204"/>
      <c r="K65" s="205"/>
      <c r="L65" s="207"/>
      <c r="M65" s="207"/>
      <c r="N65" s="207"/>
      <c r="O65" s="206"/>
      <c r="P65" s="207"/>
      <c r="Q65" s="207"/>
      <c r="R65" s="209">
        <v>0</v>
      </c>
      <c r="S65" s="254">
        <v>2.5</v>
      </c>
      <c r="T65" s="209">
        <v>0</v>
      </c>
      <c r="U65" s="210">
        <v>10125000</v>
      </c>
      <c r="V65" s="206"/>
      <c r="W65" s="206">
        <v>0</v>
      </c>
      <c r="X65" s="206">
        <v>0</v>
      </c>
      <c r="Y65" s="206">
        <v>0</v>
      </c>
      <c r="Z65" s="206">
        <v>0</v>
      </c>
      <c r="AA65" s="206">
        <v>0</v>
      </c>
      <c r="AB65" s="206">
        <v>0</v>
      </c>
      <c r="AC65" s="210">
        <v>10125000</v>
      </c>
      <c r="AD65" s="206">
        <v>0</v>
      </c>
      <c r="AE65" s="206">
        <v>0</v>
      </c>
      <c r="AF65" s="206">
        <v>0</v>
      </c>
      <c r="AG65" s="206">
        <v>0</v>
      </c>
      <c r="AH65" s="211">
        <v>0</v>
      </c>
      <c r="AI65" s="206">
        <v>0</v>
      </c>
      <c r="AJ65" s="206">
        <v>0</v>
      </c>
      <c r="AK65" s="212">
        <v>0</v>
      </c>
      <c r="AL65" s="213"/>
      <c r="AM65" s="206">
        <v>28374936.5</v>
      </c>
      <c r="AN65" s="213"/>
      <c r="AO65" s="213"/>
      <c r="AP65" s="206">
        <v>10125000</v>
      </c>
      <c r="AQ65" s="214"/>
      <c r="AR65" s="206"/>
      <c r="AS65" s="206"/>
      <c r="AT65" s="206">
        <v>0</v>
      </c>
      <c r="AU65" s="206">
        <v>0</v>
      </c>
      <c r="AV65" s="206">
        <v>0</v>
      </c>
      <c r="AW65" s="206">
        <v>0</v>
      </c>
      <c r="AX65" s="206">
        <v>-18249936.5</v>
      </c>
      <c r="AY65" s="206">
        <v>0</v>
      </c>
      <c r="AZ65" s="206">
        <v>18249936.5</v>
      </c>
      <c r="BA65" s="206">
        <v>0</v>
      </c>
      <c r="BB65" s="206"/>
      <c r="BC65" s="206"/>
      <c r="BD65" s="206"/>
      <c r="BE65" s="206"/>
      <c r="BF65" s="206"/>
      <c r="BG65" s="206"/>
      <c r="BH65" s="206"/>
      <c r="BI65" s="206"/>
      <c r="BJ65" s="206"/>
      <c r="BK65" s="206"/>
      <c r="BL65" s="206"/>
      <c r="BM65" s="206"/>
      <c r="BN65" s="206"/>
      <c r="BO65" s="206"/>
      <c r="BP65" s="206"/>
      <c r="BQ65" s="207"/>
      <c r="BR65" s="207"/>
      <c r="BS65" s="216"/>
      <c r="BT65" s="207"/>
      <c r="BU65" s="217"/>
      <c r="BV65" s="207"/>
      <c r="BW65" s="218"/>
      <c r="BX65" s="218"/>
      <c r="BY65" s="206"/>
      <c r="BZ65" s="206"/>
      <c r="CA65" s="206">
        <v>0</v>
      </c>
      <c r="CB65" s="206"/>
      <c r="CC65" s="206"/>
      <c r="CD65" s="206"/>
      <c r="CE65" s="206"/>
      <c r="CF65" s="206"/>
      <c r="CG65" s="206"/>
      <c r="CH65" s="206"/>
      <c r="CI65" s="206"/>
      <c r="CJ65" s="206"/>
      <c r="CK65" s="207"/>
      <c r="CL65" s="207"/>
    </row>
    <row r="66" spans="1:90" outlineLevel="3" x14ac:dyDescent="0.3">
      <c r="A66" s="128" t="s">
        <v>390</v>
      </c>
      <c r="B66" s="128" t="s">
        <v>522</v>
      </c>
      <c r="C66" s="128" t="s">
        <v>367</v>
      </c>
      <c r="D66" s="128" t="s">
        <v>368</v>
      </c>
      <c r="E66" s="128" t="s">
        <v>391</v>
      </c>
      <c r="F66" s="128" t="s">
        <v>392</v>
      </c>
      <c r="G66" s="128" t="s">
        <v>483</v>
      </c>
      <c r="H66" s="128" t="s">
        <v>335</v>
      </c>
      <c r="I66" s="185" t="s">
        <v>335</v>
      </c>
      <c r="J66" s="187">
        <v>1.5625009999999998E-7</v>
      </c>
      <c r="K66" s="187">
        <v>1.5625009999999998E-7</v>
      </c>
      <c r="L66" s="189">
        <v>4.9980219510783644E-2</v>
      </c>
      <c r="M66" s="189">
        <v>0</v>
      </c>
      <c r="N66" s="189">
        <v>0.86164668508749775</v>
      </c>
      <c r="O66" s="188">
        <v>2.9409419704735926</v>
      </c>
      <c r="P66" s="189">
        <v>2.9511008271957797</v>
      </c>
      <c r="Q66" s="189">
        <v>-1.0158856722187082E-2</v>
      </c>
      <c r="R66" s="191">
        <v>0</v>
      </c>
      <c r="S66" s="252">
        <v>1</v>
      </c>
      <c r="T66" s="191" t="s">
        <v>541</v>
      </c>
      <c r="U66" s="192">
        <v>4.5952247698069581E-7</v>
      </c>
      <c r="V66" s="188" t="s">
        <v>304</v>
      </c>
      <c r="W66" s="188">
        <v>0</v>
      </c>
      <c r="X66" s="188">
        <v>0</v>
      </c>
      <c r="Y66" s="188">
        <v>0</v>
      </c>
      <c r="Z66" s="188">
        <v>0</v>
      </c>
      <c r="AA66" s="188">
        <v>0</v>
      </c>
      <c r="AB66" s="188">
        <v>0</v>
      </c>
      <c r="AC66" s="192">
        <v>4.6110979935942323E-7</v>
      </c>
      <c r="AD66" s="188">
        <v>-1.5873223787274125E-9</v>
      </c>
      <c r="AE66" s="188">
        <v>0</v>
      </c>
      <c r="AF66" s="188">
        <v>1.5873223787274125E-9</v>
      </c>
      <c r="AG66" s="188">
        <v>0</v>
      </c>
      <c r="AH66" s="193">
        <v>-2.7202007575233845E-8</v>
      </c>
      <c r="AI66" s="188">
        <v>0</v>
      </c>
      <c r="AJ66" s="188">
        <v>2.7202007575233845E-8</v>
      </c>
      <c r="AK66" s="194">
        <v>0</v>
      </c>
      <c r="AL66" s="195">
        <v>0</v>
      </c>
      <c r="AM66" s="188">
        <v>944689.40738186287</v>
      </c>
      <c r="AN66" s="195">
        <v>0</v>
      </c>
      <c r="AO66" s="195">
        <v>4.7637427209149553E-8</v>
      </c>
      <c r="AP66" s="188">
        <v>1711868.3881841477</v>
      </c>
      <c r="AQ66" s="196">
        <v>1</v>
      </c>
      <c r="AR66" s="188">
        <v>8.2125752232849912E-7</v>
      </c>
      <c r="AS66" s="188">
        <v>6.1</v>
      </c>
      <c r="AT66" s="188">
        <v>-1.2508791001272938E-8</v>
      </c>
      <c r="AU66" s="188">
        <v>0</v>
      </c>
      <c r="AV66" s="188">
        <v>1.2508791001272938E-8</v>
      </c>
      <c r="AW66" s="188">
        <v>0</v>
      </c>
      <c r="AX66" s="188">
        <v>-405169.44738140341</v>
      </c>
      <c r="AY66" s="188">
        <v>0</v>
      </c>
      <c r="AZ66" s="188">
        <v>405169.44738140341</v>
      </c>
      <c r="BA66" s="188">
        <v>0</v>
      </c>
      <c r="BB66" s="188">
        <v>4.3</v>
      </c>
      <c r="BC66" s="188">
        <v>4.2</v>
      </c>
      <c r="BD66" s="188">
        <v>-1.0921468622545525E-8</v>
      </c>
      <c r="BE66" s="188">
        <v>0</v>
      </c>
      <c r="BF66" s="188">
        <v>1.0921468622545525E-8</v>
      </c>
      <c r="BG66" s="188">
        <v>0</v>
      </c>
      <c r="BH66" s="188">
        <v>-405169.44738140184</v>
      </c>
      <c r="BI66" s="188">
        <v>0</v>
      </c>
      <c r="BJ66" s="188">
        <v>405169.44738140184</v>
      </c>
      <c r="BK66" s="188">
        <v>0</v>
      </c>
      <c r="BL66" s="188">
        <v>1711868.3881841477</v>
      </c>
      <c r="BM66" s="188" t="s">
        <v>313</v>
      </c>
      <c r="BN66" s="188">
        <v>0</v>
      </c>
      <c r="BO66" s="188" t="b">
        <v>0</v>
      </c>
      <c r="BP66" s="188">
        <v>2.5614685196506433E-8</v>
      </c>
      <c r="BQ66" s="189">
        <v>0</v>
      </c>
      <c r="BR66" s="189">
        <v>0</v>
      </c>
      <c r="BS66" s="198">
        <v>80</v>
      </c>
      <c r="BT66" s="189">
        <v>0</v>
      </c>
      <c r="BU66" s="199">
        <v>1.3463238070959001E-7</v>
      </c>
      <c r="BV66" s="189">
        <v>174</v>
      </c>
      <c r="BW66" s="200">
        <v>4.3</v>
      </c>
      <c r="BX66" s="200">
        <v>4.3</v>
      </c>
      <c r="BY66" s="188">
        <v>0</v>
      </c>
      <c r="BZ66" s="188">
        <v>0</v>
      </c>
      <c r="CA66" s="188">
        <v>0</v>
      </c>
      <c r="CB66" s="188">
        <v>-539519.96</v>
      </c>
      <c r="CC66" s="188">
        <v>0</v>
      </c>
      <c r="CD66" s="188">
        <v>0</v>
      </c>
      <c r="CE66" s="188">
        <v>0</v>
      </c>
      <c r="CF66" s="188">
        <v>0</v>
      </c>
      <c r="CG66" s="188">
        <v>-2.5614685196506433E-8</v>
      </c>
      <c r="CH66" s="188">
        <v>0</v>
      </c>
      <c r="CI66" s="188">
        <v>2.5614685196506433E-8</v>
      </c>
      <c r="CJ66" s="188">
        <v>0</v>
      </c>
      <c r="CK66" s="189">
        <v>0</v>
      </c>
      <c r="CL66" s="189">
        <v>0</v>
      </c>
    </row>
    <row r="67" spans="1:90" outlineLevel="3" x14ac:dyDescent="0.3">
      <c r="A67" s="128" t="s">
        <v>390</v>
      </c>
      <c r="B67" s="128" t="s">
        <v>522</v>
      </c>
      <c r="C67" s="128" t="s">
        <v>367</v>
      </c>
      <c r="D67" s="128" t="s">
        <v>368</v>
      </c>
      <c r="E67" s="128" t="s">
        <v>393</v>
      </c>
      <c r="F67" s="128" t="s">
        <v>333</v>
      </c>
      <c r="G67" s="128" t="s">
        <v>483</v>
      </c>
      <c r="H67" s="128" t="s">
        <v>335</v>
      </c>
      <c r="I67" s="185" t="s">
        <v>335</v>
      </c>
      <c r="J67" s="187">
        <v>7.8000000000000005E-15</v>
      </c>
      <c r="K67" s="187">
        <v>7.8000000000000005E-15</v>
      </c>
      <c r="L67" s="189">
        <v>3.3781327421952452E-2</v>
      </c>
      <c r="M67" s="189">
        <v>0.5</v>
      </c>
      <c r="N67" s="189">
        <v>0.28045569326120739</v>
      </c>
      <c r="O67" s="188">
        <v>1.3036963389685119</v>
      </c>
      <c r="P67" s="189">
        <v>1.3101495982820808</v>
      </c>
      <c r="Q67" s="189">
        <v>-6.453259313568882E-3</v>
      </c>
      <c r="R67" s="191" t="s">
        <v>542</v>
      </c>
      <c r="S67" s="252">
        <v>0.6</v>
      </c>
      <c r="T67" s="191" t="s">
        <v>541</v>
      </c>
      <c r="U67" s="192">
        <v>1.0168831443954394E-14</v>
      </c>
      <c r="V67" s="188" t="s">
        <v>304</v>
      </c>
      <c r="W67" s="188">
        <v>1.7773879560429022E-14</v>
      </c>
      <c r="X67" s="188">
        <v>0</v>
      </c>
      <c r="Y67" s="188">
        <v>1.7773879560429022E-14</v>
      </c>
      <c r="Z67" s="188">
        <v>0</v>
      </c>
      <c r="AA67" s="188">
        <v>0</v>
      </c>
      <c r="AB67" s="188">
        <v>0</v>
      </c>
      <c r="AC67" s="192">
        <v>1.021916686660023E-14</v>
      </c>
      <c r="AD67" s="188">
        <v>-5.0335422645836303E-17</v>
      </c>
      <c r="AE67" s="188">
        <v>0</v>
      </c>
      <c r="AF67" s="188">
        <v>5.0335422645836303E-17</v>
      </c>
      <c r="AG67" s="188">
        <v>0</v>
      </c>
      <c r="AH67" s="193">
        <v>-2.6508227499537225E-15</v>
      </c>
      <c r="AI67" s="188">
        <v>0</v>
      </c>
      <c r="AJ67" s="188">
        <v>2.6508227499537225E-15</v>
      </c>
      <c r="AK67" s="194">
        <v>0</v>
      </c>
      <c r="AL67" s="195">
        <v>0</v>
      </c>
      <c r="AM67" s="188">
        <v>211764.8630776621</v>
      </c>
      <c r="AN67" s="195">
        <v>0</v>
      </c>
      <c r="AO67" s="195">
        <v>4.2817832507324741E-15</v>
      </c>
      <c r="AP67" s="188">
        <v>140980.7076861134</v>
      </c>
      <c r="AQ67" s="196">
        <v>1</v>
      </c>
      <c r="AR67" s="188">
        <v>3.5547759120858044E-14</v>
      </c>
      <c r="AS67" s="188">
        <v>16.25</v>
      </c>
      <c r="AT67" s="188">
        <v>-1.0035060349049607E-15</v>
      </c>
      <c r="AU67" s="188">
        <v>0</v>
      </c>
      <c r="AV67" s="188">
        <v>1.0035060349049607E-15</v>
      </c>
      <c r="AW67" s="188">
        <v>0</v>
      </c>
      <c r="AX67" s="188">
        <v>-149364.8630776621</v>
      </c>
      <c r="AY67" s="188">
        <v>0</v>
      </c>
      <c r="AZ67" s="188">
        <v>149364.8630776621</v>
      </c>
      <c r="BA67" s="188">
        <v>0</v>
      </c>
      <c r="BB67" s="188">
        <v>13.45</v>
      </c>
      <c r="BC67" s="188">
        <v>13.4</v>
      </c>
      <c r="BD67" s="188">
        <v>-9.5317061225912443E-16</v>
      </c>
      <c r="BE67" s="188">
        <v>0</v>
      </c>
      <c r="BF67" s="188">
        <v>9.5317061225912443E-16</v>
      </c>
      <c r="BG67" s="188">
        <v>0</v>
      </c>
      <c r="BH67" s="188">
        <v>-149364.8630776621</v>
      </c>
      <c r="BI67" s="188">
        <v>0</v>
      </c>
      <c r="BJ67" s="188">
        <v>149364.8630776621</v>
      </c>
      <c r="BK67" s="188">
        <v>0</v>
      </c>
      <c r="BL67" s="188">
        <v>140980.7076861134</v>
      </c>
      <c r="BM67" s="188" t="s">
        <v>313</v>
      </c>
      <c r="BN67" s="188">
        <v>0</v>
      </c>
      <c r="BO67" s="188" t="b">
        <v>0</v>
      </c>
      <c r="BP67" s="188">
        <v>2.6004873273078862E-15</v>
      </c>
      <c r="BQ67" s="189">
        <v>0</v>
      </c>
      <c r="BR67" s="189">
        <v>0</v>
      </c>
      <c r="BS67" s="198">
        <v>80</v>
      </c>
      <c r="BT67" s="189">
        <v>0</v>
      </c>
      <c r="BU67" s="199">
        <v>2.1875544074374179E-15</v>
      </c>
      <c r="BV67" s="189">
        <v>177</v>
      </c>
      <c r="BW67" s="200">
        <v>13.45</v>
      </c>
      <c r="BX67" s="200">
        <v>13.45</v>
      </c>
      <c r="BY67" s="188">
        <v>0</v>
      </c>
      <c r="BZ67" s="188">
        <v>0</v>
      </c>
      <c r="CA67" s="188">
        <v>0</v>
      </c>
      <c r="CB67" s="188">
        <v>-62400</v>
      </c>
      <c r="CC67" s="188">
        <v>0</v>
      </c>
      <c r="CD67" s="188">
        <v>0</v>
      </c>
      <c r="CE67" s="188">
        <v>0</v>
      </c>
      <c r="CF67" s="188">
        <v>0</v>
      </c>
      <c r="CG67" s="188">
        <v>-2.6004873273078862E-15</v>
      </c>
      <c r="CH67" s="188">
        <v>0</v>
      </c>
      <c r="CI67" s="188">
        <v>2.6004873273078862E-15</v>
      </c>
      <c r="CJ67" s="188">
        <v>0</v>
      </c>
      <c r="CK67" s="189">
        <v>0.5</v>
      </c>
      <c r="CL67" s="189">
        <v>0</v>
      </c>
    </row>
    <row r="68" spans="1:90" s="219" customFormat="1" ht="20.100000000000001" customHeight="1" outlineLevel="2" x14ac:dyDescent="0.3">
      <c r="A68" s="202" t="s">
        <v>394</v>
      </c>
      <c r="B68" s="202"/>
      <c r="C68" s="202"/>
      <c r="D68" s="202"/>
      <c r="E68" s="202"/>
      <c r="F68" s="202"/>
      <c r="G68" s="202"/>
      <c r="H68" s="202"/>
      <c r="I68" s="203"/>
      <c r="J68" s="205"/>
      <c r="K68" s="205"/>
      <c r="L68" s="207"/>
      <c r="M68" s="207"/>
      <c r="N68" s="207"/>
      <c r="O68" s="206"/>
      <c r="P68" s="207"/>
      <c r="Q68" s="207"/>
      <c r="R68" s="209">
        <v>0</v>
      </c>
      <c r="S68" s="254">
        <v>1.6</v>
      </c>
      <c r="T68" s="209">
        <v>0</v>
      </c>
      <c r="U68" s="210">
        <v>4.5952248714952725E-7</v>
      </c>
      <c r="V68" s="206"/>
      <c r="W68" s="206">
        <v>1.7773879560429022E-14</v>
      </c>
      <c r="X68" s="206">
        <v>0</v>
      </c>
      <c r="Y68" s="206">
        <v>1.7773879560429022E-14</v>
      </c>
      <c r="Z68" s="206">
        <v>0</v>
      </c>
      <c r="AA68" s="206">
        <v>0</v>
      </c>
      <c r="AB68" s="206">
        <v>0</v>
      </c>
      <c r="AC68" s="210">
        <v>4.6110980957859007E-7</v>
      </c>
      <c r="AD68" s="206">
        <v>-1.5873224290628351E-9</v>
      </c>
      <c r="AE68" s="206">
        <v>0</v>
      </c>
      <c r="AF68" s="206">
        <v>1.5873224290628351E-9</v>
      </c>
      <c r="AG68" s="206">
        <v>0</v>
      </c>
      <c r="AH68" s="211">
        <v>-2.7202010226056594E-8</v>
      </c>
      <c r="AI68" s="206">
        <v>0</v>
      </c>
      <c r="AJ68" s="206">
        <v>2.7202010226056594E-8</v>
      </c>
      <c r="AK68" s="212">
        <v>0</v>
      </c>
      <c r="AL68" s="213"/>
      <c r="AM68" s="206">
        <v>1156454.2704595251</v>
      </c>
      <c r="AN68" s="213"/>
      <c r="AO68" s="213"/>
      <c r="AP68" s="206">
        <v>1852849.0958702611</v>
      </c>
      <c r="AQ68" s="214"/>
      <c r="AR68" s="206"/>
      <c r="AS68" s="206"/>
      <c r="AT68" s="206">
        <v>-1.2508792004778973E-8</v>
      </c>
      <c r="AU68" s="206">
        <v>0</v>
      </c>
      <c r="AV68" s="206">
        <v>1.2508792004778973E-8</v>
      </c>
      <c r="AW68" s="206">
        <v>0</v>
      </c>
      <c r="AX68" s="206">
        <v>-554534.31045906548</v>
      </c>
      <c r="AY68" s="206">
        <v>0</v>
      </c>
      <c r="AZ68" s="206">
        <v>554534.31045906548</v>
      </c>
      <c r="BA68" s="206">
        <v>0</v>
      </c>
      <c r="BB68" s="206"/>
      <c r="BC68" s="206"/>
      <c r="BD68" s="206"/>
      <c r="BE68" s="206"/>
      <c r="BF68" s="206"/>
      <c r="BG68" s="206"/>
      <c r="BH68" s="206"/>
      <c r="BI68" s="206"/>
      <c r="BJ68" s="206"/>
      <c r="BK68" s="206"/>
      <c r="BL68" s="206"/>
      <c r="BM68" s="206"/>
      <c r="BN68" s="206"/>
      <c r="BO68" s="206"/>
      <c r="BP68" s="206"/>
      <c r="BQ68" s="207"/>
      <c r="BR68" s="207"/>
      <c r="BS68" s="216"/>
      <c r="BT68" s="207"/>
      <c r="BU68" s="217"/>
      <c r="BV68" s="207"/>
      <c r="BW68" s="218"/>
      <c r="BX68" s="218"/>
      <c r="BY68" s="206"/>
      <c r="BZ68" s="206"/>
      <c r="CA68" s="206">
        <v>0</v>
      </c>
      <c r="CB68" s="206"/>
      <c r="CC68" s="206"/>
      <c r="CD68" s="206"/>
      <c r="CE68" s="206"/>
      <c r="CF68" s="206"/>
      <c r="CG68" s="206"/>
      <c r="CH68" s="206"/>
      <c r="CI68" s="206"/>
      <c r="CJ68" s="206"/>
      <c r="CK68" s="207"/>
      <c r="CL68" s="207"/>
    </row>
    <row r="69" spans="1:90" outlineLevel="3" x14ac:dyDescent="0.3">
      <c r="A69" s="128" t="s">
        <v>509</v>
      </c>
      <c r="B69" s="128" t="s">
        <v>522</v>
      </c>
      <c r="C69" s="128" t="s">
        <v>536</v>
      </c>
      <c r="D69" s="128" t="s">
        <v>537</v>
      </c>
      <c r="E69" s="128" t="s">
        <v>515</v>
      </c>
      <c r="F69" s="128" t="s">
        <v>300</v>
      </c>
      <c r="G69" s="235" t="s">
        <v>334</v>
      </c>
      <c r="H69" s="235" t="s">
        <v>374</v>
      </c>
      <c r="I69" s="185" t="s">
        <v>303</v>
      </c>
      <c r="J69" s="187">
        <v>1</v>
      </c>
      <c r="K69" s="187">
        <v>1</v>
      </c>
      <c r="L69" s="189">
        <v>0</v>
      </c>
      <c r="M69" s="189">
        <v>0.6</v>
      </c>
      <c r="N69" s="189">
        <v>1</v>
      </c>
      <c r="O69" s="188">
        <v>0</v>
      </c>
      <c r="P69" s="190">
        <v>0</v>
      </c>
      <c r="Q69" s="190">
        <v>0</v>
      </c>
      <c r="R69" s="191">
        <v>0</v>
      </c>
      <c r="S69" s="252">
        <v>1</v>
      </c>
      <c r="T69" s="191" t="s">
        <v>541</v>
      </c>
      <c r="U69" s="192">
        <v>0</v>
      </c>
      <c r="V69" s="188" t="s">
        <v>410</v>
      </c>
      <c r="W69" s="188">
        <v>0</v>
      </c>
      <c r="X69" s="188">
        <v>0</v>
      </c>
      <c r="Y69" s="188">
        <v>0</v>
      </c>
      <c r="Z69" s="188">
        <v>0</v>
      </c>
      <c r="AA69" s="188">
        <v>0</v>
      </c>
      <c r="AB69" s="188">
        <v>0</v>
      </c>
      <c r="AC69" s="192">
        <v>0</v>
      </c>
      <c r="AD69" s="188">
        <v>0</v>
      </c>
      <c r="AE69" s="188">
        <v>0</v>
      </c>
      <c r="AF69" s="188">
        <v>0</v>
      </c>
      <c r="AG69" s="188">
        <v>0</v>
      </c>
      <c r="AH69" s="193">
        <v>0</v>
      </c>
      <c r="AI69" s="188">
        <v>0</v>
      </c>
      <c r="AJ69" s="188">
        <v>0</v>
      </c>
      <c r="AK69" s="194">
        <v>0</v>
      </c>
      <c r="AL69" s="195">
        <v>0</v>
      </c>
      <c r="AM69" s="188">
        <v>0</v>
      </c>
      <c r="AN69" s="195">
        <v>0</v>
      </c>
      <c r="AO69" s="189">
        <v>0</v>
      </c>
      <c r="AP69" s="188">
        <v>0</v>
      </c>
      <c r="AQ69" s="196">
        <v>1</v>
      </c>
      <c r="AR69" s="188">
        <v>0</v>
      </c>
      <c r="AS69" s="188">
        <v>0</v>
      </c>
      <c r="AT69" s="188">
        <v>0</v>
      </c>
      <c r="AU69" s="188">
        <v>0</v>
      </c>
      <c r="AV69" s="188">
        <v>0</v>
      </c>
      <c r="AW69" s="188">
        <v>0</v>
      </c>
      <c r="AX69" s="188">
        <v>-5408696.79</v>
      </c>
      <c r="AY69" s="188">
        <v>0</v>
      </c>
      <c r="AZ69" s="188">
        <v>5408696.79</v>
      </c>
      <c r="BA69" s="188">
        <v>0</v>
      </c>
      <c r="BB69" s="188" t="s">
        <v>300</v>
      </c>
      <c r="BC69" s="188" t="s">
        <v>300</v>
      </c>
      <c r="BD69" s="188">
        <v>0</v>
      </c>
      <c r="BE69" s="188">
        <v>0</v>
      </c>
      <c r="BF69" s="188">
        <v>0</v>
      </c>
      <c r="BG69" s="188">
        <v>0</v>
      </c>
      <c r="BH69" s="188">
        <v>-5408696.79</v>
      </c>
      <c r="BI69" s="188">
        <v>0</v>
      </c>
      <c r="BJ69" s="188">
        <v>5408696.79</v>
      </c>
      <c r="BK69" s="188">
        <v>0</v>
      </c>
      <c r="BL69" s="200">
        <v>0</v>
      </c>
      <c r="BM69" s="188" t="s">
        <v>313</v>
      </c>
      <c r="BN69" s="188">
        <v>0</v>
      </c>
      <c r="BO69" s="188" t="b">
        <v>0</v>
      </c>
      <c r="BP69" s="188">
        <v>0</v>
      </c>
      <c r="BQ69" s="190">
        <v>0</v>
      </c>
      <c r="BR69" s="189">
        <v>0</v>
      </c>
      <c r="BS69" s="198">
        <v>89</v>
      </c>
      <c r="BT69" s="189">
        <v>0</v>
      </c>
      <c r="BU69" s="199">
        <v>0</v>
      </c>
      <c r="BV69" s="189">
        <v>140</v>
      </c>
      <c r="BW69" s="200">
        <v>0</v>
      </c>
      <c r="BX69" s="200">
        <v>0</v>
      </c>
      <c r="BY69" s="188">
        <v>0</v>
      </c>
      <c r="BZ69" s="188">
        <v>0</v>
      </c>
      <c r="CA69" s="188">
        <v>0</v>
      </c>
      <c r="CB69" s="188">
        <v>0</v>
      </c>
      <c r="CC69" s="188">
        <v>0</v>
      </c>
      <c r="CD69" s="188">
        <v>0</v>
      </c>
      <c r="CE69" s="188">
        <v>0</v>
      </c>
      <c r="CF69" s="188">
        <v>0</v>
      </c>
      <c r="CG69" s="188">
        <v>0</v>
      </c>
      <c r="CH69" s="188">
        <v>0</v>
      </c>
      <c r="CI69" s="188">
        <v>0</v>
      </c>
      <c r="CJ69" s="188">
        <v>0</v>
      </c>
      <c r="CK69" s="189">
        <v>0.6</v>
      </c>
      <c r="CL69" s="189">
        <v>0</v>
      </c>
    </row>
    <row r="70" spans="1:90" s="219" customFormat="1" ht="20.100000000000001" customHeight="1" outlineLevel="2" x14ac:dyDescent="0.3">
      <c r="A70" s="202" t="s">
        <v>510</v>
      </c>
      <c r="B70" s="202"/>
      <c r="C70" s="202"/>
      <c r="D70" s="202"/>
      <c r="E70" s="202"/>
      <c r="F70" s="202"/>
      <c r="G70" s="236"/>
      <c r="H70" s="236"/>
      <c r="I70" s="203"/>
      <c r="J70" s="205"/>
      <c r="K70" s="205"/>
      <c r="L70" s="207"/>
      <c r="M70" s="207"/>
      <c r="N70" s="207"/>
      <c r="O70" s="206"/>
      <c r="P70" s="208"/>
      <c r="Q70" s="208"/>
      <c r="R70" s="209">
        <v>0</v>
      </c>
      <c r="S70" s="254">
        <v>1</v>
      </c>
      <c r="T70" s="209">
        <v>0</v>
      </c>
      <c r="U70" s="210">
        <v>0</v>
      </c>
      <c r="V70" s="206"/>
      <c r="W70" s="206">
        <v>0</v>
      </c>
      <c r="X70" s="206">
        <v>0</v>
      </c>
      <c r="Y70" s="206">
        <v>0</v>
      </c>
      <c r="Z70" s="206">
        <v>0</v>
      </c>
      <c r="AA70" s="206">
        <v>0</v>
      </c>
      <c r="AB70" s="206">
        <v>0</v>
      </c>
      <c r="AC70" s="210">
        <v>0</v>
      </c>
      <c r="AD70" s="206">
        <v>0</v>
      </c>
      <c r="AE70" s="206">
        <v>0</v>
      </c>
      <c r="AF70" s="206">
        <v>0</v>
      </c>
      <c r="AG70" s="206">
        <v>0</v>
      </c>
      <c r="AH70" s="211">
        <v>0</v>
      </c>
      <c r="AI70" s="206">
        <v>0</v>
      </c>
      <c r="AJ70" s="206">
        <v>0</v>
      </c>
      <c r="AK70" s="212">
        <v>0</v>
      </c>
      <c r="AL70" s="213"/>
      <c r="AM70" s="206">
        <v>0</v>
      </c>
      <c r="AN70" s="213"/>
      <c r="AO70" s="207"/>
      <c r="AP70" s="206">
        <v>0</v>
      </c>
      <c r="AQ70" s="214"/>
      <c r="AR70" s="206"/>
      <c r="AS70" s="206"/>
      <c r="AT70" s="206">
        <v>0</v>
      </c>
      <c r="AU70" s="206">
        <v>0</v>
      </c>
      <c r="AV70" s="206">
        <v>0</v>
      </c>
      <c r="AW70" s="206">
        <v>0</v>
      </c>
      <c r="AX70" s="206">
        <v>-5408696.79</v>
      </c>
      <c r="AY70" s="206">
        <v>0</v>
      </c>
      <c r="AZ70" s="206">
        <v>5408696.79</v>
      </c>
      <c r="BA70" s="206">
        <v>0</v>
      </c>
      <c r="BB70" s="206"/>
      <c r="BC70" s="206"/>
      <c r="BD70" s="206"/>
      <c r="BE70" s="206"/>
      <c r="BF70" s="206"/>
      <c r="BG70" s="206"/>
      <c r="BH70" s="206"/>
      <c r="BI70" s="206"/>
      <c r="BJ70" s="206"/>
      <c r="BK70" s="206"/>
      <c r="BL70" s="218"/>
      <c r="BM70" s="206"/>
      <c r="BN70" s="206"/>
      <c r="BO70" s="206"/>
      <c r="BP70" s="206"/>
      <c r="BQ70" s="208"/>
      <c r="BR70" s="207"/>
      <c r="BS70" s="216"/>
      <c r="BT70" s="207"/>
      <c r="BU70" s="217"/>
      <c r="BV70" s="207"/>
      <c r="BW70" s="218"/>
      <c r="BX70" s="218"/>
      <c r="BY70" s="206"/>
      <c r="BZ70" s="206"/>
      <c r="CA70" s="206">
        <v>0</v>
      </c>
      <c r="CB70" s="206"/>
      <c r="CC70" s="206"/>
      <c r="CD70" s="206"/>
      <c r="CE70" s="206"/>
      <c r="CF70" s="206"/>
      <c r="CG70" s="206"/>
      <c r="CH70" s="206"/>
      <c r="CI70" s="206"/>
      <c r="CJ70" s="206"/>
      <c r="CK70" s="207"/>
      <c r="CL70" s="207"/>
    </row>
    <row r="71" spans="1:90" outlineLevel="3" x14ac:dyDescent="0.3">
      <c r="A71" s="128" t="s">
        <v>413</v>
      </c>
      <c r="B71" s="128" t="s">
        <v>522</v>
      </c>
      <c r="C71" s="128" t="s">
        <v>536</v>
      </c>
      <c r="D71" s="128" t="s">
        <v>537</v>
      </c>
      <c r="E71" s="128" t="s">
        <v>414</v>
      </c>
      <c r="F71" s="128" t="s">
        <v>360</v>
      </c>
      <c r="G71" s="128" t="s">
        <v>511</v>
      </c>
      <c r="H71" s="128" t="s">
        <v>312</v>
      </c>
      <c r="I71" s="185" t="s">
        <v>303</v>
      </c>
      <c r="J71" s="187">
        <v>4181754</v>
      </c>
      <c r="K71" s="187">
        <v>4181754</v>
      </c>
      <c r="L71" s="189">
        <v>0</v>
      </c>
      <c r="M71" s="189">
        <v>0.62</v>
      </c>
      <c r="N71" s="189">
        <v>1</v>
      </c>
      <c r="O71" s="188">
        <v>20.28</v>
      </c>
      <c r="P71" s="190">
        <v>19.45</v>
      </c>
      <c r="Q71" s="190">
        <v>0.83000000000000185</v>
      </c>
      <c r="R71" s="191" t="s">
        <v>547</v>
      </c>
      <c r="S71" s="252">
        <v>1</v>
      </c>
      <c r="T71" s="191" t="s">
        <v>541</v>
      </c>
      <c r="U71" s="192">
        <v>84805971.120000005</v>
      </c>
      <c r="V71" s="188" t="s">
        <v>410</v>
      </c>
      <c r="W71" s="188">
        <v>52579702.094400004</v>
      </c>
      <c r="X71" s="188">
        <v>0</v>
      </c>
      <c r="Y71" s="188">
        <v>52579702.094400004</v>
      </c>
      <c r="Z71" s="188">
        <v>0</v>
      </c>
      <c r="AA71" s="188">
        <v>0</v>
      </c>
      <c r="AB71" s="188">
        <v>0</v>
      </c>
      <c r="AC71" s="192">
        <v>81335115.299999997</v>
      </c>
      <c r="AD71" s="188">
        <v>0</v>
      </c>
      <c r="AE71" s="188">
        <v>0</v>
      </c>
      <c r="AF71" s="188">
        <v>0</v>
      </c>
      <c r="AG71" s="188">
        <v>0</v>
      </c>
      <c r="AH71" s="193">
        <v>-3.0000008642673492E-2</v>
      </c>
      <c r="AI71" s="188">
        <v>0</v>
      </c>
      <c r="AJ71" s="188">
        <v>3.0000008642673492E-2</v>
      </c>
      <c r="AK71" s="194">
        <v>0</v>
      </c>
      <c r="AL71" s="195">
        <v>0</v>
      </c>
      <c r="AM71" s="188">
        <v>0</v>
      </c>
      <c r="AN71" s="189">
        <v>0</v>
      </c>
      <c r="AO71" s="195">
        <v>0</v>
      </c>
      <c r="AP71" s="188">
        <v>0</v>
      </c>
      <c r="AQ71" s="196">
        <v>1</v>
      </c>
      <c r="AR71" s="188">
        <v>84805971.120000005</v>
      </c>
      <c r="AS71" s="188">
        <v>20.28</v>
      </c>
      <c r="AT71" s="188">
        <v>0</v>
      </c>
      <c r="AU71" s="188">
        <v>0</v>
      </c>
      <c r="AV71" s="188">
        <v>0</v>
      </c>
      <c r="AW71" s="188">
        <v>0</v>
      </c>
      <c r="AX71" s="188">
        <v>-27734708.346000001</v>
      </c>
      <c r="AY71" s="188">
        <v>0</v>
      </c>
      <c r="AZ71" s="188">
        <v>27734708.346000001</v>
      </c>
      <c r="BA71" s="188">
        <v>0</v>
      </c>
      <c r="BB71" s="188">
        <v>20.28</v>
      </c>
      <c r="BC71" s="188">
        <v>19.45</v>
      </c>
      <c r="BD71" s="188">
        <v>0</v>
      </c>
      <c r="BE71" s="188">
        <v>0</v>
      </c>
      <c r="BF71" s="188">
        <v>0</v>
      </c>
      <c r="BG71" s="188">
        <v>0</v>
      </c>
      <c r="BH71" s="188">
        <v>-27734708.346000001</v>
      </c>
      <c r="BI71" s="188">
        <v>0</v>
      </c>
      <c r="BJ71" s="188">
        <v>27734708.346000001</v>
      </c>
      <c r="BK71" s="188">
        <v>0</v>
      </c>
      <c r="BL71" s="188">
        <v>0</v>
      </c>
      <c r="BM71" s="188" t="s">
        <v>313</v>
      </c>
      <c r="BN71" s="188">
        <v>0</v>
      </c>
      <c r="BO71" s="188" t="b">
        <v>0</v>
      </c>
      <c r="BP71" s="188">
        <v>3.0000008642673492E-2</v>
      </c>
      <c r="BQ71" s="190">
        <v>4350556</v>
      </c>
      <c r="BR71" s="189">
        <v>52562917</v>
      </c>
      <c r="BS71" s="198">
        <v>87</v>
      </c>
      <c r="BT71" s="189">
        <v>0</v>
      </c>
      <c r="BU71" s="199">
        <v>4181754</v>
      </c>
      <c r="BV71" s="189">
        <v>15</v>
      </c>
      <c r="BW71" s="200">
        <v>20.28</v>
      </c>
      <c r="BX71" s="200">
        <v>0</v>
      </c>
      <c r="BY71" s="188">
        <v>3470855.82</v>
      </c>
      <c r="BZ71" s="188">
        <v>-20825134.919999994</v>
      </c>
      <c r="CA71" s="188">
        <v>-16979807.028000005</v>
      </c>
      <c r="CB71" s="188">
        <v>62412368.705999993</v>
      </c>
      <c r="CC71" s="188">
        <v>0</v>
      </c>
      <c r="CD71" s="188">
        <v>0</v>
      </c>
      <c r="CE71" s="188">
        <v>0</v>
      </c>
      <c r="CF71" s="188">
        <v>0</v>
      </c>
      <c r="CG71" s="188">
        <v>-3.0000008642673492E-2</v>
      </c>
      <c r="CH71" s="188">
        <v>0</v>
      </c>
      <c r="CI71" s="188">
        <v>3.0000008642673492E-2</v>
      </c>
      <c r="CJ71" s="188">
        <v>0</v>
      </c>
      <c r="CK71" s="189">
        <v>0.62</v>
      </c>
      <c r="CL71" s="189">
        <v>0</v>
      </c>
    </row>
    <row r="72" spans="1:90" outlineLevel="3" x14ac:dyDescent="0.3">
      <c r="A72" s="128" t="s">
        <v>413</v>
      </c>
      <c r="B72" s="128" t="s">
        <v>522</v>
      </c>
      <c r="C72" s="128" t="s">
        <v>536</v>
      </c>
      <c r="D72" s="128" t="s">
        <v>537</v>
      </c>
      <c r="E72" s="128" t="s">
        <v>548</v>
      </c>
      <c r="F72" s="128" t="s">
        <v>360</v>
      </c>
      <c r="G72" s="128" t="s">
        <v>334</v>
      </c>
      <c r="H72" s="128" t="s">
        <v>302</v>
      </c>
      <c r="I72" s="185" t="s">
        <v>303</v>
      </c>
      <c r="J72" s="187">
        <v>-3486700</v>
      </c>
      <c r="K72" s="187">
        <v>-3332400</v>
      </c>
      <c r="L72" s="189">
        <v>0</v>
      </c>
      <c r="M72" s="189">
        <v>0.62</v>
      </c>
      <c r="N72" s="189">
        <v>1</v>
      </c>
      <c r="O72" s="188">
        <v>20.28</v>
      </c>
      <c r="P72" s="190">
        <v>19.45</v>
      </c>
      <c r="Q72" s="190">
        <v>0.83000000000000185</v>
      </c>
      <c r="R72" s="191" t="s">
        <v>547</v>
      </c>
      <c r="S72" s="252">
        <v>1</v>
      </c>
      <c r="T72" s="191" t="s">
        <v>541</v>
      </c>
      <c r="U72" s="192">
        <v>17820980.320000008</v>
      </c>
      <c r="V72" s="188" t="s">
        <v>410</v>
      </c>
      <c r="W72" s="188">
        <v>-43840371.119999997</v>
      </c>
      <c r="X72" s="188">
        <v>0</v>
      </c>
      <c r="Y72" s="188">
        <v>-43840371.119999997</v>
      </c>
      <c r="Z72" s="188">
        <v>0</v>
      </c>
      <c r="AA72" s="188">
        <v>0</v>
      </c>
      <c r="AB72" s="188">
        <v>0</v>
      </c>
      <c r="AC72" s="192">
        <v>20679572.800000008</v>
      </c>
      <c r="AD72" s="188">
        <v>0</v>
      </c>
      <c r="AE72" s="188">
        <v>0</v>
      </c>
      <c r="AF72" s="188">
        <v>0</v>
      </c>
      <c r="AG72" s="188">
        <v>0</v>
      </c>
      <c r="AH72" s="193">
        <v>0</v>
      </c>
      <c r="AI72" s="188">
        <v>0</v>
      </c>
      <c r="AJ72" s="188">
        <v>0</v>
      </c>
      <c r="AK72" s="194">
        <v>0</v>
      </c>
      <c r="AL72" s="195">
        <v>0</v>
      </c>
      <c r="AM72" s="188">
        <v>0</v>
      </c>
      <c r="AN72" s="189">
        <v>0</v>
      </c>
      <c r="AO72" s="195">
        <v>0</v>
      </c>
      <c r="AP72" s="188">
        <v>0</v>
      </c>
      <c r="AQ72" s="196">
        <v>1</v>
      </c>
      <c r="AR72" s="188">
        <v>-70710276</v>
      </c>
      <c r="AS72" s="188">
        <v>20.28</v>
      </c>
      <c r="AT72" s="188">
        <v>0</v>
      </c>
      <c r="AU72" s="188">
        <v>0</v>
      </c>
      <c r="AV72" s="188">
        <v>0</v>
      </c>
      <c r="AW72" s="188">
        <v>0</v>
      </c>
      <c r="AX72" s="188">
        <v>0</v>
      </c>
      <c r="AY72" s="188">
        <v>0</v>
      </c>
      <c r="AZ72" s="188">
        <v>0</v>
      </c>
      <c r="BA72" s="188">
        <v>0</v>
      </c>
      <c r="BB72" s="188">
        <v>20.28</v>
      </c>
      <c r="BC72" s="188">
        <v>19.45</v>
      </c>
      <c r="BD72" s="188">
        <v>0</v>
      </c>
      <c r="BE72" s="188">
        <v>0</v>
      </c>
      <c r="BF72" s="188">
        <v>0</v>
      </c>
      <c r="BG72" s="188">
        <v>0</v>
      </c>
      <c r="BH72" s="188">
        <v>0</v>
      </c>
      <c r="BI72" s="188">
        <v>0</v>
      </c>
      <c r="BJ72" s="188">
        <v>0</v>
      </c>
      <c r="BK72" s="188">
        <v>0</v>
      </c>
      <c r="BL72" s="188">
        <v>0</v>
      </c>
      <c r="BM72" s="188" t="s">
        <v>313</v>
      </c>
      <c r="BN72" s="188">
        <v>0</v>
      </c>
      <c r="BO72" s="188" t="b">
        <v>0</v>
      </c>
      <c r="BP72" s="188">
        <v>0</v>
      </c>
      <c r="BQ72" s="190">
        <v>0</v>
      </c>
      <c r="BR72" s="189">
        <v>0</v>
      </c>
      <c r="BS72" s="198">
        <v>87</v>
      </c>
      <c r="BT72" s="189">
        <v>0</v>
      </c>
      <c r="BU72" s="199">
        <v>-3486700</v>
      </c>
      <c r="BV72" s="189">
        <v>16</v>
      </c>
      <c r="BW72" s="200">
        <v>20.28</v>
      </c>
      <c r="BX72" s="200">
        <v>0</v>
      </c>
      <c r="BY72" s="188">
        <v>-2858592.48</v>
      </c>
      <c r="BZ72" s="188">
        <v>12107323.879999997</v>
      </c>
      <c r="CA72" s="188">
        <v>17820980.320000008</v>
      </c>
      <c r="CB72" s="188">
        <v>17820980.320000008</v>
      </c>
      <c r="CC72" s="188">
        <v>0</v>
      </c>
      <c r="CD72" s="188">
        <v>0</v>
      </c>
      <c r="CE72" s="188">
        <v>0</v>
      </c>
      <c r="CF72" s="188">
        <v>0</v>
      </c>
      <c r="CG72" s="188">
        <v>0</v>
      </c>
      <c r="CH72" s="188">
        <v>0</v>
      </c>
      <c r="CI72" s="188">
        <v>0</v>
      </c>
      <c r="CJ72" s="188">
        <v>0</v>
      </c>
      <c r="CK72" s="189">
        <v>0.62</v>
      </c>
      <c r="CL72" s="189">
        <v>0</v>
      </c>
    </row>
    <row r="73" spans="1:90" s="219" customFormat="1" ht="20.100000000000001" customHeight="1" outlineLevel="2" x14ac:dyDescent="0.3">
      <c r="A73" s="202" t="s">
        <v>415</v>
      </c>
      <c r="B73" s="202"/>
      <c r="C73" s="202"/>
      <c r="D73" s="202"/>
      <c r="E73" s="202"/>
      <c r="F73" s="202"/>
      <c r="G73" s="202"/>
      <c r="H73" s="202"/>
      <c r="I73" s="203"/>
      <c r="J73" s="205"/>
      <c r="K73" s="205"/>
      <c r="L73" s="207"/>
      <c r="M73" s="207"/>
      <c r="N73" s="207"/>
      <c r="O73" s="206"/>
      <c r="P73" s="208"/>
      <c r="Q73" s="208"/>
      <c r="R73" s="209">
        <v>0</v>
      </c>
      <c r="S73" s="254">
        <v>2</v>
      </c>
      <c r="T73" s="209">
        <v>0</v>
      </c>
      <c r="U73" s="210">
        <v>102626951.44000001</v>
      </c>
      <c r="V73" s="206"/>
      <c r="W73" s="206">
        <v>8739330.9744000062</v>
      </c>
      <c r="X73" s="206">
        <v>0</v>
      </c>
      <c r="Y73" s="206">
        <v>8739330.9744000062</v>
      </c>
      <c r="Z73" s="206">
        <v>0</v>
      </c>
      <c r="AA73" s="206">
        <v>0</v>
      </c>
      <c r="AB73" s="206">
        <v>0</v>
      </c>
      <c r="AC73" s="210">
        <v>102014688.10000001</v>
      </c>
      <c r="AD73" s="206">
        <v>0</v>
      </c>
      <c r="AE73" s="206">
        <v>0</v>
      </c>
      <c r="AF73" s="206">
        <v>0</v>
      </c>
      <c r="AG73" s="206">
        <v>0</v>
      </c>
      <c r="AH73" s="211">
        <v>-3.0000008642673492E-2</v>
      </c>
      <c r="AI73" s="206">
        <v>0</v>
      </c>
      <c r="AJ73" s="206">
        <v>3.0000008642673492E-2</v>
      </c>
      <c r="AK73" s="212">
        <v>0</v>
      </c>
      <c r="AL73" s="213"/>
      <c r="AM73" s="206">
        <v>0</v>
      </c>
      <c r="AN73" s="207"/>
      <c r="AO73" s="213"/>
      <c r="AP73" s="206">
        <v>0</v>
      </c>
      <c r="AQ73" s="214"/>
      <c r="AR73" s="206"/>
      <c r="AS73" s="206"/>
      <c r="AT73" s="206">
        <v>0</v>
      </c>
      <c r="AU73" s="206">
        <v>0</v>
      </c>
      <c r="AV73" s="206">
        <v>0</v>
      </c>
      <c r="AW73" s="206">
        <v>0</v>
      </c>
      <c r="AX73" s="206">
        <v>-27734708.346000001</v>
      </c>
      <c r="AY73" s="206">
        <v>0</v>
      </c>
      <c r="AZ73" s="206">
        <v>27734708.346000001</v>
      </c>
      <c r="BA73" s="206">
        <v>0</v>
      </c>
      <c r="BB73" s="206"/>
      <c r="BC73" s="206"/>
      <c r="BD73" s="206"/>
      <c r="BE73" s="206"/>
      <c r="BF73" s="206"/>
      <c r="BG73" s="206"/>
      <c r="BH73" s="206"/>
      <c r="BI73" s="206"/>
      <c r="BJ73" s="206"/>
      <c r="BK73" s="206"/>
      <c r="BL73" s="206"/>
      <c r="BM73" s="206"/>
      <c r="BN73" s="206"/>
      <c r="BO73" s="206"/>
      <c r="BP73" s="206"/>
      <c r="BQ73" s="208"/>
      <c r="BR73" s="207"/>
      <c r="BS73" s="216"/>
      <c r="BT73" s="207"/>
      <c r="BU73" s="217"/>
      <c r="BV73" s="207"/>
      <c r="BW73" s="218"/>
      <c r="BX73" s="218"/>
      <c r="BY73" s="206"/>
      <c r="BZ73" s="206"/>
      <c r="CA73" s="206">
        <v>841173.29200000316</v>
      </c>
      <c r="CB73" s="206"/>
      <c r="CC73" s="206"/>
      <c r="CD73" s="206"/>
      <c r="CE73" s="206"/>
      <c r="CF73" s="206"/>
      <c r="CG73" s="206"/>
      <c r="CH73" s="206"/>
      <c r="CI73" s="206"/>
      <c r="CJ73" s="206"/>
      <c r="CK73" s="207"/>
      <c r="CL73" s="207"/>
    </row>
    <row r="74" spans="1:90" s="234" customFormat="1" ht="30" customHeight="1" outlineLevel="1" x14ac:dyDescent="0.3">
      <c r="A74" s="202"/>
      <c r="B74" s="202" t="s">
        <v>523</v>
      </c>
      <c r="C74" s="202"/>
      <c r="D74" s="202"/>
      <c r="E74" s="202"/>
      <c r="F74" s="202"/>
      <c r="G74" s="202"/>
      <c r="H74" s="202"/>
      <c r="I74" s="203"/>
      <c r="J74" s="220"/>
      <c r="K74" s="220"/>
      <c r="L74" s="222"/>
      <c r="M74" s="222"/>
      <c r="N74" s="222"/>
      <c r="O74" s="221"/>
      <c r="P74" s="223"/>
      <c r="Q74" s="223"/>
      <c r="R74" s="224">
        <v>0</v>
      </c>
      <c r="S74" s="255">
        <v>22.074999999999999</v>
      </c>
      <c r="T74" s="224">
        <v>0</v>
      </c>
      <c r="U74" s="225">
        <v>180497609.99000049</v>
      </c>
      <c r="V74" s="221"/>
      <c r="W74" s="221">
        <v>9050344.0668000057</v>
      </c>
      <c r="X74" s="221">
        <v>0</v>
      </c>
      <c r="Y74" s="221">
        <v>9050344.0668000057</v>
      </c>
      <c r="Z74" s="221">
        <v>0</v>
      </c>
      <c r="AA74" s="221">
        <v>0</v>
      </c>
      <c r="AB74" s="221">
        <v>0</v>
      </c>
      <c r="AC74" s="225">
        <v>179254188.82000047</v>
      </c>
      <c r="AD74" s="221">
        <v>631157.82999999844</v>
      </c>
      <c r="AE74" s="221">
        <v>0</v>
      </c>
      <c r="AF74" s="221">
        <v>-631157.82999999844</v>
      </c>
      <c r="AG74" s="221">
        <v>0</v>
      </c>
      <c r="AH74" s="226">
        <v>-18593832.750000041</v>
      </c>
      <c r="AI74" s="221">
        <v>0</v>
      </c>
      <c r="AJ74" s="221">
        <v>18593832.750000041</v>
      </c>
      <c r="AK74" s="227">
        <v>0</v>
      </c>
      <c r="AL74" s="228"/>
      <c r="AM74" s="221">
        <v>278542742.01192141</v>
      </c>
      <c r="AN74" s="222"/>
      <c r="AO74" s="228"/>
      <c r="AP74" s="221">
        <v>69067975.93437025</v>
      </c>
      <c r="AQ74" s="229"/>
      <c r="AR74" s="221"/>
      <c r="AS74" s="221"/>
      <c r="AT74" s="221">
        <v>-129108.97000001249</v>
      </c>
      <c r="AU74" s="221">
        <v>0</v>
      </c>
      <c r="AV74" s="221">
        <v>129108.97000001249</v>
      </c>
      <c r="AW74" s="221">
        <v>0</v>
      </c>
      <c r="AX74" s="221">
        <v>-234085752.13792092</v>
      </c>
      <c r="AY74" s="221">
        <v>0</v>
      </c>
      <c r="AZ74" s="221">
        <v>234085752.13792092</v>
      </c>
      <c r="BA74" s="221">
        <v>0</v>
      </c>
      <c r="BB74" s="221"/>
      <c r="BC74" s="221"/>
      <c r="BD74" s="221"/>
      <c r="BE74" s="221"/>
      <c r="BF74" s="221"/>
      <c r="BG74" s="221"/>
      <c r="BH74" s="221"/>
      <c r="BI74" s="221"/>
      <c r="BJ74" s="221"/>
      <c r="BK74" s="221"/>
      <c r="BL74" s="221"/>
      <c r="BM74" s="221"/>
      <c r="BN74" s="221"/>
      <c r="BO74" s="221"/>
      <c r="BP74" s="221"/>
      <c r="BQ74" s="223"/>
      <c r="BR74" s="222"/>
      <c r="BS74" s="231"/>
      <c r="BT74" s="222"/>
      <c r="BU74" s="232"/>
      <c r="BV74" s="222"/>
      <c r="BW74" s="233"/>
      <c r="BX74" s="233"/>
      <c r="BY74" s="221"/>
      <c r="BZ74" s="221"/>
      <c r="CA74" s="221">
        <v>968903.65200000256</v>
      </c>
      <c r="CB74" s="221"/>
      <c r="CC74" s="221"/>
      <c r="CD74" s="221"/>
      <c r="CE74" s="221"/>
      <c r="CF74" s="221"/>
      <c r="CG74" s="221"/>
      <c r="CH74" s="221"/>
      <c r="CI74" s="221"/>
      <c r="CJ74" s="221"/>
      <c r="CK74" s="222"/>
      <c r="CL74" s="222"/>
    </row>
    <row r="75" spans="1:90" outlineLevel="3" x14ac:dyDescent="0.3">
      <c r="A75" s="128" t="s">
        <v>512</v>
      </c>
      <c r="B75" s="128" t="s">
        <v>524</v>
      </c>
      <c r="C75" s="128" t="s">
        <v>536</v>
      </c>
      <c r="D75" s="128" t="s">
        <v>537</v>
      </c>
      <c r="E75" s="128" t="s">
        <v>513</v>
      </c>
      <c r="F75" s="128" t="s">
        <v>300</v>
      </c>
      <c r="G75" s="235" t="s">
        <v>334</v>
      </c>
      <c r="H75" s="235" t="s">
        <v>374</v>
      </c>
      <c r="I75" s="185" t="s">
        <v>303</v>
      </c>
      <c r="J75" s="187">
        <v>1</v>
      </c>
      <c r="K75" s="187">
        <v>1</v>
      </c>
      <c r="L75" s="189">
        <v>0</v>
      </c>
      <c r="M75" s="189">
        <v>0.6</v>
      </c>
      <c r="N75" s="189">
        <v>1</v>
      </c>
      <c r="O75" s="188">
        <v>0</v>
      </c>
      <c r="P75" s="190">
        <v>0</v>
      </c>
      <c r="Q75" s="190">
        <v>0</v>
      </c>
      <c r="R75" s="191">
        <v>0</v>
      </c>
      <c r="S75" s="252">
        <v>1</v>
      </c>
      <c r="T75" s="191" t="s">
        <v>541</v>
      </c>
      <c r="U75" s="192">
        <v>0</v>
      </c>
      <c r="V75" s="188" t="s">
        <v>410</v>
      </c>
      <c r="W75" s="188">
        <v>0</v>
      </c>
      <c r="X75" s="188">
        <v>0</v>
      </c>
      <c r="Y75" s="188">
        <v>0</v>
      </c>
      <c r="Z75" s="188">
        <v>0</v>
      </c>
      <c r="AA75" s="188">
        <v>0</v>
      </c>
      <c r="AB75" s="188">
        <v>0</v>
      </c>
      <c r="AC75" s="192">
        <v>0</v>
      </c>
      <c r="AD75" s="188">
        <v>0</v>
      </c>
      <c r="AE75" s="188">
        <v>0</v>
      </c>
      <c r="AF75" s="188">
        <v>0</v>
      </c>
      <c r="AG75" s="188">
        <v>0</v>
      </c>
      <c r="AH75" s="193">
        <v>0</v>
      </c>
      <c r="AI75" s="188">
        <v>0</v>
      </c>
      <c r="AJ75" s="188">
        <v>0</v>
      </c>
      <c r="AK75" s="194">
        <v>0</v>
      </c>
      <c r="AL75" s="195">
        <v>0</v>
      </c>
      <c r="AM75" s="188">
        <v>0</v>
      </c>
      <c r="AN75" s="195">
        <v>0</v>
      </c>
      <c r="AO75" s="189">
        <v>0</v>
      </c>
      <c r="AP75" s="188">
        <v>0</v>
      </c>
      <c r="AQ75" s="196">
        <v>1</v>
      </c>
      <c r="AR75" s="188">
        <v>0</v>
      </c>
      <c r="AS75" s="188">
        <v>0</v>
      </c>
      <c r="AT75" s="188">
        <v>0</v>
      </c>
      <c r="AU75" s="188">
        <v>0</v>
      </c>
      <c r="AV75" s="188">
        <v>0</v>
      </c>
      <c r="AW75" s="188">
        <v>0</v>
      </c>
      <c r="AX75" s="188">
        <v>-3256034</v>
      </c>
      <c r="AY75" s="188">
        <v>0</v>
      </c>
      <c r="AZ75" s="188">
        <v>3256034</v>
      </c>
      <c r="BA75" s="188">
        <v>0</v>
      </c>
      <c r="BB75" s="188" t="s">
        <v>300</v>
      </c>
      <c r="BC75" s="188" t="s">
        <v>300</v>
      </c>
      <c r="BD75" s="188">
        <v>0</v>
      </c>
      <c r="BE75" s="188">
        <v>0</v>
      </c>
      <c r="BF75" s="188">
        <v>0</v>
      </c>
      <c r="BG75" s="188">
        <v>0</v>
      </c>
      <c r="BH75" s="188">
        <v>-3256034</v>
      </c>
      <c r="BI75" s="188">
        <v>0</v>
      </c>
      <c r="BJ75" s="188">
        <v>3256034</v>
      </c>
      <c r="BK75" s="188">
        <v>0</v>
      </c>
      <c r="BL75" s="200">
        <v>0</v>
      </c>
      <c r="BM75" s="188" t="s">
        <v>313</v>
      </c>
      <c r="BN75" s="188">
        <v>0</v>
      </c>
      <c r="BO75" s="188" t="b">
        <v>0</v>
      </c>
      <c r="BP75" s="188">
        <v>0</v>
      </c>
      <c r="BQ75" s="190">
        <v>0</v>
      </c>
      <c r="BR75" s="189">
        <v>0</v>
      </c>
      <c r="BS75" s="198">
        <v>90</v>
      </c>
      <c r="BT75" s="189">
        <v>0</v>
      </c>
      <c r="BU75" s="199">
        <v>0</v>
      </c>
      <c r="BV75" s="189">
        <v>141</v>
      </c>
      <c r="BW75" s="200">
        <v>0</v>
      </c>
      <c r="BX75" s="200">
        <v>0</v>
      </c>
      <c r="BY75" s="188">
        <v>0</v>
      </c>
      <c r="BZ75" s="188">
        <v>0</v>
      </c>
      <c r="CA75" s="188">
        <v>0</v>
      </c>
      <c r="CB75" s="188">
        <v>0</v>
      </c>
      <c r="CC75" s="188">
        <v>0</v>
      </c>
      <c r="CD75" s="188">
        <v>0</v>
      </c>
      <c r="CE75" s="188">
        <v>0</v>
      </c>
      <c r="CF75" s="188">
        <v>0</v>
      </c>
      <c r="CG75" s="188">
        <v>0</v>
      </c>
      <c r="CH75" s="188">
        <v>0</v>
      </c>
      <c r="CI75" s="188">
        <v>0</v>
      </c>
      <c r="CJ75" s="188">
        <v>0</v>
      </c>
      <c r="CK75" s="189">
        <v>0.6</v>
      </c>
      <c r="CL75" s="189">
        <v>0</v>
      </c>
    </row>
    <row r="76" spans="1:90" s="219" customFormat="1" ht="20.100000000000001" customHeight="1" outlineLevel="2" x14ac:dyDescent="0.3">
      <c r="A76" s="202" t="s">
        <v>514</v>
      </c>
      <c r="B76" s="202"/>
      <c r="C76" s="202"/>
      <c r="D76" s="202"/>
      <c r="E76" s="202"/>
      <c r="F76" s="202"/>
      <c r="G76" s="236"/>
      <c r="H76" s="236"/>
      <c r="I76" s="203"/>
      <c r="J76" s="205"/>
      <c r="K76" s="205"/>
      <c r="L76" s="207"/>
      <c r="M76" s="207"/>
      <c r="N76" s="207"/>
      <c r="O76" s="206"/>
      <c r="P76" s="208"/>
      <c r="Q76" s="208"/>
      <c r="R76" s="209">
        <v>0</v>
      </c>
      <c r="S76" s="254">
        <v>1</v>
      </c>
      <c r="T76" s="209">
        <v>0</v>
      </c>
      <c r="U76" s="210">
        <v>0</v>
      </c>
      <c r="V76" s="206"/>
      <c r="W76" s="206">
        <v>0</v>
      </c>
      <c r="X76" s="206">
        <v>0</v>
      </c>
      <c r="Y76" s="206">
        <v>0</v>
      </c>
      <c r="Z76" s="206">
        <v>0</v>
      </c>
      <c r="AA76" s="206">
        <v>0</v>
      </c>
      <c r="AB76" s="206">
        <v>0</v>
      </c>
      <c r="AC76" s="210">
        <v>0</v>
      </c>
      <c r="AD76" s="206">
        <v>0</v>
      </c>
      <c r="AE76" s="206">
        <v>0</v>
      </c>
      <c r="AF76" s="206">
        <v>0</v>
      </c>
      <c r="AG76" s="206">
        <v>0</v>
      </c>
      <c r="AH76" s="211">
        <v>0</v>
      </c>
      <c r="AI76" s="206">
        <v>0</v>
      </c>
      <c r="AJ76" s="206">
        <v>0</v>
      </c>
      <c r="AK76" s="212">
        <v>0</v>
      </c>
      <c r="AL76" s="213"/>
      <c r="AM76" s="206">
        <v>0</v>
      </c>
      <c r="AN76" s="213"/>
      <c r="AO76" s="207"/>
      <c r="AP76" s="206">
        <v>0</v>
      </c>
      <c r="AQ76" s="214"/>
      <c r="AR76" s="206"/>
      <c r="AS76" s="206"/>
      <c r="AT76" s="206">
        <v>0</v>
      </c>
      <c r="AU76" s="206">
        <v>0</v>
      </c>
      <c r="AV76" s="206">
        <v>0</v>
      </c>
      <c r="AW76" s="206">
        <v>0</v>
      </c>
      <c r="AX76" s="206">
        <v>-3256034</v>
      </c>
      <c r="AY76" s="206">
        <v>0</v>
      </c>
      <c r="AZ76" s="206">
        <v>3256034</v>
      </c>
      <c r="BA76" s="206">
        <v>0</v>
      </c>
      <c r="BB76" s="206"/>
      <c r="BC76" s="206"/>
      <c r="BD76" s="206"/>
      <c r="BE76" s="206"/>
      <c r="BF76" s="206"/>
      <c r="BG76" s="206"/>
      <c r="BH76" s="206"/>
      <c r="BI76" s="206"/>
      <c r="BJ76" s="206"/>
      <c r="BK76" s="206"/>
      <c r="BL76" s="218"/>
      <c r="BM76" s="206"/>
      <c r="BN76" s="206"/>
      <c r="BO76" s="206"/>
      <c r="BP76" s="206"/>
      <c r="BQ76" s="208"/>
      <c r="BR76" s="207"/>
      <c r="BS76" s="216"/>
      <c r="BT76" s="207"/>
      <c r="BU76" s="217"/>
      <c r="BV76" s="207"/>
      <c r="BW76" s="218"/>
      <c r="BX76" s="218"/>
      <c r="BY76" s="206"/>
      <c r="BZ76" s="206"/>
      <c r="CA76" s="206">
        <v>0</v>
      </c>
      <c r="CB76" s="206"/>
      <c r="CC76" s="206"/>
      <c r="CD76" s="206"/>
      <c r="CE76" s="206"/>
      <c r="CF76" s="206"/>
      <c r="CG76" s="206"/>
      <c r="CH76" s="206"/>
      <c r="CI76" s="206"/>
      <c r="CJ76" s="206"/>
      <c r="CK76" s="207"/>
      <c r="CL76" s="207"/>
    </row>
    <row r="77" spans="1:90" s="234" customFormat="1" ht="30" customHeight="1" outlineLevel="1" x14ac:dyDescent="0.3">
      <c r="A77" s="202"/>
      <c r="B77" s="202" t="s">
        <v>525</v>
      </c>
      <c r="C77" s="202"/>
      <c r="D77" s="202"/>
      <c r="E77" s="202"/>
      <c r="F77" s="202"/>
      <c r="G77" s="236"/>
      <c r="H77" s="236"/>
      <c r="I77" s="203"/>
      <c r="J77" s="220"/>
      <c r="K77" s="220"/>
      <c r="L77" s="222"/>
      <c r="M77" s="222"/>
      <c r="N77" s="222"/>
      <c r="O77" s="221"/>
      <c r="P77" s="223"/>
      <c r="Q77" s="223"/>
      <c r="R77" s="224">
        <v>0</v>
      </c>
      <c r="S77" s="255">
        <v>1</v>
      </c>
      <c r="T77" s="224">
        <v>0</v>
      </c>
      <c r="U77" s="225">
        <v>0</v>
      </c>
      <c r="V77" s="221"/>
      <c r="W77" s="221">
        <v>0</v>
      </c>
      <c r="X77" s="221">
        <v>0</v>
      </c>
      <c r="Y77" s="221">
        <v>0</v>
      </c>
      <c r="Z77" s="221">
        <v>0</v>
      </c>
      <c r="AA77" s="221">
        <v>0</v>
      </c>
      <c r="AB77" s="221">
        <v>0</v>
      </c>
      <c r="AC77" s="225">
        <v>0</v>
      </c>
      <c r="AD77" s="221">
        <v>0</v>
      </c>
      <c r="AE77" s="221">
        <v>0</v>
      </c>
      <c r="AF77" s="221">
        <v>0</v>
      </c>
      <c r="AG77" s="221">
        <v>0</v>
      </c>
      <c r="AH77" s="226">
        <v>0</v>
      </c>
      <c r="AI77" s="221">
        <v>0</v>
      </c>
      <c r="AJ77" s="221">
        <v>0</v>
      </c>
      <c r="AK77" s="227">
        <v>0</v>
      </c>
      <c r="AL77" s="228"/>
      <c r="AM77" s="221">
        <v>0</v>
      </c>
      <c r="AN77" s="228"/>
      <c r="AO77" s="222"/>
      <c r="AP77" s="221">
        <v>0</v>
      </c>
      <c r="AQ77" s="229"/>
      <c r="AR77" s="221"/>
      <c r="AS77" s="221"/>
      <c r="AT77" s="221">
        <v>0</v>
      </c>
      <c r="AU77" s="221">
        <v>0</v>
      </c>
      <c r="AV77" s="221">
        <v>0</v>
      </c>
      <c r="AW77" s="221">
        <v>0</v>
      </c>
      <c r="AX77" s="221">
        <v>-3256034</v>
      </c>
      <c r="AY77" s="221">
        <v>0</v>
      </c>
      <c r="AZ77" s="221">
        <v>3256034</v>
      </c>
      <c r="BA77" s="221">
        <v>0</v>
      </c>
      <c r="BB77" s="221"/>
      <c r="BC77" s="221"/>
      <c r="BD77" s="221"/>
      <c r="BE77" s="221"/>
      <c r="BF77" s="221"/>
      <c r="BG77" s="221"/>
      <c r="BH77" s="221"/>
      <c r="BI77" s="221"/>
      <c r="BJ77" s="221"/>
      <c r="BK77" s="221"/>
      <c r="BL77" s="233"/>
      <c r="BM77" s="221"/>
      <c r="BN77" s="221"/>
      <c r="BO77" s="221"/>
      <c r="BP77" s="221"/>
      <c r="BQ77" s="223"/>
      <c r="BR77" s="222"/>
      <c r="BS77" s="231"/>
      <c r="BT77" s="222"/>
      <c r="BU77" s="232"/>
      <c r="BV77" s="222"/>
      <c r="BW77" s="233"/>
      <c r="BX77" s="233"/>
      <c r="BY77" s="221"/>
      <c r="BZ77" s="221"/>
      <c r="CA77" s="221">
        <v>0</v>
      </c>
      <c r="CB77" s="221"/>
      <c r="CC77" s="221"/>
      <c r="CD77" s="221"/>
      <c r="CE77" s="221"/>
      <c r="CF77" s="221"/>
      <c r="CG77" s="221"/>
      <c r="CH77" s="221"/>
      <c r="CI77" s="221"/>
      <c r="CJ77" s="221"/>
      <c r="CK77" s="222"/>
      <c r="CL77" s="222"/>
    </row>
    <row r="78" spans="1:90" s="219" customFormat="1" ht="20.100000000000001" hidden="1" customHeight="1" thickBot="1" x14ac:dyDescent="0.35">
      <c r="A78" s="202" t="s">
        <v>407</v>
      </c>
      <c r="B78" s="202"/>
      <c r="C78" s="202"/>
      <c r="D78" s="202"/>
      <c r="E78" s="202"/>
      <c r="F78" s="202"/>
      <c r="G78" s="236"/>
      <c r="H78" s="236"/>
      <c r="I78" s="203"/>
      <c r="J78" s="205"/>
      <c r="K78" s="205"/>
      <c r="L78" s="207"/>
      <c r="M78" s="207"/>
      <c r="N78" s="207"/>
      <c r="O78" s="206"/>
      <c r="P78" s="208"/>
      <c r="Q78" s="208"/>
      <c r="R78" s="209">
        <v>0</v>
      </c>
      <c r="S78" s="254">
        <v>38.450000000000003</v>
      </c>
      <c r="T78" s="209">
        <v>0</v>
      </c>
      <c r="U78" s="210">
        <v>231354562.55860049</v>
      </c>
      <c r="V78" s="206"/>
      <c r="W78" s="206">
        <v>9050344.0668000057</v>
      </c>
      <c r="X78" s="206">
        <v>0</v>
      </c>
      <c r="Y78" s="206">
        <v>9050344.0668000057</v>
      </c>
      <c r="Z78" s="206">
        <v>0</v>
      </c>
      <c r="AA78" s="206">
        <v>0</v>
      </c>
      <c r="AB78" s="206">
        <v>0</v>
      </c>
      <c r="AC78" s="210">
        <v>229651307.46860048</v>
      </c>
      <c r="AD78" s="206">
        <v>482576.52999999846</v>
      </c>
      <c r="AE78" s="206">
        <v>0</v>
      </c>
      <c r="AF78" s="206">
        <v>-482576.52999999846</v>
      </c>
      <c r="AG78" s="206">
        <v>0</v>
      </c>
      <c r="AH78" s="211">
        <v>-30462105.254760038</v>
      </c>
      <c r="AI78" s="206">
        <v>0</v>
      </c>
      <c r="AJ78" s="206">
        <v>30462105.254760038</v>
      </c>
      <c r="AK78" s="212">
        <v>0</v>
      </c>
      <c r="AL78" s="213"/>
      <c r="AM78" s="206">
        <v>385997193.01694423</v>
      </c>
      <c r="AN78" s="213"/>
      <c r="AO78" s="207"/>
      <c r="AP78" s="206">
        <v>296407083.55542934</v>
      </c>
      <c r="AQ78" s="214"/>
      <c r="AR78" s="206"/>
      <c r="AS78" s="206"/>
      <c r="AT78" s="206">
        <v>-2637416.3500000122</v>
      </c>
      <c r="AU78" s="206">
        <v>0</v>
      </c>
      <c r="AV78" s="206">
        <v>2637416.3500000122</v>
      </c>
      <c r="AW78" s="206">
        <v>0</v>
      </c>
      <c r="AX78" s="206">
        <v>-288604807.9874624</v>
      </c>
      <c r="AY78" s="206">
        <v>0</v>
      </c>
      <c r="AZ78" s="206">
        <v>288604807.9874624</v>
      </c>
      <c r="BA78" s="206">
        <v>0</v>
      </c>
      <c r="BB78" s="206"/>
      <c r="BC78" s="206"/>
      <c r="BD78" s="206"/>
      <c r="BE78" s="206"/>
      <c r="BF78" s="206"/>
      <c r="BG78" s="206"/>
      <c r="BH78" s="206"/>
      <c r="BI78" s="206"/>
      <c r="BJ78" s="206"/>
      <c r="BK78" s="206"/>
      <c r="BL78" s="218"/>
      <c r="BM78" s="206"/>
      <c r="BN78" s="206"/>
      <c r="BO78" s="206"/>
      <c r="BP78" s="206"/>
      <c r="BQ78" s="208"/>
      <c r="BR78" s="207"/>
      <c r="BS78" s="216"/>
      <c r="BT78" s="207"/>
      <c r="BU78" s="217"/>
      <c r="BV78" s="207"/>
      <c r="BW78" s="218"/>
      <c r="BX78" s="218"/>
      <c r="BY78" s="206"/>
      <c r="BZ78" s="206"/>
      <c r="CA78" s="206">
        <v>24094964.288004007</v>
      </c>
      <c r="CB78" s="206"/>
      <c r="CC78" s="206"/>
      <c r="CD78" s="206"/>
      <c r="CE78" s="206"/>
      <c r="CF78" s="206"/>
      <c r="CG78" s="206"/>
      <c r="CH78" s="206"/>
      <c r="CI78" s="206"/>
      <c r="CJ78" s="206"/>
      <c r="CK78" s="207"/>
      <c r="CL78" s="207"/>
    </row>
    <row r="79" spans="1:90" s="234" customFormat="1" ht="30" customHeight="1" thickBot="1" x14ac:dyDescent="0.35">
      <c r="A79" s="237"/>
      <c r="B79" s="237" t="s">
        <v>407</v>
      </c>
      <c r="C79" s="237"/>
      <c r="D79" s="237"/>
      <c r="E79" s="237"/>
      <c r="F79" s="237"/>
      <c r="G79" s="289"/>
      <c r="H79" s="289"/>
      <c r="I79" s="238"/>
      <c r="J79" s="239"/>
      <c r="K79" s="239"/>
      <c r="L79" s="240"/>
      <c r="M79" s="240"/>
      <c r="N79" s="240"/>
      <c r="O79" s="241"/>
      <c r="P79" s="251"/>
      <c r="Q79" s="251"/>
      <c r="R79" s="242">
        <v>0</v>
      </c>
      <c r="S79" s="259">
        <v>38.450000000000003</v>
      </c>
      <c r="T79" s="242">
        <v>0</v>
      </c>
      <c r="U79" s="243">
        <v>231354562.55860049</v>
      </c>
      <c r="V79" s="241"/>
      <c r="W79" s="241">
        <v>9050344.0668000057</v>
      </c>
      <c r="X79" s="241">
        <v>0</v>
      </c>
      <c r="Y79" s="241">
        <v>9050344.0668000057</v>
      </c>
      <c r="Z79" s="241">
        <v>0</v>
      </c>
      <c r="AA79" s="241">
        <v>0</v>
      </c>
      <c r="AB79" s="241">
        <v>0</v>
      </c>
      <c r="AC79" s="243">
        <v>229651307.46860048</v>
      </c>
      <c r="AD79" s="241">
        <v>482576.52999999846</v>
      </c>
      <c r="AE79" s="241">
        <v>0</v>
      </c>
      <c r="AF79" s="241">
        <v>-482576.52999999846</v>
      </c>
      <c r="AG79" s="241">
        <v>0</v>
      </c>
      <c r="AH79" s="244">
        <v>-30462105.254760038</v>
      </c>
      <c r="AI79" s="241">
        <v>0</v>
      </c>
      <c r="AJ79" s="241">
        <v>30462105.254760038</v>
      </c>
      <c r="AK79" s="245">
        <v>0</v>
      </c>
      <c r="AL79" s="246"/>
      <c r="AM79" s="241">
        <v>385997193.01694423</v>
      </c>
      <c r="AN79" s="246"/>
      <c r="AO79" s="240"/>
      <c r="AP79" s="241">
        <v>296407083.55542934</v>
      </c>
      <c r="AQ79" s="247"/>
      <c r="AR79" s="241"/>
      <c r="AS79" s="241"/>
      <c r="AT79" s="241">
        <v>-2637416.3500000122</v>
      </c>
      <c r="AU79" s="241">
        <v>0</v>
      </c>
      <c r="AV79" s="241">
        <v>2637416.3500000122</v>
      </c>
      <c r="AW79" s="241">
        <v>0</v>
      </c>
      <c r="AX79" s="241">
        <v>-288604807.9874624</v>
      </c>
      <c r="AY79" s="241">
        <v>0</v>
      </c>
      <c r="AZ79" s="241">
        <v>288604807.9874624</v>
      </c>
      <c r="BA79" s="241">
        <v>0</v>
      </c>
      <c r="BB79" s="241"/>
      <c r="BC79" s="241"/>
      <c r="BD79" s="241"/>
      <c r="BE79" s="241"/>
      <c r="BF79" s="241"/>
      <c r="BG79" s="241"/>
      <c r="BH79" s="241"/>
      <c r="BI79" s="241"/>
      <c r="BJ79" s="241"/>
      <c r="BK79" s="241"/>
      <c r="BL79" s="250"/>
      <c r="BM79" s="241"/>
      <c r="BN79" s="241"/>
      <c r="BO79" s="241"/>
      <c r="BP79" s="241"/>
      <c r="BQ79" s="251"/>
      <c r="BR79" s="240"/>
      <c r="BS79" s="248"/>
      <c r="BT79" s="240"/>
      <c r="BU79" s="249"/>
      <c r="BV79" s="240"/>
      <c r="BW79" s="250"/>
      <c r="BX79" s="250"/>
      <c r="BY79" s="241"/>
      <c r="BZ79" s="241"/>
      <c r="CA79" s="241">
        <v>24094964.288004007</v>
      </c>
      <c r="CB79" s="241"/>
      <c r="CC79" s="241"/>
      <c r="CD79" s="241"/>
      <c r="CE79" s="241"/>
      <c r="CF79" s="241"/>
      <c r="CG79" s="241"/>
      <c r="CH79" s="241"/>
      <c r="CI79" s="241"/>
      <c r="CJ79" s="241"/>
      <c r="CK79" s="240"/>
      <c r="CL79" s="240"/>
    </row>
  </sheetData>
  <mergeCells count="12">
    <mergeCell ref="R1:T1"/>
    <mergeCell ref="AD1:AK1"/>
    <mergeCell ref="AT1:BA1"/>
    <mergeCell ref="BD1:BK1"/>
    <mergeCell ref="CG1:CJ1"/>
    <mergeCell ref="AD2:AG2"/>
    <mergeCell ref="AH2:AK2"/>
    <mergeCell ref="AT2:AW2"/>
    <mergeCell ref="AX2:BA2"/>
    <mergeCell ref="BD2:BG2"/>
    <mergeCell ref="BH2:BK2"/>
    <mergeCell ref="CG2:CJ2"/>
  </mergeCells>
  <phoneticPr fontId="0" type="noConversion"/>
  <conditionalFormatting sqref="BL12:BL32 AC43 BL40:BL43 AM4:AM43 AP4:AP43 BL47:BL49 AC47:AC49 AP47:AP49 AM47:AM49 AC71:AC74 BL71:BL79 AP71:AP79 AM71:AM79">
    <cfRule type="cellIs" priority="1" stopIfTrue="1" operator="notEqual">
      <formula>"$BM$54"</formula>
    </cfRule>
  </conditionalFormatting>
  <conditionalFormatting sqref="BO4:BO79">
    <cfRule type="cellIs" dxfId="1" priority="2" stopIfTrue="1" operator="notEqual">
      <formula>FALSE</formula>
    </cfRule>
  </conditionalFormatting>
  <conditionalFormatting sqref="BN4:BN79">
    <cfRule type="cellIs" dxfId="0" priority="3" stopIfTrue="1" operator="notEqual">
      <formula>0</formula>
    </cfRule>
  </conditionalFormatting>
  <pageMargins left="0.75" right="0.75" top="1" bottom="1" header="0.5" footer="0.5"/>
  <pageSetup paperSize="5" scale="33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D22"/>
  <sheetViews>
    <sheetView showGridLines="0" workbookViewId="0">
      <pane xSplit="1" ySplit="2" topLeftCell="X3" activePane="bottomRight" state="frozen"/>
      <selection activeCell="B15" sqref="B15"/>
      <selection pane="topRight" activeCell="B15" sqref="B15"/>
      <selection pane="bottomLeft" activeCell="B15" sqref="B15"/>
      <selection pane="bottomRight" activeCell="AC18" sqref="AC18"/>
    </sheetView>
  </sheetViews>
  <sheetFormatPr defaultRowHeight="15.6" x14ac:dyDescent="0.3"/>
  <cols>
    <col min="1" max="1" width="23.09765625" customWidth="1"/>
    <col min="2" max="2" width="7.8984375" style="148" customWidth="1"/>
    <col min="3" max="3" width="10.8984375" style="148" customWidth="1"/>
    <col min="4" max="4" width="6.5" style="76" customWidth="1"/>
    <col min="5" max="5" width="12.09765625" style="4" bestFit="1" customWidth="1"/>
    <col min="6" max="6" width="5.8984375" style="76" customWidth="1"/>
    <col min="7" max="7" width="11.09765625" style="2" bestFit="1" customWidth="1"/>
    <col min="8" max="8" width="15" style="3" customWidth="1"/>
    <col min="9" max="9" width="15.59765625" style="4" bestFit="1" customWidth="1"/>
    <col min="10" max="10" width="10.5" style="4" customWidth="1"/>
    <col min="11" max="11" width="9.8984375" style="4" customWidth="1"/>
    <col min="12" max="12" width="11.19921875" style="4" customWidth="1"/>
    <col min="13" max="13" width="13.59765625" style="4" customWidth="1"/>
    <col min="14" max="14" width="13.09765625" customWidth="1"/>
    <col min="15" max="15" width="7.8984375" style="143" customWidth="1"/>
    <col min="16" max="16" width="14.09765625" customWidth="1"/>
    <col min="17" max="17" width="15.59765625" customWidth="1"/>
    <col min="18" max="18" width="14.5" customWidth="1"/>
    <col min="19" max="19" width="12.59765625" customWidth="1"/>
    <col min="20" max="20" width="13.5" customWidth="1"/>
    <col min="21" max="21" width="13.3984375" customWidth="1"/>
    <col min="22" max="22" width="7.19921875" customWidth="1"/>
    <col min="23" max="23" width="14.59765625" bestFit="1" customWidth="1"/>
    <col min="24" max="24" width="17.59765625" bestFit="1" customWidth="1"/>
    <col min="26" max="27" width="12.69921875" bestFit="1" customWidth="1"/>
    <col min="28" max="28" width="13.09765625" customWidth="1"/>
    <col min="29" max="29" width="15.09765625" customWidth="1"/>
    <col min="30" max="30" width="13.69921875" customWidth="1"/>
  </cols>
  <sheetData>
    <row r="1" spans="1:30" s="78" customFormat="1" x14ac:dyDescent="0.3">
      <c r="A1" s="78" t="s">
        <v>122</v>
      </c>
      <c r="B1" s="146" t="s">
        <v>123</v>
      </c>
      <c r="C1" s="146" t="s">
        <v>124</v>
      </c>
      <c r="D1" s="78" t="s">
        <v>126</v>
      </c>
      <c r="E1" s="80"/>
      <c r="F1" s="78" t="s">
        <v>128</v>
      </c>
      <c r="G1" s="81" t="s">
        <v>129</v>
      </c>
      <c r="H1" s="293" t="s">
        <v>130</v>
      </c>
      <c r="I1" s="294"/>
      <c r="J1" s="295" t="s">
        <v>445</v>
      </c>
      <c r="K1" s="296"/>
      <c r="L1" s="296"/>
      <c r="M1" s="297"/>
      <c r="N1" s="78" t="s">
        <v>131</v>
      </c>
      <c r="O1" s="146"/>
      <c r="P1" s="85" t="s">
        <v>133</v>
      </c>
      <c r="Q1" s="89" t="s">
        <v>134</v>
      </c>
      <c r="R1" s="86" t="s">
        <v>135</v>
      </c>
      <c r="S1" s="291" t="s">
        <v>136</v>
      </c>
      <c r="T1" s="292"/>
      <c r="U1" s="85" t="s">
        <v>136</v>
      </c>
      <c r="V1" s="89"/>
      <c r="W1" s="86"/>
      <c r="Z1" s="291" t="s">
        <v>420</v>
      </c>
      <c r="AA1" s="292"/>
      <c r="AB1" s="291" t="s">
        <v>421</v>
      </c>
      <c r="AC1" s="292"/>
    </row>
    <row r="2" spans="1:30" s="79" customFormat="1" ht="15" customHeight="1" thickBot="1" x14ac:dyDescent="0.35">
      <c r="A2" s="82" t="s">
        <v>137</v>
      </c>
      <c r="B2" s="147" t="s">
        <v>1</v>
      </c>
      <c r="C2" s="147" t="s">
        <v>1</v>
      </c>
      <c r="D2" s="82" t="s">
        <v>125</v>
      </c>
      <c r="E2" s="83" t="s">
        <v>19</v>
      </c>
      <c r="F2" s="82" t="s">
        <v>127</v>
      </c>
      <c r="G2" s="84" t="s">
        <v>45</v>
      </c>
      <c r="H2" s="90" t="s">
        <v>157</v>
      </c>
      <c r="I2" s="141" t="s">
        <v>132</v>
      </c>
      <c r="J2" s="260" t="s">
        <v>1</v>
      </c>
      <c r="K2" s="84" t="s">
        <v>45</v>
      </c>
      <c r="L2" s="268" t="s">
        <v>157</v>
      </c>
      <c r="M2" s="141" t="s">
        <v>132</v>
      </c>
      <c r="N2" s="82" t="s">
        <v>170</v>
      </c>
      <c r="O2" s="147" t="s">
        <v>121</v>
      </c>
      <c r="P2" s="87" t="s">
        <v>138</v>
      </c>
      <c r="Q2" s="82" t="s">
        <v>138</v>
      </c>
      <c r="R2" s="88" t="s">
        <v>138</v>
      </c>
      <c r="S2" s="87" t="s">
        <v>5</v>
      </c>
      <c r="T2" s="88" t="s">
        <v>7</v>
      </c>
      <c r="U2" s="82" t="s">
        <v>170</v>
      </c>
      <c r="V2" s="82" t="s">
        <v>182</v>
      </c>
      <c r="W2" s="88" t="s">
        <v>159</v>
      </c>
      <c r="Z2" s="260" t="s">
        <v>5</v>
      </c>
      <c r="AA2" s="88" t="s">
        <v>7</v>
      </c>
      <c r="AB2" s="260" t="s">
        <v>5</v>
      </c>
      <c r="AC2" s="88" t="s">
        <v>7</v>
      </c>
    </row>
    <row r="3" spans="1:30" x14ac:dyDescent="0.3">
      <c r="A3" s="126" t="s">
        <v>416</v>
      </c>
      <c r="N3" s="2"/>
      <c r="P3" s="4"/>
      <c r="Q3" s="4"/>
      <c r="R3" s="5"/>
      <c r="T3" s="4"/>
      <c r="U3" s="4"/>
      <c r="V3" s="4"/>
      <c r="Z3" s="261"/>
      <c r="AA3" s="79"/>
      <c r="AB3" s="261"/>
      <c r="AC3" s="79"/>
    </row>
    <row r="4" spans="1:30" x14ac:dyDescent="0.3">
      <c r="A4" s="128" t="s">
        <v>194</v>
      </c>
      <c r="N4" s="4"/>
      <c r="P4" s="4"/>
      <c r="Q4" s="4"/>
      <c r="R4" s="5"/>
      <c r="T4" s="4"/>
      <c r="U4" s="4"/>
      <c r="V4" s="136"/>
      <c r="W4" s="129"/>
      <c r="Z4" s="4"/>
      <c r="AA4" s="5"/>
      <c r="AB4" s="4"/>
      <c r="AC4" s="4"/>
    </row>
    <row r="5" spans="1:30" x14ac:dyDescent="0.3">
      <c r="A5" s="128" t="s">
        <v>196</v>
      </c>
      <c r="N5" s="4"/>
      <c r="P5" s="4"/>
      <c r="Q5" s="4"/>
      <c r="R5" s="5"/>
      <c r="T5" s="4"/>
      <c r="U5" s="4"/>
      <c r="V5" s="136"/>
      <c r="W5" s="129"/>
      <c r="Z5" s="4"/>
      <c r="AA5" s="5"/>
      <c r="AB5" s="4"/>
      <c r="AC5" s="4"/>
    </row>
    <row r="6" spans="1:30" x14ac:dyDescent="0.3">
      <c r="A6" s="128" t="s">
        <v>195</v>
      </c>
      <c r="B6" s="148">
        <v>36791</v>
      </c>
      <c r="C6" s="148">
        <v>37801</v>
      </c>
      <c r="D6" s="76" t="s">
        <v>15</v>
      </c>
      <c r="E6" s="4">
        <v>0</v>
      </c>
      <c r="F6" s="76" t="s">
        <v>16</v>
      </c>
      <c r="I6" s="4">
        <f>460000000</f>
        <v>460000000</v>
      </c>
      <c r="J6" s="143">
        <v>36976</v>
      </c>
      <c r="K6" s="269"/>
      <c r="L6" s="3"/>
      <c r="M6" s="4">
        <f>+I6</f>
        <v>460000000</v>
      </c>
      <c r="N6" s="4"/>
      <c r="O6" s="143">
        <f>+Summary!C5</f>
        <v>37161</v>
      </c>
      <c r="P6" s="4">
        <v>0</v>
      </c>
      <c r="Q6" s="4">
        <v>0</v>
      </c>
      <c r="R6" s="5">
        <f>+P6+Q6</f>
        <v>0</v>
      </c>
      <c r="S6">
        <v>0</v>
      </c>
      <c r="T6" s="4">
        <v>0</v>
      </c>
      <c r="U6" s="4"/>
      <c r="V6" s="136"/>
      <c r="W6" s="129"/>
      <c r="Z6" s="4">
        <v>0</v>
      </c>
      <c r="AA6" s="5">
        <v>0</v>
      </c>
      <c r="AB6" s="4">
        <f>+Q6-Z6</f>
        <v>0</v>
      </c>
      <c r="AC6" s="4">
        <f>+R6-AA6</f>
        <v>0</v>
      </c>
    </row>
    <row r="7" spans="1:30" x14ac:dyDescent="0.3">
      <c r="A7" s="128" t="s">
        <v>203</v>
      </c>
      <c r="B7" s="148">
        <v>36888</v>
      </c>
      <c r="C7" s="148">
        <v>37801</v>
      </c>
      <c r="D7" s="76" t="s">
        <v>204</v>
      </c>
      <c r="E7" s="4">
        <v>0</v>
      </c>
      <c r="F7" s="76" t="s">
        <v>205</v>
      </c>
      <c r="G7" s="2">
        <v>92.677999999999997</v>
      </c>
      <c r="Z7" s="4"/>
      <c r="AA7" s="5"/>
      <c r="AB7" s="4"/>
      <c r="AC7" s="4"/>
    </row>
    <row r="8" spans="1:30" x14ac:dyDescent="0.3">
      <c r="A8" s="128"/>
      <c r="B8" s="148">
        <v>36888</v>
      </c>
      <c r="C8" s="148">
        <v>37801</v>
      </c>
      <c r="D8" s="76" t="s">
        <v>204</v>
      </c>
      <c r="F8" s="76" t="s">
        <v>206</v>
      </c>
      <c r="G8" s="2">
        <v>34.875</v>
      </c>
      <c r="Z8" s="4"/>
      <c r="AA8" s="5"/>
      <c r="AB8" s="4"/>
      <c r="AC8" s="4"/>
    </row>
    <row r="9" spans="1:30" x14ac:dyDescent="0.3">
      <c r="A9" s="128"/>
      <c r="B9" s="148">
        <v>36888</v>
      </c>
      <c r="C9" s="148">
        <v>37801</v>
      </c>
      <c r="D9" s="76" t="s">
        <v>15</v>
      </c>
      <c r="F9" s="76" t="s">
        <v>15</v>
      </c>
      <c r="G9" s="2">
        <v>44.875</v>
      </c>
      <c r="N9" s="4"/>
      <c r="P9" s="4"/>
      <c r="Q9" s="4"/>
      <c r="R9" s="5"/>
      <c r="T9" s="4"/>
      <c r="U9" s="4"/>
      <c r="V9" s="136"/>
      <c r="W9" s="129"/>
      <c r="Z9" s="4"/>
      <c r="AA9" s="5"/>
      <c r="AB9" s="4"/>
      <c r="AC9" s="4"/>
      <c r="AD9" s="5"/>
    </row>
    <row r="10" spans="1:30" x14ac:dyDescent="0.3">
      <c r="A10" s="253" t="s">
        <v>418</v>
      </c>
      <c r="D10" s="76" t="s">
        <v>15</v>
      </c>
      <c r="H10" s="3">
        <v>3314340</v>
      </c>
      <c r="I10" s="4">
        <f>+H10*($G$9-$G$8)</f>
        <v>33143400</v>
      </c>
      <c r="J10" s="143">
        <v>36966</v>
      </c>
      <c r="K10" s="269">
        <f>35.15*0.96</f>
        <v>33.744</v>
      </c>
      <c r="L10" s="3">
        <f>1173344*0.6</f>
        <v>704006.4</v>
      </c>
      <c r="M10" s="4">
        <f>+K10*L10</f>
        <v>23755991.961600002</v>
      </c>
      <c r="N10" s="154">
        <f>VLOOKUP(O10,Prices,3)</f>
        <v>20.28</v>
      </c>
      <c r="O10" s="143">
        <f>+Summary!C5</f>
        <v>37161</v>
      </c>
      <c r="P10" s="4">
        <f>IF(N10&gt;$G$7,(+$G$7-$G$9)*(H10-L10),IF(N10&lt;$G$8,(+$G$8-$G$9)*(H10-L10),(+N10-$G$9)*(H10-L10)))</f>
        <v>-26103336</v>
      </c>
      <c r="Q10" s="4">
        <f>(MAX(G8,K10)-G9)*L10</f>
        <v>-7040064</v>
      </c>
      <c r="R10" s="5">
        <f>+P10+Q10</f>
        <v>-33143400</v>
      </c>
      <c r="S10" s="4">
        <f>IF(J10&lt;O10,+Q10,0)</f>
        <v>-7040064</v>
      </c>
      <c r="T10" s="4">
        <f>IF(U10&gt;$G$7,(+$G$7-$G$9)*H10,IF(U10&lt;$G$8,(+$G$8-$G$9)*H10,(+U10-$G$9)*H10))</f>
        <v>-33143400</v>
      </c>
      <c r="U10" s="2">
        <f>+VLOOKUP(+Summary!$E$5,Prices,3)</f>
        <v>19.45</v>
      </c>
      <c r="V10" s="136"/>
      <c r="W10" s="129"/>
      <c r="Z10" s="5">
        <v>-7040064</v>
      </c>
      <c r="AA10" s="5">
        <v>-33143400</v>
      </c>
      <c r="AB10" s="4">
        <f>+Q10-Z10</f>
        <v>0</v>
      </c>
      <c r="AC10" s="4">
        <f>+R10-AA10</f>
        <v>0</v>
      </c>
      <c r="AD10" s="5">
        <f>+AC10-'MPR Raptor'!AH72-'MPR Raptor'!AH71-'MPR Raptor'!AH69</f>
        <v>3.0000008642673492E-2</v>
      </c>
    </row>
    <row r="11" spans="1:30" x14ac:dyDescent="0.3">
      <c r="A11" s="253" t="s">
        <v>444</v>
      </c>
      <c r="D11" s="76" t="s">
        <v>15</v>
      </c>
      <c r="H11" s="3">
        <f>5309572-H10</f>
        <v>1995232</v>
      </c>
      <c r="I11" s="4">
        <f>+H11*($G$9-$G$8)</f>
        <v>19952320</v>
      </c>
      <c r="J11" s="143">
        <v>36966</v>
      </c>
      <c r="K11" s="269">
        <f>+K10</f>
        <v>33.744</v>
      </c>
      <c r="L11" s="3">
        <f>1173344*0.3612</f>
        <v>423811.85280000005</v>
      </c>
      <c r="M11" s="4">
        <f>+K11*L11</f>
        <v>14301107.160883201</v>
      </c>
      <c r="N11" s="154">
        <f>+N10</f>
        <v>20.28</v>
      </c>
      <c r="O11" s="143">
        <f>+O10</f>
        <v>37161</v>
      </c>
      <c r="P11" s="4">
        <f>IF(N11&gt;$G$7,(+$G$7-$G$9)*(H11-L11),IF(N11&lt;$G$8,(+$G$8-$G$9)*(H11-L11),(+N11-$G$9)*(H11-L11)))</f>
        <v>-15714201.471999999</v>
      </c>
      <c r="Q11" s="4">
        <f>(MAX(G8,K11)-G9)*L11</f>
        <v>-4238118.5280000009</v>
      </c>
      <c r="R11" s="5">
        <f>+P11+Q11</f>
        <v>-19952320</v>
      </c>
      <c r="S11" s="4">
        <f>IF(J11&lt;O11,+Q11,0)</f>
        <v>-4238118.5280000009</v>
      </c>
      <c r="T11" s="4">
        <f>IF(U11&gt;$G$7,(+$G$7-$G$9)*H11,IF(U11&lt;$G$8,(+$G$8-$G$9)*H11,(+U11-$G$9)*H11))</f>
        <v>-19952320</v>
      </c>
      <c r="U11" s="2">
        <f>+U10</f>
        <v>19.45</v>
      </c>
      <c r="V11" s="136"/>
      <c r="W11" s="129"/>
      <c r="Z11" s="5">
        <v>-4238118.5280000009</v>
      </c>
      <c r="AA11" s="5">
        <v>-19952320</v>
      </c>
      <c r="AB11" s="4">
        <f>+Q11-Z11</f>
        <v>0</v>
      </c>
      <c r="AC11" s="4">
        <f>+R11-AA11</f>
        <v>0</v>
      </c>
      <c r="AD11" s="5">
        <f>+AC11-'MPR Raptor'!AH35-'MPR Raptor'!AH75</f>
        <v>0.10475999489426613</v>
      </c>
    </row>
    <row r="12" spans="1:30" x14ac:dyDescent="0.3">
      <c r="A12" t="s">
        <v>191</v>
      </c>
    </row>
    <row r="13" spans="1:30" ht="16.2" thickBot="1" x14ac:dyDescent="0.35">
      <c r="B13" s="149" t="s">
        <v>17</v>
      </c>
      <c r="E13" s="77">
        <f>SUM(E3:E12)</f>
        <v>0</v>
      </c>
      <c r="I13" s="142">
        <f>SUM(I3:I12)</f>
        <v>513095720</v>
      </c>
      <c r="J13" s="70"/>
      <c r="K13" s="70"/>
      <c r="L13" s="70"/>
      <c r="M13" s="70"/>
      <c r="P13" s="77">
        <f>SUM(P3:P12)</f>
        <v>-41817537.472000003</v>
      </c>
      <c r="Q13" s="77">
        <f>SUM(Q3:Q12)</f>
        <v>-11278182.528000001</v>
      </c>
      <c r="R13" s="77">
        <f>SUM(R3:R12)</f>
        <v>-53095720</v>
      </c>
      <c r="S13" s="77">
        <f>SUM(S3:S12)</f>
        <v>-11278182.528000001</v>
      </c>
      <c r="T13" s="77">
        <f>SUM(T3:T12)</f>
        <v>-53095720</v>
      </c>
      <c r="U13" s="130"/>
      <c r="V13" s="130"/>
      <c r="W13" s="77">
        <f>SUM(W3:W12)</f>
        <v>0</v>
      </c>
      <c r="Z13" s="77">
        <f>SUM(Z3:Z12)</f>
        <v>-11278182.528000001</v>
      </c>
      <c r="AA13" s="77">
        <f>SUM(AA3:AA12)</f>
        <v>-53095720</v>
      </c>
      <c r="AB13" s="77">
        <f>SUM(AB3:AB12)</f>
        <v>0</v>
      </c>
      <c r="AC13" s="77">
        <f>SUM(AC3:AC12)</f>
        <v>0</v>
      </c>
    </row>
    <row r="14" spans="1:30" ht="16.2" thickTop="1" x14ac:dyDescent="0.3"/>
    <row r="15" spans="1:30" x14ac:dyDescent="0.3">
      <c r="H15" s="3" t="s">
        <v>445</v>
      </c>
      <c r="I15" s="56">
        <f>-M6-(L10+L11)*(+G9-G8)</f>
        <v>-471278182.528</v>
      </c>
      <c r="Q15" s="4">
        <f>SUMIF(Q3:Q12,"&lt;0",Q3:Q12)</f>
        <v>-11278182.528000001</v>
      </c>
      <c r="R15" t="s">
        <v>215</v>
      </c>
      <c r="W15" s="5"/>
      <c r="AC15" s="5">
        <f>+AC13+AA13</f>
        <v>-53095720</v>
      </c>
    </row>
    <row r="16" spans="1:30" x14ac:dyDescent="0.3">
      <c r="I16" s="70"/>
      <c r="Q16" s="2">
        <f>SUMIF(Q3:Q12,"&gt;0",Q3:Q12)</f>
        <v>0</v>
      </c>
      <c r="R16" t="s">
        <v>216</v>
      </c>
      <c r="W16" s="134"/>
      <c r="AC16" s="4">
        <f>(+H10+H11)*-10</f>
        <v>-53095720</v>
      </c>
      <c r="AD16" t="s">
        <v>446</v>
      </c>
    </row>
    <row r="17" spans="8:23" x14ac:dyDescent="0.3">
      <c r="H17" s="3" t="s">
        <v>482</v>
      </c>
      <c r="I17" s="4">
        <f>+I13+I15</f>
        <v>41817537.472000003</v>
      </c>
      <c r="Q17" s="134">
        <f>+Q15+Q16-Q13</f>
        <v>0</v>
      </c>
      <c r="R17" t="s">
        <v>217</v>
      </c>
      <c r="W17" s="135"/>
    </row>
    <row r="21" spans="8:23" x14ac:dyDescent="0.3">
      <c r="I21" s="279">
        <f>+I17+P13</f>
        <v>0</v>
      </c>
    </row>
    <row r="22" spans="8:23" x14ac:dyDescent="0.3">
      <c r="I22" s="280" t="s">
        <v>488</v>
      </c>
    </row>
  </sheetData>
  <mergeCells count="5">
    <mergeCell ref="S1:T1"/>
    <mergeCell ref="H1:I1"/>
    <mergeCell ref="Z1:AA1"/>
    <mergeCell ref="AB1:AC1"/>
    <mergeCell ref="J1:M1"/>
  </mergeCells>
  <phoneticPr fontId="0" type="noConversion"/>
  <pageMargins left="0.75" right="0.75" top="1" bottom="1" header="0.5" footer="0.5"/>
  <pageSetup paperSize="5" scale="4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387"/>
  <sheetViews>
    <sheetView workbookViewId="0">
      <pane ySplit="5" topLeftCell="A253" activePane="bottomLeft" state="frozen"/>
      <selection activeCell="B15" sqref="B15"/>
      <selection pane="bottomLeft" activeCell="A257" sqref="A257"/>
    </sheetView>
  </sheetViews>
  <sheetFormatPr defaultRowHeight="15.6" x14ac:dyDescent="0.3"/>
  <cols>
    <col min="1" max="1" width="10" style="1" bestFit="1" customWidth="1"/>
    <col min="2" max="2" width="9.69921875" style="125" bestFit="1" customWidth="1"/>
    <col min="3" max="3" width="11.19921875" style="125" customWidth="1"/>
  </cols>
  <sheetData>
    <row r="1" spans="1:3" x14ac:dyDescent="0.3">
      <c r="A1" s="144" t="s">
        <v>152</v>
      </c>
      <c r="B1" s="123"/>
    </row>
    <row r="2" spans="1:3" x14ac:dyDescent="0.3">
      <c r="B2" s="288">
        <v>2</v>
      </c>
      <c r="C2" s="136">
        <v>3</v>
      </c>
    </row>
    <row r="3" spans="1:3" x14ac:dyDescent="0.3">
      <c r="B3" s="124"/>
      <c r="C3" s="153" t="s">
        <v>207</v>
      </c>
    </row>
    <row r="4" spans="1:3" x14ac:dyDescent="0.3">
      <c r="A4" s="123"/>
      <c r="B4" s="152" t="s">
        <v>4</v>
      </c>
      <c r="C4" s="153" t="s">
        <v>208</v>
      </c>
    </row>
    <row r="5" spans="1:3" x14ac:dyDescent="0.3">
      <c r="A5" s="145" t="s">
        <v>1</v>
      </c>
      <c r="B5" s="152" t="s">
        <v>12</v>
      </c>
      <c r="C5" s="153" t="s">
        <v>209</v>
      </c>
    </row>
    <row r="6" spans="1:3" x14ac:dyDescent="0.3">
      <c r="A6" s="1">
        <v>36789</v>
      </c>
      <c r="B6" s="125">
        <v>82.171999999999997</v>
      </c>
    </row>
    <row r="7" spans="1:3" x14ac:dyDescent="0.3">
      <c r="A7" s="1">
        <v>36790</v>
      </c>
      <c r="B7" s="125">
        <v>80.75</v>
      </c>
    </row>
    <row r="8" spans="1:3" x14ac:dyDescent="0.3">
      <c r="A8" s="1">
        <v>36791</v>
      </c>
      <c r="B8" s="125">
        <v>83</v>
      </c>
    </row>
    <row r="9" spans="1:3" x14ac:dyDescent="0.3">
      <c r="A9" s="1">
        <v>36794</v>
      </c>
      <c r="B9" s="125">
        <v>84.438000000000002</v>
      </c>
    </row>
    <row r="10" spans="1:3" x14ac:dyDescent="0.3">
      <c r="A10" s="1">
        <v>36795</v>
      </c>
      <c r="B10" s="125">
        <v>85.5</v>
      </c>
    </row>
    <row r="11" spans="1:3" x14ac:dyDescent="0.3">
      <c r="A11" s="1">
        <v>36796</v>
      </c>
      <c r="B11" s="125">
        <v>87.453000000000003</v>
      </c>
    </row>
    <row r="12" spans="1:3" x14ac:dyDescent="0.3">
      <c r="A12" s="1">
        <v>36797</v>
      </c>
      <c r="B12" s="125">
        <v>89.25</v>
      </c>
    </row>
    <row r="13" spans="1:3" x14ac:dyDescent="0.3">
      <c r="A13" s="1">
        <v>36798</v>
      </c>
      <c r="B13" s="125">
        <v>87.641000000000005</v>
      </c>
    </row>
    <row r="14" spans="1:3" x14ac:dyDescent="0.3">
      <c r="A14" s="1">
        <v>36801</v>
      </c>
      <c r="B14" s="125">
        <v>86.438000000000002</v>
      </c>
    </row>
    <row r="15" spans="1:3" x14ac:dyDescent="0.3">
      <c r="A15" s="1">
        <v>36802</v>
      </c>
      <c r="B15" s="125">
        <v>85.563000000000002</v>
      </c>
    </row>
    <row r="16" spans="1:3" x14ac:dyDescent="0.3">
      <c r="A16" s="1">
        <v>36803</v>
      </c>
      <c r="B16" s="125">
        <v>83.063000000000002</v>
      </c>
    </row>
    <row r="17" spans="1:2" x14ac:dyDescent="0.3">
      <c r="A17" s="1">
        <v>36804</v>
      </c>
      <c r="B17" s="125">
        <v>83</v>
      </c>
    </row>
    <row r="18" spans="1:2" x14ac:dyDescent="0.3">
      <c r="A18" s="1">
        <v>36805</v>
      </c>
      <c r="B18" s="125">
        <v>81.625</v>
      </c>
    </row>
    <row r="19" spans="1:2" x14ac:dyDescent="0.3">
      <c r="A19" s="1">
        <v>36808</v>
      </c>
      <c r="B19" s="125">
        <v>83</v>
      </c>
    </row>
    <row r="20" spans="1:2" x14ac:dyDescent="0.3">
      <c r="A20" s="1">
        <v>36809</v>
      </c>
      <c r="B20" s="125">
        <v>81.688000000000002</v>
      </c>
    </row>
    <row r="21" spans="1:2" x14ac:dyDescent="0.3">
      <c r="A21" s="1">
        <v>36810</v>
      </c>
      <c r="B21" s="125">
        <v>82.813000000000002</v>
      </c>
    </row>
    <row r="22" spans="1:2" x14ac:dyDescent="0.3">
      <c r="A22" s="1">
        <v>36811</v>
      </c>
      <c r="B22" s="125">
        <v>79.875</v>
      </c>
    </row>
    <row r="23" spans="1:2" x14ac:dyDescent="0.3">
      <c r="A23" s="1">
        <v>36812</v>
      </c>
      <c r="B23" s="125">
        <v>79.5</v>
      </c>
    </row>
    <row r="24" spans="1:2" x14ac:dyDescent="0.3">
      <c r="A24" s="143">
        <v>36815</v>
      </c>
      <c r="B24" s="125">
        <v>80</v>
      </c>
    </row>
    <row r="25" spans="1:2" x14ac:dyDescent="0.3">
      <c r="A25" s="143">
        <v>36816</v>
      </c>
      <c r="B25" s="125">
        <v>79.188000000000002</v>
      </c>
    </row>
    <row r="26" spans="1:2" x14ac:dyDescent="0.3">
      <c r="A26" s="143">
        <v>36817</v>
      </c>
      <c r="B26" s="125">
        <v>78.75</v>
      </c>
    </row>
    <row r="27" spans="1:2" x14ac:dyDescent="0.3">
      <c r="A27" s="143">
        <v>36818</v>
      </c>
      <c r="B27" s="125">
        <v>79</v>
      </c>
    </row>
    <row r="28" spans="1:2" x14ac:dyDescent="0.3">
      <c r="A28" s="143">
        <v>36819</v>
      </c>
      <c r="B28" s="125">
        <v>80.5</v>
      </c>
    </row>
    <row r="29" spans="1:2" x14ac:dyDescent="0.3">
      <c r="A29" s="143">
        <v>36822</v>
      </c>
      <c r="B29" s="125">
        <v>82</v>
      </c>
    </row>
    <row r="30" spans="1:2" x14ac:dyDescent="0.3">
      <c r="A30" s="143">
        <v>36823</v>
      </c>
      <c r="B30" s="125">
        <v>80.1875</v>
      </c>
    </row>
    <row r="31" spans="1:2" x14ac:dyDescent="0.3">
      <c r="A31" s="143">
        <v>36824</v>
      </c>
      <c r="B31" s="125">
        <v>76.125</v>
      </c>
    </row>
    <row r="32" spans="1:2" x14ac:dyDescent="0.3">
      <c r="A32" s="143">
        <v>36825</v>
      </c>
      <c r="B32" s="125">
        <v>77.5</v>
      </c>
    </row>
    <row r="33" spans="1:2" x14ac:dyDescent="0.3">
      <c r="A33" s="143">
        <v>36826</v>
      </c>
      <c r="B33" s="125">
        <v>78.875</v>
      </c>
    </row>
    <row r="34" spans="1:2" x14ac:dyDescent="0.3">
      <c r="A34" s="143">
        <v>36829</v>
      </c>
      <c r="B34" s="125">
        <v>80.688000000000002</v>
      </c>
    </row>
    <row r="35" spans="1:2" x14ac:dyDescent="0.3">
      <c r="A35" s="143">
        <v>36830</v>
      </c>
      <c r="B35" s="125">
        <v>82.063000000000002</v>
      </c>
    </row>
    <row r="36" spans="1:2" x14ac:dyDescent="0.3">
      <c r="A36" s="143">
        <v>36831</v>
      </c>
      <c r="B36" s="125">
        <v>83.25</v>
      </c>
    </row>
    <row r="37" spans="1:2" x14ac:dyDescent="0.3">
      <c r="A37" s="143">
        <v>36832</v>
      </c>
      <c r="B37" s="125">
        <v>81.75</v>
      </c>
    </row>
    <row r="38" spans="1:2" x14ac:dyDescent="0.3">
      <c r="A38" s="143">
        <v>36833</v>
      </c>
      <c r="B38" s="125">
        <v>77.375</v>
      </c>
    </row>
    <row r="39" spans="1:2" x14ac:dyDescent="0.3">
      <c r="A39" s="143">
        <v>36836</v>
      </c>
      <c r="B39" s="125">
        <v>81.563000000000002</v>
      </c>
    </row>
    <row r="40" spans="1:2" x14ac:dyDescent="0.3">
      <c r="A40" s="143">
        <v>36837</v>
      </c>
      <c r="B40" s="125">
        <v>81.813000000000002</v>
      </c>
    </row>
    <row r="41" spans="1:2" x14ac:dyDescent="0.3">
      <c r="A41" s="143">
        <v>36838</v>
      </c>
      <c r="B41" s="125">
        <v>82.125</v>
      </c>
    </row>
    <row r="42" spans="1:2" x14ac:dyDescent="0.3">
      <c r="A42" s="143">
        <v>36839</v>
      </c>
      <c r="B42" s="125">
        <v>82.938000000000002</v>
      </c>
    </row>
    <row r="43" spans="1:2" x14ac:dyDescent="0.3">
      <c r="A43" s="143">
        <v>36840</v>
      </c>
      <c r="B43" s="125">
        <f>82+0.9375</f>
        <v>82.9375</v>
      </c>
    </row>
    <row r="44" spans="1:2" x14ac:dyDescent="0.3">
      <c r="A44" s="143">
        <v>36843</v>
      </c>
      <c r="B44" s="125">
        <v>79.438000000000002</v>
      </c>
    </row>
    <row r="45" spans="1:2" x14ac:dyDescent="0.3">
      <c r="A45" s="143">
        <v>36844</v>
      </c>
      <c r="B45" s="125">
        <v>79.563000000000002</v>
      </c>
    </row>
    <row r="46" spans="1:2" x14ac:dyDescent="0.3">
      <c r="A46" s="143">
        <v>36845</v>
      </c>
      <c r="B46" s="125">
        <v>80.375</v>
      </c>
    </row>
    <row r="47" spans="1:2" x14ac:dyDescent="0.3">
      <c r="A47" s="143">
        <v>36846</v>
      </c>
      <c r="B47" s="125">
        <v>81.25</v>
      </c>
    </row>
    <row r="48" spans="1:2" x14ac:dyDescent="0.3">
      <c r="A48" s="143">
        <v>36847</v>
      </c>
      <c r="B48" s="125">
        <v>81.5</v>
      </c>
    </row>
    <row r="49" spans="1:2" x14ac:dyDescent="0.3">
      <c r="A49" s="143">
        <v>36850</v>
      </c>
      <c r="B49" s="125">
        <v>80.25</v>
      </c>
    </row>
    <row r="50" spans="1:2" x14ac:dyDescent="0.3">
      <c r="A50" s="143">
        <v>36851</v>
      </c>
      <c r="B50" s="125">
        <v>80.375</v>
      </c>
    </row>
    <row r="51" spans="1:2" x14ac:dyDescent="0.3">
      <c r="A51" s="143">
        <v>36852</v>
      </c>
      <c r="B51" s="125">
        <v>75.563000000000002</v>
      </c>
    </row>
    <row r="52" spans="1:2" x14ac:dyDescent="0.3">
      <c r="A52" s="143">
        <v>36854</v>
      </c>
      <c r="B52" s="125">
        <v>77.75</v>
      </c>
    </row>
    <row r="53" spans="1:2" x14ac:dyDescent="0.3">
      <c r="A53" s="143">
        <v>36857</v>
      </c>
      <c r="B53" s="125">
        <v>78.875</v>
      </c>
    </row>
    <row r="54" spans="1:2" x14ac:dyDescent="0.3">
      <c r="A54" s="143">
        <v>36858</v>
      </c>
      <c r="B54" s="125">
        <v>78.438000000000002</v>
      </c>
    </row>
    <row r="55" spans="1:2" x14ac:dyDescent="0.3">
      <c r="A55" s="143">
        <v>36859</v>
      </c>
      <c r="B55" s="125">
        <v>70.25</v>
      </c>
    </row>
    <row r="56" spans="1:2" x14ac:dyDescent="0.3">
      <c r="A56" s="143">
        <v>36860</v>
      </c>
      <c r="B56" s="125">
        <v>64.75</v>
      </c>
    </row>
    <row r="57" spans="1:2" x14ac:dyDescent="0.3">
      <c r="A57" s="143">
        <v>36861</v>
      </c>
      <c r="B57" s="125">
        <v>65.5</v>
      </c>
    </row>
    <row r="58" spans="1:2" x14ac:dyDescent="0.3">
      <c r="A58" s="143">
        <v>36864</v>
      </c>
      <c r="B58" s="125">
        <v>65.938000000000002</v>
      </c>
    </row>
    <row r="59" spans="1:2" x14ac:dyDescent="0.3">
      <c r="A59" s="143">
        <v>36865</v>
      </c>
      <c r="B59" s="125">
        <v>68.25</v>
      </c>
    </row>
    <row r="60" spans="1:2" x14ac:dyDescent="0.3">
      <c r="A60" s="143">
        <v>36866</v>
      </c>
      <c r="B60" s="125">
        <v>71.938000000000002</v>
      </c>
    </row>
    <row r="61" spans="1:2" x14ac:dyDescent="0.3">
      <c r="A61" s="143">
        <v>36867</v>
      </c>
      <c r="B61" s="125">
        <v>72.875</v>
      </c>
    </row>
    <row r="62" spans="1:2" x14ac:dyDescent="0.3">
      <c r="A62" s="143">
        <v>36868</v>
      </c>
      <c r="B62" s="125">
        <v>73.063000000000002</v>
      </c>
    </row>
    <row r="63" spans="1:2" x14ac:dyDescent="0.3">
      <c r="A63" s="143">
        <v>36871</v>
      </c>
      <c r="B63" s="125">
        <v>76.5</v>
      </c>
    </row>
    <row r="64" spans="1:2" x14ac:dyDescent="0.3">
      <c r="A64" s="143">
        <v>36872</v>
      </c>
      <c r="B64" s="125">
        <v>77.188000000000002</v>
      </c>
    </row>
    <row r="65" spans="1:3" x14ac:dyDescent="0.3">
      <c r="A65" s="143">
        <v>36873</v>
      </c>
      <c r="B65" s="125">
        <v>74.5</v>
      </c>
    </row>
    <row r="66" spans="1:3" x14ac:dyDescent="0.3">
      <c r="A66" s="143">
        <v>36874</v>
      </c>
      <c r="B66" s="125">
        <v>76.5</v>
      </c>
    </row>
    <row r="67" spans="1:3" x14ac:dyDescent="0.3">
      <c r="A67" s="143">
        <v>36875</v>
      </c>
      <c r="B67" s="125">
        <v>77.563000000000002</v>
      </c>
    </row>
    <row r="68" spans="1:3" x14ac:dyDescent="0.3">
      <c r="A68" s="143">
        <v>36878</v>
      </c>
      <c r="B68" s="125">
        <v>79.563000000000002</v>
      </c>
    </row>
    <row r="69" spans="1:3" x14ac:dyDescent="0.3">
      <c r="A69" s="143">
        <v>36879</v>
      </c>
      <c r="B69" s="125">
        <v>79.75</v>
      </c>
    </row>
    <row r="70" spans="1:3" x14ac:dyDescent="0.3">
      <c r="A70" s="143">
        <v>36880</v>
      </c>
      <c r="B70" s="125">
        <v>79.75</v>
      </c>
    </row>
    <row r="71" spans="1:3" x14ac:dyDescent="0.3">
      <c r="A71" s="143">
        <v>36881</v>
      </c>
      <c r="B71" s="125">
        <v>79.313000000000002</v>
      </c>
    </row>
    <row r="72" spans="1:3" x14ac:dyDescent="0.3">
      <c r="A72" s="143">
        <v>36882</v>
      </c>
      <c r="B72" s="125">
        <v>81.188000000000002</v>
      </c>
    </row>
    <row r="73" spans="1:3" x14ac:dyDescent="0.3">
      <c r="A73" s="143">
        <v>36886</v>
      </c>
      <c r="B73" s="125">
        <v>83.5</v>
      </c>
    </row>
    <row r="74" spans="1:3" x14ac:dyDescent="0.3">
      <c r="A74" s="143">
        <v>36887</v>
      </c>
      <c r="B74" s="125">
        <v>82.813000000000002</v>
      </c>
    </row>
    <row r="75" spans="1:3" x14ac:dyDescent="0.3">
      <c r="A75" s="143">
        <v>36888</v>
      </c>
      <c r="B75" s="125">
        <v>84.625</v>
      </c>
      <c r="C75" s="125">
        <v>44.875</v>
      </c>
    </row>
    <row r="76" spans="1:3" x14ac:dyDescent="0.3">
      <c r="A76" s="143">
        <v>36889</v>
      </c>
      <c r="B76" s="125">
        <v>83.125</v>
      </c>
      <c r="C76" s="125">
        <v>44.5625</v>
      </c>
    </row>
    <row r="77" spans="1:3" x14ac:dyDescent="0.3">
      <c r="A77" s="143">
        <v>36893</v>
      </c>
      <c r="B77" s="125">
        <v>79.875</v>
      </c>
      <c r="C77" s="125">
        <v>41.75</v>
      </c>
    </row>
    <row r="78" spans="1:3" x14ac:dyDescent="0.3">
      <c r="A78" s="143">
        <v>36894</v>
      </c>
      <c r="B78" s="125">
        <v>75.063000000000002</v>
      </c>
      <c r="C78" s="125">
        <v>39.75</v>
      </c>
    </row>
    <row r="79" spans="1:3" x14ac:dyDescent="0.3">
      <c r="A79" s="143">
        <v>36895</v>
      </c>
      <c r="B79" s="125">
        <v>72</v>
      </c>
      <c r="C79" s="125">
        <v>37.75</v>
      </c>
    </row>
    <row r="80" spans="1:3" x14ac:dyDescent="0.3">
      <c r="A80" s="143">
        <v>36896</v>
      </c>
      <c r="B80" s="125">
        <v>71.375</v>
      </c>
      <c r="C80" s="125">
        <v>37.813000000000002</v>
      </c>
    </row>
    <row r="81" spans="1:3" x14ac:dyDescent="0.3">
      <c r="A81" s="143">
        <v>36899</v>
      </c>
      <c r="B81" s="125">
        <v>71.25</v>
      </c>
      <c r="C81" s="125">
        <v>38.188000000000002</v>
      </c>
    </row>
    <row r="82" spans="1:3" x14ac:dyDescent="0.3">
      <c r="A82" s="143">
        <v>36900</v>
      </c>
      <c r="B82" s="125">
        <v>68.625</v>
      </c>
      <c r="C82" s="125">
        <v>38</v>
      </c>
    </row>
    <row r="83" spans="1:3" x14ac:dyDescent="0.3">
      <c r="A83" s="143">
        <v>36901</v>
      </c>
      <c r="B83" s="125">
        <v>68.938000000000002</v>
      </c>
      <c r="C83" s="125">
        <v>38.375</v>
      </c>
    </row>
    <row r="84" spans="1:3" x14ac:dyDescent="0.3">
      <c r="A84" s="143">
        <v>36902</v>
      </c>
      <c r="B84" s="125">
        <v>69.438000000000002</v>
      </c>
      <c r="C84" s="125">
        <v>38.313000000000002</v>
      </c>
    </row>
    <row r="85" spans="1:3" x14ac:dyDescent="0.3">
      <c r="A85" s="143">
        <v>36903</v>
      </c>
      <c r="B85" s="125">
        <v>70.438000000000002</v>
      </c>
      <c r="C85" s="125">
        <v>36.688000000000002</v>
      </c>
    </row>
    <row r="86" spans="1:3" x14ac:dyDescent="0.3">
      <c r="A86" s="143">
        <v>36907</v>
      </c>
      <c r="B86" s="125">
        <v>68.438000000000002</v>
      </c>
      <c r="C86" s="125">
        <v>35.9375</v>
      </c>
    </row>
    <row r="87" spans="1:3" x14ac:dyDescent="0.3">
      <c r="A87" s="143">
        <v>36908</v>
      </c>
      <c r="B87" s="125">
        <v>71.125</v>
      </c>
      <c r="C87" s="125">
        <v>34.875</v>
      </c>
    </row>
    <row r="88" spans="1:3" x14ac:dyDescent="0.3">
      <c r="A88" s="143">
        <v>36909</v>
      </c>
      <c r="B88" s="125">
        <v>72.063000000000002</v>
      </c>
      <c r="C88" s="125">
        <v>33.8125</v>
      </c>
    </row>
    <row r="89" spans="1:3" x14ac:dyDescent="0.3">
      <c r="A89" s="143">
        <v>36913</v>
      </c>
      <c r="B89" s="125">
        <v>75.0625</v>
      </c>
      <c r="C89" s="125">
        <v>34.0625</v>
      </c>
    </row>
    <row r="90" spans="1:3" x14ac:dyDescent="0.3">
      <c r="A90" s="143">
        <v>36914</v>
      </c>
      <c r="B90" s="125">
        <v>78.563000000000002</v>
      </c>
      <c r="C90" s="125">
        <v>35.625</v>
      </c>
    </row>
    <row r="91" spans="1:3" x14ac:dyDescent="0.3">
      <c r="A91" s="143">
        <v>36915</v>
      </c>
      <c r="B91" s="125">
        <v>79.75</v>
      </c>
      <c r="C91" s="125">
        <v>35.75</v>
      </c>
    </row>
    <row r="92" spans="1:3" x14ac:dyDescent="0.3">
      <c r="A92" s="143">
        <v>36916</v>
      </c>
      <c r="B92" s="125">
        <v>82</v>
      </c>
      <c r="C92" s="125">
        <v>36.375</v>
      </c>
    </row>
    <row r="93" spans="1:3" x14ac:dyDescent="0.3">
      <c r="A93" s="143">
        <v>36917</v>
      </c>
      <c r="B93" s="125">
        <v>82</v>
      </c>
      <c r="C93" s="125">
        <v>37.1875</v>
      </c>
    </row>
    <row r="94" spans="1:3" x14ac:dyDescent="0.3">
      <c r="A94" s="143">
        <v>36920</v>
      </c>
      <c r="B94" s="125">
        <f>80.77</f>
        <v>80.77</v>
      </c>
      <c r="C94" s="125">
        <v>37.49</v>
      </c>
    </row>
    <row r="95" spans="1:3" x14ac:dyDescent="0.3">
      <c r="A95" s="143">
        <v>36921</v>
      </c>
      <c r="B95" s="125">
        <v>78.5</v>
      </c>
      <c r="C95" s="125">
        <v>37.69</v>
      </c>
    </row>
    <row r="96" spans="1:3" x14ac:dyDescent="0.3">
      <c r="A96" s="143">
        <v>36922</v>
      </c>
      <c r="B96" s="125">
        <v>80</v>
      </c>
      <c r="C96" s="125">
        <v>38.369999999999997</v>
      </c>
    </row>
    <row r="97" spans="1:3" x14ac:dyDescent="0.3">
      <c r="A97" s="143">
        <v>36923</v>
      </c>
      <c r="B97" s="125">
        <v>78.790000000000006</v>
      </c>
      <c r="C97" s="125">
        <v>38.25</v>
      </c>
    </row>
    <row r="98" spans="1:3" x14ac:dyDescent="0.3">
      <c r="A98" s="143">
        <v>36924</v>
      </c>
      <c r="B98" s="125">
        <v>79.98</v>
      </c>
      <c r="C98" s="125">
        <v>38.74</v>
      </c>
    </row>
    <row r="99" spans="1:3" x14ac:dyDescent="0.3">
      <c r="A99" s="143">
        <v>36927</v>
      </c>
      <c r="B99" s="125">
        <v>81.81</v>
      </c>
      <c r="C99" s="125">
        <v>36.86</v>
      </c>
    </row>
    <row r="100" spans="1:3" x14ac:dyDescent="0.3">
      <c r="A100" s="143">
        <v>36928</v>
      </c>
      <c r="B100" s="125">
        <v>80.150000000000006</v>
      </c>
      <c r="C100" s="125">
        <v>37.950000000000003</v>
      </c>
    </row>
    <row r="101" spans="1:3" x14ac:dyDescent="0.3">
      <c r="A101" s="143">
        <v>36929</v>
      </c>
      <c r="B101" s="125">
        <v>80.349999999999994</v>
      </c>
      <c r="C101" s="125">
        <v>38</v>
      </c>
    </row>
    <row r="102" spans="1:3" x14ac:dyDescent="0.3">
      <c r="A102" s="143">
        <v>36930</v>
      </c>
      <c r="B102" s="125">
        <v>80</v>
      </c>
      <c r="C102" s="125">
        <v>37.74</v>
      </c>
    </row>
    <row r="103" spans="1:3" x14ac:dyDescent="0.3">
      <c r="A103" s="143">
        <v>36931</v>
      </c>
      <c r="B103" s="125">
        <v>80.2</v>
      </c>
      <c r="C103" s="125">
        <v>38.450000000000003</v>
      </c>
    </row>
    <row r="104" spans="1:3" x14ac:dyDescent="0.3">
      <c r="A104" s="143">
        <v>36934</v>
      </c>
      <c r="B104" s="125">
        <v>79.8</v>
      </c>
      <c r="C104" s="125">
        <v>38.46</v>
      </c>
    </row>
    <row r="105" spans="1:3" x14ac:dyDescent="0.3">
      <c r="A105" s="143">
        <v>36935</v>
      </c>
      <c r="B105" s="125">
        <v>81.150000000000006</v>
      </c>
      <c r="C105" s="125">
        <v>38.9</v>
      </c>
    </row>
    <row r="106" spans="1:3" x14ac:dyDescent="0.3">
      <c r="A106" s="143">
        <v>36936</v>
      </c>
      <c r="B106" s="125">
        <v>80</v>
      </c>
      <c r="C106" s="125">
        <v>39.49</v>
      </c>
    </row>
    <row r="107" spans="1:3" x14ac:dyDescent="0.3">
      <c r="A107" s="143">
        <v>36937</v>
      </c>
      <c r="B107" s="125">
        <v>77.900000000000006</v>
      </c>
      <c r="C107" s="125">
        <v>39.57</v>
      </c>
    </row>
    <row r="108" spans="1:3" x14ac:dyDescent="0.3">
      <c r="A108" s="143">
        <v>36938</v>
      </c>
      <c r="B108" s="125">
        <v>76.19</v>
      </c>
      <c r="C108" s="125">
        <v>38.92</v>
      </c>
    </row>
    <row r="109" spans="1:3" x14ac:dyDescent="0.3">
      <c r="A109" s="143">
        <v>36942</v>
      </c>
      <c r="B109" s="125">
        <v>75.09</v>
      </c>
      <c r="C109" s="125">
        <v>38.43</v>
      </c>
    </row>
    <row r="110" spans="1:3" x14ac:dyDescent="0.3">
      <c r="A110" s="143">
        <v>36943</v>
      </c>
      <c r="B110" s="125">
        <v>73.09</v>
      </c>
      <c r="C110" s="125">
        <v>38.200000000000003</v>
      </c>
    </row>
    <row r="111" spans="1:3" x14ac:dyDescent="0.3">
      <c r="A111" s="143">
        <v>36944</v>
      </c>
      <c r="B111" s="125">
        <v>72.150000000000006</v>
      </c>
      <c r="C111" s="125">
        <v>37.21</v>
      </c>
    </row>
    <row r="112" spans="1:3" x14ac:dyDescent="0.3">
      <c r="A112" s="143">
        <v>36945</v>
      </c>
      <c r="B112" s="125">
        <v>71</v>
      </c>
      <c r="C112" s="125">
        <v>36.97</v>
      </c>
    </row>
    <row r="113" spans="1:3" x14ac:dyDescent="0.3">
      <c r="A113" s="143">
        <v>36948</v>
      </c>
      <c r="B113" s="125">
        <v>70.56</v>
      </c>
      <c r="C113" s="125">
        <v>37.69</v>
      </c>
    </row>
    <row r="114" spans="1:3" x14ac:dyDescent="0.3">
      <c r="A114" s="143">
        <v>36949</v>
      </c>
      <c r="B114" s="125">
        <v>70.040000000000006</v>
      </c>
      <c r="C114" s="125">
        <v>37.729999999999997</v>
      </c>
    </row>
    <row r="115" spans="1:3" x14ac:dyDescent="0.3">
      <c r="A115" s="143">
        <v>36950</v>
      </c>
      <c r="B115" s="125">
        <v>68.5</v>
      </c>
      <c r="C115" s="125">
        <v>37.5</v>
      </c>
    </row>
    <row r="116" spans="1:3" x14ac:dyDescent="0.3">
      <c r="A116" s="143">
        <v>36951</v>
      </c>
      <c r="B116" s="125">
        <v>68.680000000000007</v>
      </c>
      <c r="C116" s="125">
        <v>37.42</v>
      </c>
    </row>
    <row r="117" spans="1:3" x14ac:dyDescent="0.3">
      <c r="A117" s="143">
        <v>36952</v>
      </c>
      <c r="B117" s="125">
        <v>70.19</v>
      </c>
      <c r="C117" s="125">
        <v>38.520000000000003</v>
      </c>
    </row>
    <row r="118" spans="1:3" x14ac:dyDescent="0.3">
      <c r="A118" s="143">
        <v>36955</v>
      </c>
      <c r="B118" s="125">
        <v>70.11</v>
      </c>
      <c r="C118" s="125">
        <v>38.65</v>
      </c>
    </row>
    <row r="119" spans="1:3" x14ac:dyDescent="0.3">
      <c r="A119" s="143">
        <v>36956</v>
      </c>
      <c r="B119" s="125">
        <v>68.87</v>
      </c>
      <c r="C119" s="125">
        <v>38.340000000000003</v>
      </c>
    </row>
    <row r="120" spans="1:3" x14ac:dyDescent="0.3">
      <c r="A120" s="143">
        <v>36957</v>
      </c>
      <c r="B120" s="125">
        <v>70</v>
      </c>
      <c r="C120" s="125">
        <v>40.5</v>
      </c>
    </row>
    <row r="121" spans="1:3" x14ac:dyDescent="0.3">
      <c r="A121" s="143">
        <v>36958</v>
      </c>
      <c r="B121" s="125">
        <v>70.59</v>
      </c>
      <c r="C121" s="125">
        <v>40.5</v>
      </c>
    </row>
    <row r="122" spans="1:3" x14ac:dyDescent="0.3">
      <c r="A122" s="143">
        <v>36959</v>
      </c>
      <c r="B122" s="125">
        <f>68.84</f>
        <v>68.84</v>
      </c>
      <c r="C122" s="125">
        <v>40</v>
      </c>
    </row>
    <row r="123" spans="1:3" x14ac:dyDescent="0.3">
      <c r="A123" s="143">
        <v>36962</v>
      </c>
      <c r="B123" s="125">
        <v>61.27</v>
      </c>
      <c r="C123" s="125">
        <v>38.97</v>
      </c>
    </row>
    <row r="124" spans="1:3" x14ac:dyDescent="0.3">
      <c r="A124" s="143">
        <v>36963</v>
      </c>
      <c r="B124" s="267">
        <v>62.05</v>
      </c>
      <c r="C124" s="125">
        <v>38.03</v>
      </c>
    </row>
    <row r="125" spans="1:3" x14ac:dyDescent="0.3">
      <c r="A125" s="143">
        <v>36964</v>
      </c>
      <c r="B125" s="267">
        <v>62.75</v>
      </c>
      <c r="C125" s="125">
        <v>37.04</v>
      </c>
    </row>
    <row r="126" spans="1:3" x14ac:dyDescent="0.3">
      <c r="A126" s="143">
        <v>36965</v>
      </c>
      <c r="B126" s="267">
        <v>66.53</v>
      </c>
      <c r="C126" s="125">
        <v>35.26</v>
      </c>
    </row>
    <row r="127" spans="1:3" x14ac:dyDescent="0.3">
      <c r="A127" s="143">
        <v>36966</v>
      </c>
      <c r="B127" s="267">
        <v>62.24</v>
      </c>
      <c r="C127" s="125">
        <v>33.65</v>
      </c>
    </row>
    <row r="128" spans="1:3" x14ac:dyDescent="0.3">
      <c r="A128" s="143">
        <v>36969</v>
      </c>
      <c r="B128" s="267">
        <v>61.8</v>
      </c>
      <c r="C128" s="125">
        <v>34.159999999999997</v>
      </c>
    </row>
    <row r="129" spans="1:3" x14ac:dyDescent="0.3">
      <c r="A129" s="143">
        <v>36970</v>
      </c>
      <c r="B129" s="267">
        <v>60.95</v>
      </c>
      <c r="C129" s="125">
        <v>33.76</v>
      </c>
    </row>
    <row r="130" spans="1:3" x14ac:dyDescent="0.3">
      <c r="A130" s="143">
        <v>36971</v>
      </c>
      <c r="B130" s="267">
        <v>55.89</v>
      </c>
      <c r="C130" s="125">
        <v>32.53</v>
      </c>
    </row>
    <row r="131" spans="1:3" x14ac:dyDescent="0.3">
      <c r="A131" s="143">
        <v>36972</v>
      </c>
      <c r="B131" s="267">
        <v>55.02</v>
      </c>
      <c r="C131" s="125">
        <v>31</v>
      </c>
    </row>
    <row r="132" spans="1:3" x14ac:dyDescent="0.3">
      <c r="A132" s="143">
        <v>36973</v>
      </c>
      <c r="B132" s="267">
        <v>59.4</v>
      </c>
      <c r="C132" s="125">
        <v>32.020000000000003</v>
      </c>
    </row>
    <row r="133" spans="1:3" x14ac:dyDescent="0.3">
      <c r="A133" s="143">
        <v>36976</v>
      </c>
      <c r="B133" s="267">
        <v>61.48</v>
      </c>
      <c r="C133" s="125">
        <v>33.450000000000003</v>
      </c>
    </row>
    <row r="134" spans="1:3" x14ac:dyDescent="0.3">
      <c r="A134" s="143">
        <v>36977</v>
      </c>
      <c r="B134" s="267">
        <v>60.46</v>
      </c>
      <c r="C134" s="125">
        <v>34.119999999999997</v>
      </c>
    </row>
    <row r="135" spans="1:3" x14ac:dyDescent="0.3">
      <c r="A135" s="143">
        <v>36978</v>
      </c>
      <c r="B135" s="267">
        <v>58.1</v>
      </c>
      <c r="C135" s="125">
        <v>33.340000000000003</v>
      </c>
    </row>
    <row r="136" spans="1:3" x14ac:dyDescent="0.3">
      <c r="A136" s="143">
        <v>36979</v>
      </c>
      <c r="B136" s="267">
        <v>55.31</v>
      </c>
      <c r="C136" s="125">
        <v>32.35</v>
      </c>
    </row>
    <row r="137" spans="1:3" x14ac:dyDescent="0.3">
      <c r="A137" s="143">
        <v>36980</v>
      </c>
      <c r="B137" s="267">
        <v>58.1</v>
      </c>
      <c r="C137" s="125">
        <v>31.7</v>
      </c>
    </row>
    <row r="138" spans="1:3" x14ac:dyDescent="0.3">
      <c r="A138" s="143">
        <v>36981</v>
      </c>
      <c r="B138" s="267">
        <v>58.1</v>
      </c>
      <c r="C138" s="125">
        <v>31.7</v>
      </c>
    </row>
    <row r="139" spans="1:3" x14ac:dyDescent="0.3">
      <c r="A139" s="143">
        <v>36983</v>
      </c>
      <c r="B139" s="125">
        <v>56.57</v>
      </c>
      <c r="C139" s="125">
        <v>31.71</v>
      </c>
    </row>
    <row r="140" spans="1:3" x14ac:dyDescent="0.3">
      <c r="A140" s="143">
        <v>36984</v>
      </c>
      <c r="B140" s="125">
        <v>54.06</v>
      </c>
      <c r="C140" s="125">
        <v>30.45</v>
      </c>
    </row>
    <row r="141" spans="1:3" x14ac:dyDescent="0.3">
      <c r="A141" s="143">
        <v>36985</v>
      </c>
      <c r="B141" s="125">
        <v>53.72</v>
      </c>
      <c r="C141" s="125">
        <v>31.56</v>
      </c>
    </row>
    <row r="142" spans="1:3" x14ac:dyDescent="0.3">
      <c r="A142" s="143">
        <v>36986</v>
      </c>
      <c r="B142" s="267">
        <v>55.7</v>
      </c>
      <c r="C142" s="125">
        <v>33.11</v>
      </c>
    </row>
    <row r="143" spans="1:3" x14ac:dyDescent="0.3">
      <c r="A143" s="143">
        <v>36987</v>
      </c>
      <c r="B143" s="276">
        <v>53.5</v>
      </c>
      <c r="C143" s="125">
        <v>32.92</v>
      </c>
    </row>
    <row r="144" spans="1:3" x14ac:dyDescent="0.3">
      <c r="A144" s="143">
        <v>36990</v>
      </c>
      <c r="B144" s="276">
        <v>55.96</v>
      </c>
      <c r="C144" s="125">
        <v>34.44</v>
      </c>
    </row>
    <row r="145" spans="1:3" x14ac:dyDescent="0.3">
      <c r="A145" s="143">
        <v>36991</v>
      </c>
      <c r="B145" s="276">
        <v>58.82</v>
      </c>
      <c r="C145" s="125">
        <v>35.19</v>
      </c>
    </row>
    <row r="146" spans="1:3" x14ac:dyDescent="0.3">
      <c r="A146" s="143">
        <v>36992</v>
      </c>
      <c r="B146" s="125">
        <v>58.51</v>
      </c>
      <c r="C146" s="125">
        <v>34.61</v>
      </c>
    </row>
    <row r="147" spans="1:3" x14ac:dyDescent="0.3">
      <c r="A147" s="143">
        <v>36993</v>
      </c>
      <c r="B147" s="125">
        <v>57.3</v>
      </c>
      <c r="C147" s="125">
        <v>35.24</v>
      </c>
    </row>
    <row r="148" spans="1:3" x14ac:dyDescent="0.3">
      <c r="A148" s="143">
        <v>36997</v>
      </c>
      <c r="B148" s="125">
        <v>59.44</v>
      </c>
      <c r="C148" s="125">
        <v>34.979999999999997</v>
      </c>
    </row>
    <row r="149" spans="1:3" x14ac:dyDescent="0.3">
      <c r="A149" s="143">
        <v>36998</v>
      </c>
      <c r="B149" s="125">
        <v>60</v>
      </c>
      <c r="C149" s="125">
        <v>35.299999999999997</v>
      </c>
    </row>
    <row r="150" spans="1:3" x14ac:dyDescent="0.3">
      <c r="A150" s="143">
        <v>36999</v>
      </c>
      <c r="B150" s="125">
        <v>61.62</v>
      </c>
      <c r="C150" s="125">
        <v>35.21</v>
      </c>
    </row>
    <row r="151" spans="1:3" x14ac:dyDescent="0.3">
      <c r="A151" s="143">
        <v>37000</v>
      </c>
      <c r="B151" s="125">
        <v>61.16</v>
      </c>
      <c r="C151" s="125">
        <v>33.94</v>
      </c>
    </row>
    <row r="152" spans="1:3" x14ac:dyDescent="0.3">
      <c r="A152" s="143">
        <v>37001</v>
      </c>
      <c r="B152" s="125">
        <v>59.99</v>
      </c>
      <c r="C152" s="125">
        <v>33.85</v>
      </c>
    </row>
    <row r="153" spans="1:3" x14ac:dyDescent="0.3">
      <c r="A153" s="143">
        <v>37004</v>
      </c>
      <c r="B153" s="125">
        <v>61.65</v>
      </c>
      <c r="C153" s="125">
        <v>34.29</v>
      </c>
    </row>
    <row r="154" spans="1:3" x14ac:dyDescent="0.3">
      <c r="A154" s="143">
        <v>37005</v>
      </c>
      <c r="B154" s="125">
        <v>61.87</v>
      </c>
      <c r="C154" s="125">
        <v>34.18</v>
      </c>
    </row>
    <row r="155" spans="1:3" x14ac:dyDescent="0.3">
      <c r="A155" s="143">
        <v>37006</v>
      </c>
      <c r="B155" s="125">
        <v>62.88</v>
      </c>
      <c r="C155" s="125">
        <v>34.36</v>
      </c>
    </row>
    <row r="156" spans="1:3" x14ac:dyDescent="0.3">
      <c r="A156" s="143">
        <v>37007</v>
      </c>
      <c r="B156" s="125">
        <v>63.66</v>
      </c>
      <c r="C156" s="125">
        <v>35.17</v>
      </c>
    </row>
    <row r="157" spans="1:3" x14ac:dyDescent="0.3">
      <c r="A157" s="143">
        <v>37008</v>
      </c>
      <c r="B157" s="125">
        <v>63.5</v>
      </c>
      <c r="C157" s="125">
        <v>35.61</v>
      </c>
    </row>
    <row r="158" spans="1:3" x14ac:dyDescent="0.3">
      <c r="A158" s="143">
        <v>37011</v>
      </c>
      <c r="B158" s="125">
        <v>62.72</v>
      </c>
      <c r="C158" s="125">
        <v>36.4</v>
      </c>
    </row>
    <row r="159" spans="1:3" x14ac:dyDescent="0.3">
      <c r="A159" s="143">
        <v>37012</v>
      </c>
      <c r="B159" s="125">
        <v>62.41</v>
      </c>
      <c r="C159" s="125">
        <v>36.26</v>
      </c>
    </row>
    <row r="160" spans="1:3" x14ac:dyDescent="0.3">
      <c r="A160" s="143">
        <v>37013</v>
      </c>
      <c r="B160" s="125">
        <v>60.5</v>
      </c>
      <c r="C160" s="125">
        <v>34.5</v>
      </c>
    </row>
    <row r="161" spans="1:3" x14ac:dyDescent="0.3">
      <c r="A161" s="143">
        <v>37014</v>
      </c>
      <c r="B161" s="125">
        <v>58.35</v>
      </c>
      <c r="C161" s="125">
        <v>34</v>
      </c>
    </row>
    <row r="162" spans="1:3" x14ac:dyDescent="0.3">
      <c r="A162" s="143">
        <v>37015</v>
      </c>
      <c r="B162" s="276">
        <v>59.48</v>
      </c>
      <c r="C162" s="125">
        <v>34</v>
      </c>
    </row>
    <row r="163" spans="1:3" x14ac:dyDescent="0.3">
      <c r="A163" s="143">
        <v>37018</v>
      </c>
      <c r="B163" s="276">
        <v>58.04</v>
      </c>
      <c r="C163" s="125">
        <v>35.25</v>
      </c>
    </row>
    <row r="164" spans="1:3" x14ac:dyDescent="0.3">
      <c r="A164" s="143">
        <v>37019</v>
      </c>
      <c r="B164" s="276">
        <v>56.11</v>
      </c>
      <c r="C164" s="125">
        <v>34.26</v>
      </c>
    </row>
    <row r="165" spans="1:3" x14ac:dyDescent="0.3">
      <c r="A165" s="143">
        <v>37020</v>
      </c>
      <c r="B165" s="276">
        <v>59.2</v>
      </c>
      <c r="C165" s="125">
        <v>35.520000000000003</v>
      </c>
    </row>
    <row r="166" spans="1:3" x14ac:dyDescent="0.3">
      <c r="A166" s="143">
        <v>37021</v>
      </c>
      <c r="B166" s="276">
        <v>57.6</v>
      </c>
      <c r="C166" s="125">
        <v>35.97</v>
      </c>
    </row>
    <row r="167" spans="1:3" x14ac:dyDescent="0.3">
      <c r="A167" s="143">
        <v>37022</v>
      </c>
      <c r="B167" s="125">
        <v>58.2</v>
      </c>
      <c r="C167" s="125">
        <v>35.119999999999997</v>
      </c>
    </row>
    <row r="168" spans="1:3" x14ac:dyDescent="0.3">
      <c r="A168" s="143">
        <v>37025</v>
      </c>
      <c r="B168" s="125">
        <v>58.75</v>
      </c>
      <c r="C168" s="125">
        <v>36.369999999999997</v>
      </c>
    </row>
    <row r="169" spans="1:3" x14ac:dyDescent="0.3">
      <c r="A169" s="143">
        <v>37026</v>
      </c>
      <c r="B169" s="125">
        <v>56.99</v>
      </c>
      <c r="C169" s="125">
        <v>37.119999999999997</v>
      </c>
    </row>
    <row r="170" spans="1:3" x14ac:dyDescent="0.3">
      <c r="A170" s="143">
        <v>37027</v>
      </c>
      <c r="B170" s="125">
        <v>55.01</v>
      </c>
      <c r="C170" s="125">
        <v>37.799999999999997</v>
      </c>
    </row>
    <row r="171" spans="1:3" x14ac:dyDescent="0.3">
      <c r="A171" s="143">
        <v>37028</v>
      </c>
      <c r="B171" s="125">
        <v>52.2</v>
      </c>
      <c r="C171" s="125">
        <v>38.85</v>
      </c>
    </row>
    <row r="172" spans="1:3" x14ac:dyDescent="0.3">
      <c r="A172" s="143">
        <v>37029</v>
      </c>
      <c r="B172" s="276">
        <v>54.9</v>
      </c>
      <c r="C172" s="125">
        <v>38.270000000000003</v>
      </c>
    </row>
    <row r="173" spans="1:3" x14ac:dyDescent="0.3">
      <c r="A173" s="143">
        <v>37032</v>
      </c>
      <c r="B173" s="276">
        <v>54.99</v>
      </c>
      <c r="C173" s="125">
        <v>38.770000000000003</v>
      </c>
    </row>
    <row r="174" spans="1:3" x14ac:dyDescent="0.3">
      <c r="A174" s="143">
        <v>37033</v>
      </c>
      <c r="B174" s="276">
        <v>54.95</v>
      </c>
      <c r="C174" s="125">
        <v>38.83</v>
      </c>
    </row>
    <row r="175" spans="1:3" x14ac:dyDescent="0.3">
      <c r="A175" s="143">
        <v>37034</v>
      </c>
      <c r="B175" s="276">
        <v>55.35</v>
      </c>
      <c r="C175" s="125">
        <v>38.01</v>
      </c>
    </row>
    <row r="176" spans="1:3" x14ac:dyDescent="0.3">
      <c r="A176" s="143">
        <v>37035</v>
      </c>
      <c r="B176" s="276">
        <v>54.16</v>
      </c>
      <c r="C176" s="125">
        <v>36.700000000000003</v>
      </c>
    </row>
    <row r="177" spans="1:3" x14ac:dyDescent="0.3">
      <c r="A177" s="143">
        <v>37036</v>
      </c>
      <c r="B177" s="276">
        <v>53</v>
      </c>
      <c r="C177" s="125">
        <v>37.61</v>
      </c>
    </row>
    <row r="178" spans="1:3" x14ac:dyDescent="0.3">
      <c r="A178" s="143">
        <v>37040</v>
      </c>
      <c r="B178" s="125">
        <v>53.05</v>
      </c>
      <c r="C178" s="125">
        <v>37.299999999999997</v>
      </c>
    </row>
    <row r="179" spans="1:3" x14ac:dyDescent="0.3">
      <c r="A179" s="143">
        <v>37041</v>
      </c>
      <c r="B179" s="125">
        <v>53.23</v>
      </c>
      <c r="C179" s="125">
        <v>36.54</v>
      </c>
    </row>
    <row r="180" spans="1:3" x14ac:dyDescent="0.3">
      <c r="A180" s="143">
        <v>37042</v>
      </c>
      <c r="B180" s="125">
        <v>52.91</v>
      </c>
      <c r="C180" s="125">
        <v>36.99</v>
      </c>
    </row>
    <row r="181" spans="1:3" x14ac:dyDescent="0.3">
      <c r="A181" s="143">
        <v>37043</v>
      </c>
      <c r="B181" s="125">
        <v>53.04</v>
      </c>
      <c r="C181" s="125">
        <v>37.49</v>
      </c>
    </row>
    <row r="182" spans="1:3" x14ac:dyDescent="0.3">
      <c r="A182" s="143">
        <v>37046</v>
      </c>
      <c r="B182" s="125">
        <v>54.54</v>
      </c>
      <c r="C182" s="125">
        <v>38.75</v>
      </c>
    </row>
    <row r="183" spans="1:3" x14ac:dyDescent="0.3">
      <c r="A183" s="143">
        <v>37047</v>
      </c>
      <c r="B183" s="125">
        <v>53.75</v>
      </c>
      <c r="C183" s="125">
        <v>38.18</v>
      </c>
    </row>
    <row r="184" spans="1:3" x14ac:dyDescent="0.3">
      <c r="A184" s="143">
        <v>37048</v>
      </c>
      <c r="B184" s="125">
        <v>52.33</v>
      </c>
      <c r="C184" s="125">
        <v>36.6</v>
      </c>
    </row>
    <row r="185" spans="1:3" x14ac:dyDescent="0.3">
      <c r="A185" s="143">
        <v>37049</v>
      </c>
      <c r="B185" s="125">
        <v>50.52</v>
      </c>
      <c r="C185" s="125">
        <v>35.24</v>
      </c>
    </row>
    <row r="186" spans="1:3" x14ac:dyDescent="0.3">
      <c r="A186" s="143">
        <v>37050</v>
      </c>
      <c r="B186" s="125">
        <v>51.13</v>
      </c>
      <c r="C186" s="125">
        <v>35.24</v>
      </c>
    </row>
    <row r="187" spans="1:3" x14ac:dyDescent="0.3">
      <c r="A187" s="143">
        <v>37053</v>
      </c>
      <c r="B187" s="125">
        <v>51</v>
      </c>
      <c r="C187" s="125">
        <v>34.86</v>
      </c>
    </row>
    <row r="188" spans="1:3" x14ac:dyDescent="0.3">
      <c r="A188" s="143">
        <v>37054</v>
      </c>
      <c r="B188" s="125">
        <v>50.37</v>
      </c>
      <c r="C188" s="125">
        <v>34.72</v>
      </c>
    </row>
    <row r="189" spans="1:3" x14ac:dyDescent="0.3">
      <c r="A189" s="143">
        <v>37055</v>
      </c>
      <c r="B189" s="125">
        <v>49.92</v>
      </c>
      <c r="C189" s="125">
        <v>35.6</v>
      </c>
    </row>
    <row r="190" spans="1:3" x14ac:dyDescent="0.3">
      <c r="A190" s="143">
        <v>37056</v>
      </c>
      <c r="B190" s="125">
        <v>47.91</v>
      </c>
      <c r="C190" s="125">
        <v>37.15</v>
      </c>
    </row>
    <row r="191" spans="1:3" x14ac:dyDescent="0.3">
      <c r="A191" s="143">
        <v>37057</v>
      </c>
      <c r="B191" s="125">
        <v>47.26</v>
      </c>
      <c r="C191" s="125">
        <v>39</v>
      </c>
    </row>
    <row r="192" spans="1:3" x14ac:dyDescent="0.3">
      <c r="A192" s="143">
        <v>37060</v>
      </c>
      <c r="B192" s="125">
        <v>44.7</v>
      </c>
      <c r="C192" s="125">
        <v>40.03</v>
      </c>
    </row>
    <row r="193" spans="1:3" x14ac:dyDescent="0.3">
      <c r="A193" s="143">
        <v>37061</v>
      </c>
      <c r="B193" s="125">
        <v>46.18</v>
      </c>
      <c r="C193" s="125">
        <v>38.630000000000003</v>
      </c>
    </row>
    <row r="194" spans="1:3" x14ac:dyDescent="0.3">
      <c r="A194" s="143">
        <v>37062</v>
      </c>
      <c r="B194" s="125">
        <v>45.8</v>
      </c>
      <c r="C194" s="125">
        <v>39.020000000000003</v>
      </c>
    </row>
    <row r="195" spans="1:3" x14ac:dyDescent="0.3">
      <c r="A195" s="143">
        <v>37063</v>
      </c>
      <c r="B195" s="125">
        <v>44.05</v>
      </c>
      <c r="C195" s="125">
        <v>35.5</v>
      </c>
    </row>
    <row r="196" spans="1:3" x14ac:dyDescent="0.3">
      <c r="A196" s="143">
        <v>37064</v>
      </c>
      <c r="B196" s="276">
        <v>44.88</v>
      </c>
      <c r="C196" s="125">
        <v>34.6</v>
      </c>
    </row>
    <row r="197" spans="1:3" x14ac:dyDescent="0.3">
      <c r="A197" s="143">
        <v>37067</v>
      </c>
      <c r="B197" s="276">
        <v>44.07</v>
      </c>
      <c r="C197" s="125">
        <v>33.89</v>
      </c>
    </row>
    <row r="198" spans="1:3" x14ac:dyDescent="0.3">
      <c r="A198" s="143">
        <v>37068</v>
      </c>
      <c r="B198" s="276">
        <v>44.19</v>
      </c>
      <c r="C198" s="125">
        <v>35.450000000000003</v>
      </c>
    </row>
    <row r="199" spans="1:3" x14ac:dyDescent="0.3">
      <c r="A199" s="143">
        <v>37069</v>
      </c>
      <c r="B199" s="276">
        <v>46.72</v>
      </c>
      <c r="C199" s="125">
        <v>34.76</v>
      </c>
    </row>
    <row r="200" spans="1:3" x14ac:dyDescent="0.3">
      <c r="A200" s="143">
        <v>37070</v>
      </c>
      <c r="B200" s="276">
        <v>48.34</v>
      </c>
      <c r="C200" s="125">
        <v>33.67</v>
      </c>
    </row>
    <row r="201" spans="1:3" x14ac:dyDescent="0.3">
      <c r="A201" s="143">
        <v>37071</v>
      </c>
      <c r="B201" s="276">
        <v>49.1</v>
      </c>
      <c r="C201" s="125">
        <v>33.090000000000003</v>
      </c>
    </row>
    <row r="202" spans="1:3" x14ac:dyDescent="0.3">
      <c r="A202" s="143">
        <v>37083</v>
      </c>
      <c r="B202" s="276">
        <v>49.1</v>
      </c>
      <c r="C202" s="125">
        <v>31.99</v>
      </c>
    </row>
    <row r="203" spans="1:3" x14ac:dyDescent="0.3">
      <c r="A203" s="143">
        <v>37084</v>
      </c>
      <c r="B203" s="276">
        <v>49.55</v>
      </c>
      <c r="C203" s="125">
        <v>31.41</v>
      </c>
    </row>
    <row r="204" spans="1:3" x14ac:dyDescent="0.3">
      <c r="A204" s="143">
        <v>37085</v>
      </c>
      <c r="B204" s="276">
        <v>48.78</v>
      </c>
      <c r="C204" s="125">
        <v>30.99</v>
      </c>
    </row>
    <row r="205" spans="1:3" x14ac:dyDescent="0.3">
      <c r="A205" s="143">
        <v>37088</v>
      </c>
      <c r="B205" s="276">
        <v>49.12</v>
      </c>
      <c r="C205" s="125">
        <v>30.69</v>
      </c>
    </row>
    <row r="206" spans="1:3" x14ac:dyDescent="0.3">
      <c r="A206" s="143">
        <v>37089</v>
      </c>
      <c r="B206" s="276">
        <v>49.85</v>
      </c>
      <c r="C206" s="125">
        <v>30.13</v>
      </c>
    </row>
    <row r="207" spans="1:3" x14ac:dyDescent="0.3">
      <c r="A207" s="143">
        <v>37090</v>
      </c>
      <c r="B207" s="276">
        <v>48.97</v>
      </c>
      <c r="C207" s="125">
        <v>29.65</v>
      </c>
    </row>
    <row r="208" spans="1:3" x14ac:dyDescent="0.3">
      <c r="A208" s="143">
        <v>37091</v>
      </c>
      <c r="B208" s="276">
        <v>49.08</v>
      </c>
      <c r="C208" s="125">
        <v>30.46</v>
      </c>
    </row>
    <row r="209" spans="1:3" x14ac:dyDescent="0.3">
      <c r="A209" s="143">
        <v>37092</v>
      </c>
      <c r="B209" s="276">
        <v>48.16</v>
      </c>
      <c r="C209" s="125">
        <v>31.03</v>
      </c>
    </row>
    <row r="210" spans="1:3" x14ac:dyDescent="0.3">
      <c r="A210" s="143">
        <v>37095</v>
      </c>
      <c r="B210" s="276">
        <v>46.66</v>
      </c>
      <c r="C210" s="125">
        <v>31.85</v>
      </c>
    </row>
    <row r="211" spans="1:3" x14ac:dyDescent="0.3">
      <c r="A211" s="143">
        <v>37096</v>
      </c>
      <c r="B211" s="276">
        <v>43.24</v>
      </c>
      <c r="C211" s="125">
        <v>31.19</v>
      </c>
    </row>
    <row r="212" spans="1:3" x14ac:dyDescent="0.3">
      <c r="A212" s="143">
        <v>37097</v>
      </c>
      <c r="B212" s="276">
        <v>44.96</v>
      </c>
      <c r="C212" s="125">
        <v>32.42</v>
      </c>
    </row>
    <row r="213" spans="1:3" x14ac:dyDescent="0.3">
      <c r="A213" s="143">
        <v>37098</v>
      </c>
      <c r="B213" s="276">
        <v>46.84</v>
      </c>
      <c r="C213" s="125">
        <v>32.4</v>
      </c>
    </row>
    <row r="214" spans="1:3" x14ac:dyDescent="0.3">
      <c r="A214" s="143">
        <v>37099</v>
      </c>
      <c r="B214" s="276">
        <v>46.1</v>
      </c>
      <c r="C214" s="125">
        <v>32.590000000000003</v>
      </c>
    </row>
    <row r="215" spans="1:3" x14ac:dyDescent="0.3">
      <c r="A215" s="143">
        <v>37102</v>
      </c>
      <c r="B215" s="276">
        <v>45.73</v>
      </c>
      <c r="C215" s="125">
        <v>32.96</v>
      </c>
    </row>
    <row r="216" spans="1:3" x14ac:dyDescent="0.3">
      <c r="A216" s="143">
        <v>37103</v>
      </c>
      <c r="B216" s="276">
        <v>45.35</v>
      </c>
      <c r="C216" s="125">
        <v>33.47</v>
      </c>
    </row>
    <row r="217" spans="1:3" x14ac:dyDescent="0.3">
      <c r="A217" s="143">
        <v>37104</v>
      </c>
      <c r="B217" s="276">
        <v>45.61</v>
      </c>
      <c r="C217" s="125">
        <v>33.619999999999997</v>
      </c>
    </row>
    <row r="218" spans="1:3" x14ac:dyDescent="0.3">
      <c r="A218" s="143">
        <v>37105</v>
      </c>
      <c r="B218" s="276">
        <v>45.58</v>
      </c>
      <c r="C218" s="125">
        <v>32.89</v>
      </c>
    </row>
    <row r="219" spans="1:3" x14ac:dyDescent="0.3">
      <c r="A219" s="143">
        <v>37106</v>
      </c>
      <c r="B219" s="276">
        <v>45.36</v>
      </c>
      <c r="C219" s="125">
        <v>31.9</v>
      </c>
    </row>
    <row r="220" spans="1:3" x14ac:dyDescent="0.3">
      <c r="A220" s="143">
        <v>37109</v>
      </c>
      <c r="B220" s="276">
        <v>44.5</v>
      </c>
      <c r="C220" s="125">
        <v>31.24</v>
      </c>
    </row>
    <row r="221" spans="1:3" x14ac:dyDescent="0.3">
      <c r="A221" s="143">
        <v>37110</v>
      </c>
      <c r="B221" s="276">
        <v>43.6</v>
      </c>
      <c r="C221" s="125">
        <v>30.44</v>
      </c>
    </row>
    <row r="222" spans="1:3" x14ac:dyDescent="0.3">
      <c r="A222" s="143">
        <v>37111</v>
      </c>
      <c r="B222" s="276">
        <v>42.85</v>
      </c>
      <c r="C222" s="125">
        <v>29.77</v>
      </c>
    </row>
    <row r="223" spans="1:3" x14ac:dyDescent="0.3">
      <c r="A223" s="143">
        <v>37112</v>
      </c>
      <c r="B223" s="276">
        <v>42.78</v>
      </c>
      <c r="C223" s="125">
        <v>30.73</v>
      </c>
    </row>
    <row r="224" spans="1:3" x14ac:dyDescent="0.3">
      <c r="A224" s="143">
        <v>37113</v>
      </c>
      <c r="B224" s="276">
        <v>42.81</v>
      </c>
      <c r="C224" s="125">
        <v>31.3</v>
      </c>
    </row>
    <row r="225" spans="1:3" x14ac:dyDescent="0.3">
      <c r="A225" s="143">
        <v>37116</v>
      </c>
      <c r="B225" s="276">
        <v>42.15</v>
      </c>
      <c r="C225" s="125">
        <v>30.95</v>
      </c>
    </row>
    <row r="226" spans="1:3" ht="14.25" customHeight="1" x14ac:dyDescent="0.3">
      <c r="A226" s="143">
        <v>37117</v>
      </c>
      <c r="B226" s="276">
        <v>42.93</v>
      </c>
      <c r="C226" s="125">
        <v>31.1</v>
      </c>
    </row>
    <row r="227" spans="1:3" x14ac:dyDescent="0.3">
      <c r="A227" s="143">
        <v>37118</v>
      </c>
      <c r="B227" s="276">
        <v>40.25</v>
      </c>
      <c r="C227" s="125">
        <v>31.46</v>
      </c>
    </row>
    <row r="228" spans="1:3" x14ac:dyDescent="0.3">
      <c r="A228" s="143">
        <v>37119</v>
      </c>
      <c r="B228" s="276">
        <v>36.85</v>
      </c>
      <c r="C228" s="125">
        <v>31.01</v>
      </c>
    </row>
    <row r="229" spans="1:3" x14ac:dyDescent="0.3">
      <c r="A229" s="143">
        <v>37120</v>
      </c>
      <c r="B229" s="276">
        <v>36.67</v>
      </c>
      <c r="C229" s="125">
        <v>30.55</v>
      </c>
    </row>
    <row r="230" spans="1:3" x14ac:dyDescent="0.3">
      <c r="A230" s="143">
        <v>37123</v>
      </c>
      <c r="B230" s="276">
        <v>36.25</v>
      </c>
      <c r="C230" s="125">
        <v>30.07</v>
      </c>
    </row>
    <row r="231" spans="1:3" x14ac:dyDescent="0.3">
      <c r="A231" s="143">
        <v>37124</v>
      </c>
      <c r="B231" s="276">
        <v>36.880000000000003</v>
      </c>
      <c r="C231" s="125">
        <v>29.99</v>
      </c>
    </row>
    <row r="232" spans="1:3" x14ac:dyDescent="0.3">
      <c r="A232" s="143">
        <v>37125</v>
      </c>
      <c r="B232" s="276">
        <v>37.26</v>
      </c>
      <c r="C232" s="125">
        <v>29.4</v>
      </c>
    </row>
    <row r="233" spans="1:3" x14ac:dyDescent="0.3">
      <c r="A233" s="143">
        <v>37126</v>
      </c>
      <c r="B233" s="276">
        <v>36.96</v>
      </c>
      <c r="C233" s="125">
        <v>29.24</v>
      </c>
    </row>
    <row r="234" spans="1:3" x14ac:dyDescent="0.3">
      <c r="A234" s="143">
        <v>37127</v>
      </c>
      <c r="B234" s="276">
        <v>36.35</v>
      </c>
      <c r="C234" s="125">
        <v>28.33</v>
      </c>
    </row>
    <row r="235" spans="1:3" x14ac:dyDescent="0.3">
      <c r="A235" s="143">
        <v>37130</v>
      </c>
      <c r="B235" s="276">
        <v>37.76</v>
      </c>
      <c r="C235" s="125">
        <v>27.14</v>
      </c>
    </row>
    <row r="236" spans="1:3" x14ac:dyDescent="0.3">
      <c r="A236" s="143">
        <v>37131</v>
      </c>
      <c r="B236" s="276">
        <v>38.159999999999997</v>
      </c>
      <c r="C236" s="125">
        <v>26.5</v>
      </c>
    </row>
    <row r="237" spans="1:3" x14ac:dyDescent="0.3">
      <c r="A237" s="143">
        <v>37132</v>
      </c>
      <c r="B237" s="276">
        <v>37.299999999999997</v>
      </c>
      <c r="C237" s="125">
        <v>26.1</v>
      </c>
    </row>
    <row r="238" spans="1:3" x14ac:dyDescent="0.3">
      <c r="A238" s="143">
        <v>37133</v>
      </c>
      <c r="B238" s="276">
        <v>35.5</v>
      </c>
      <c r="C238" s="125">
        <v>24.08</v>
      </c>
    </row>
    <row r="239" spans="1:3" x14ac:dyDescent="0.3">
      <c r="A239" s="143">
        <v>37134</v>
      </c>
      <c r="B239" s="276">
        <v>34.99</v>
      </c>
      <c r="C239" s="125">
        <v>25.26</v>
      </c>
    </row>
    <row r="240" spans="1:3" x14ac:dyDescent="0.3">
      <c r="A240" s="143">
        <v>37138</v>
      </c>
      <c r="B240" s="276">
        <v>35</v>
      </c>
      <c r="C240" s="125">
        <v>26.04</v>
      </c>
    </row>
    <row r="241" spans="1:3" x14ac:dyDescent="0.3">
      <c r="A241" s="143">
        <v>37139</v>
      </c>
      <c r="B241" s="276">
        <v>32.36</v>
      </c>
      <c r="C241" s="125">
        <v>25.28</v>
      </c>
    </row>
    <row r="242" spans="1:3" x14ac:dyDescent="0.3">
      <c r="A242" s="143">
        <v>37140</v>
      </c>
      <c r="B242" s="276">
        <v>30.49</v>
      </c>
      <c r="C242" s="125">
        <v>26</v>
      </c>
    </row>
    <row r="243" spans="1:3" x14ac:dyDescent="0.3">
      <c r="A243" s="143">
        <v>37141</v>
      </c>
      <c r="B243" s="276">
        <v>31.57</v>
      </c>
      <c r="C243" s="125">
        <v>25.05</v>
      </c>
    </row>
    <row r="244" spans="1:3" x14ac:dyDescent="0.3">
      <c r="A244" s="143">
        <v>37144</v>
      </c>
      <c r="B244" s="276">
        <v>32.76</v>
      </c>
      <c r="C244" s="125">
        <v>23.91</v>
      </c>
    </row>
    <row r="245" spans="1:3" x14ac:dyDescent="0.3">
      <c r="A245" s="143">
        <v>37148</v>
      </c>
      <c r="B245" s="276">
        <v>32.76</v>
      </c>
      <c r="C245" s="125">
        <v>23.91</v>
      </c>
    </row>
    <row r="246" spans="1:3" x14ac:dyDescent="0.3">
      <c r="A246" s="143">
        <v>37151</v>
      </c>
      <c r="B246" s="276">
        <v>30.67</v>
      </c>
      <c r="C246" s="125">
        <v>23.65</v>
      </c>
    </row>
    <row r="247" spans="1:3" x14ac:dyDescent="0.3">
      <c r="A247" s="143">
        <v>37152</v>
      </c>
      <c r="B247" s="276">
        <v>28.08</v>
      </c>
      <c r="C247" s="125">
        <v>23.35</v>
      </c>
    </row>
    <row r="248" spans="1:3" x14ac:dyDescent="0.3">
      <c r="A248" s="143">
        <v>37153</v>
      </c>
      <c r="B248" s="276">
        <v>26.41</v>
      </c>
      <c r="C248" s="125">
        <v>21.75</v>
      </c>
    </row>
    <row r="249" spans="1:3" x14ac:dyDescent="0.3">
      <c r="A249" s="143">
        <v>37154</v>
      </c>
      <c r="B249" s="276">
        <v>28.39</v>
      </c>
      <c r="C249" s="125">
        <v>20.7</v>
      </c>
    </row>
    <row r="250" spans="1:3" x14ac:dyDescent="0.3">
      <c r="A250" s="143">
        <v>37155</v>
      </c>
      <c r="B250" s="276">
        <v>28.3</v>
      </c>
      <c r="C250" s="125">
        <v>21.11</v>
      </c>
    </row>
    <row r="251" spans="1:3" x14ac:dyDescent="0.3">
      <c r="A251" s="143">
        <v>37158</v>
      </c>
      <c r="B251" s="276">
        <v>27</v>
      </c>
      <c r="C251" s="125">
        <v>20.05</v>
      </c>
    </row>
    <row r="252" spans="1:3" x14ac:dyDescent="0.3">
      <c r="A252" s="143">
        <v>37159</v>
      </c>
      <c r="B252" s="276">
        <v>27</v>
      </c>
      <c r="C252" s="125">
        <v>19.95</v>
      </c>
    </row>
    <row r="253" spans="1:3" x14ac:dyDescent="0.3">
      <c r="A253" s="143">
        <v>37160</v>
      </c>
      <c r="B253" s="276">
        <v>25.15</v>
      </c>
      <c r="C253" s="125">
        <v>19.45</v>
      </c>
    </row>
    <row r="254" spans="1:3" x14ac:dyDescent="0.3">
      <c r="A254" s="143">
        <v>37161</v>
      </c>
      <c r="B254" s="276">
        <v>25.25</v>
      </c>
      <c r="C254" s="125">
        <v>20.28</v>
      </c>
    </row>
    <row r="255" spans="1:3" x14ac:dyDescent="0.3">
      <c r="A255" s="143"/>
      <c r="B255" s="276"/>
    </row>
    <row r="256" spans="1:3" x14ac:dyDescent="0.3">
      <c r="A256" s="143"/>
      <c r="B256" s="276"/>
    </row>
    <row r="257" spans="1:2" x14ac:dyDescent="0.3">
      <c r="A257" s="143"/>
      <c r="B257" s="276"/>
    </row>
    <row r="258" spans="1:2" x14ac:dyDescent="0.3">
      <c r="A258" s="143"/>
      <c r="B258" s="276"/>
    </row>
    <row r="259" spans="1:2" x14ac:dyDescent="0.3">
      <c r="A259" s="143"/>
      <c r="B259" s="276"/>
    </row>
    <row r="260" spans="1:2" x14ac:dyDescent="0.3">
      <c r="A260" s="143"/>
      <c r="B260" s="276"/>
    </row>
    <row r="261" spans="1:2" x14ac:dyDescent="0.3">
      <c r="A261" s="143"/>
      <c r="B261" s="276"/>
    </row>
    <row r="262" spans="1:2" x14ac:dyDescent="0.3">
      <c r="A262" s="143"/>
      <c r="B262" s="276"/>
    </row>
    <row r="263" spans="1:2" x14ac:dyDescent="0.3">
      <c r="A263" s="143"/>
      <c r="B263" s="276"/>
    </row>
    <row r="264" spans="1:2" x14ac:dyDescent="0.3">
      <c r="A264" s="143"/>
      <c r="B264" s="276"/>
    </row>
    <row r="265" spans="1:2" x14ac:dyDescent="0.3">
      <c r="A265" s="143"/>
      <c r="B265" s="276"/>
    </row>
    <row r="266" spans="1:2" x14ac:dyDescent="0.3">
      <c r="A266" s="143"/>
      <c r="B266" s="276"/>
    </row>
    <row r="267" spans="1:2" x14ac:dyDescent="0.3">
      <c r="A267" s="143"/>
      <c r="B267" s="276"/>
    </row>
    <row r="268" spans="1:2" x14ac:dyDescent="0.3">
      <c r="A268" s="143"/>
      <c r="B268" s="276"/>
    </row>
    <row r="269" spans="1:2" x14ac:dyDescent="0.3">
      <c r="A269" s="143"/>
      <c r="B269" s="276"/>
    </row>
    <row r="270" spans="1:2" x14ac:dyDescent="0.3">
      <c r="A270" s="143"/>
      <c r="B270" s="276"/>
    </row>
    <row r="271" spans="1:2" x14ac:dyDescent="0.3">
      <c r="A271" s="143"/>
      <c r="B271" s="276"/>
    </row>
    <row r="272" spans="1:2" x14ac:dyDescent="0.3">
      <c r="A272" s="143"/>
      <c r="B272" s="276"/>
    </row>
    <row r="273" spans="1:2" x14ac:dyDescent="0.3">
      <c r="A273" s="143"/>
      <c r="B273" s="276"/>
    </row>
    <row r="274" spans="1:2" x14ac:dyDescent="0.3">
      <c r="A274" s="143"/>
      <c r="B274" s="276"/>
    </row>
    <row r="275" spans="1:2" x14ac:dyDescent="0.3">
      <c r="A275" s="143"/>
      <c r="B275" s="276"/>
    </row>
    <row r="276" spans="1:2" x14ac:dyDescent="0.3">
      <c r="A276" s="143"/>
      <c r="B276" s="276"/>
    </row>
    <row r="277" spans="1:2" x14ac:dyDescent="0.3">
      <c r="A277" s="143"/>
      <c r="B277" s="276"/>
    </row>
    <row r="278" spans="1:2" x14ac:dyDescent="0.3">
      <c r="A278" s="143"/>
      <c r="B278" s="276"/>
    </row>
    <row r="279" spans="1:2" x14ac:dyDescent="0.3">
      <c r="A279" s="143"/>
      <c r="B279" s="276"/>
    </row>
    <row r="280" spans="1:2" x14ac:dyDescent="0.3">
      <c r="A280" s="143"/>
      <c r="B280" s="276"/>
    </row>
    <row r="281" spans="1:2" x14ac:dyDescent="0.3">
      <c r="A281" s="143"/>
      <c r="B281" s="276"/>
    </row>
    <row r="282" spans="1:2" x14ac:dyDescent="0.3">
      <c r="A282" s="143"/>
      <c r="B282" s="276"/>
    </row>
    <row r="283" spans="1:2" x14ac:dyDescent="0.3">
      <c r="A283" s="143"/>
      <c r="B283" s="276"/>
    </row>
    <row r="284" spans="1:2" x14ac:dyDescent="0.3">
      <c r="A284" s="143"/>
      <c r="B284" s="276"/>
    </row>
    <row r="285" spans="1:2" x14ac:dyDescent="0.3">
      <c r="A285" s="143"/>
      <c r="B285" s="276"/>
    </row>
    <row r="286" spans="1:2" x14ac:dyDescent="0.3">
      <c r="A286" s="143"/>
      <c r="B286" s="276"/>
    </row>
    <row r="287" spans="1:2" x14ac:dyDescent="0.3">
      <c r="A287" s="143"/>
      <c r="B287" s="276"/>
    </row>
    <row r="288" spans="1:2" x14ac:dyDescent="0.3">
      <c r="A288" s="143"/>
      <c r="B288" s="276"/>
    </row>
    <row r="289" spans="1:2" x14ac:dyDescent="0.3">
      <c r="A289" s="143"/>
      <c r="B289" s="276"/>
    </row>
    <row r="290" spans="1:2" x14ac:dyDescent="0.3">
      <c r="A290" s="143"/>
      <c r="B290" s="276"/>
    </row>
    <row r="291" spans="1:2" x14ac:dyDescent="0.3">
      <c r="A291" s="143"/>
      <c r="B291" s="276"/>
    </row>
    <row r="292" spans="1:2" x14ac:dyDescent="0.3">
      <c r="A292" s="143"/>
      <c r="B292" s="276"/>
    </row>
    <row r="293" spans="1:2" x14ac:dyDescent="0.3">
      <c r="A293" s="143"/>
      <c r="B293" s="276"/>
    </row>
    <row r="294" spans="1:2" x14ac:dyDescent="0.3">
      <c r="A294" s="143"/>
      <c r="B294" s="276"/>
    </row>
    <row r="295" spans="1:2" x14ac:dyDescent="0.3">
      <c r="A295" s="143"/>
      <c r="B295" s="276"/>
    </row>
    <row r="296" spans="1:2" x14ac:dyDescent="0.3">
      <c r="A296" s="143"/>
      <c r="B296" s="276"/>
    </row>
    <row r="297" spans="1:2" x14ac:dyDescent="0.3">
      <c r="A297" s="143"/>
      <c r="B297" s="276"/>
    </row>
    <row r="298" spans="1:2" x14ac:dyDescent="0.3">
      <c r="A298" s="143"/>
      <c r="B298" s="276"/>
    </row>
    <row r="299" spans="1:2" x14ac:dyDescent="0.3">
      <c r="A299" s="143"/>
      <c r="B299" s="276"/>
    </row>
    <row r="300" spans="1:2" x14ac:dyDescent="0.3">
      <c r="A300" s="143"/>
      <c r="B300" s="276"/>
    </row>
    <row r="344" spans="1:3" x14ac:dyDescent="0.3">
      <c r="A344" s="1" t="s">
        <v>158</v>
      </c>
    </row>
    <row r="346" spans="1:3" x14ac:dyDescent="0.3">
      <c r="A346" s="143">
        <f>+[1]Table!$B$3</f>
        <v>37161</v>
      </c>
      <c r="B346" s="276">
        <f>+[1]Table!$B$5</f>
        <v>25.25</v>
      </c>
      <c r="C346" s="125">
        <f>INDEX(MPRR, MATCH("Hanover Compressor Common Raptor II",'MPR Raptor'!$E$3:$E$140,), MATCH("Per Share",'MPR Raptor'!$E$3:$CM$3,))</f>
        <v>20.28</v>
      </c>
    </row>
    <row r="347" spans="1:3" x14ac:dyDescent="0.3">
      <c r="A347" s="143"/>
      <c r="B347"/>
    </row>
    <row r="348" spans="1:3" x14ac:dyDescent="0.3">
      <c r="B348"/>
    </row>
    <row r="349" spans="1:3" x14ac:dyDescent="0.3">
      <c r="B349"/>
    </row>
    <row r="350" spans="1:3" x14ac:dyDescent="0.3">
      <c r="B350"/>
    </row>
    <row r="351" spans="1:3" x14ac:dyDescent="0.3">
      <c r="B351"/>
    </row>
    <row r="352" spans="1:3" x14ac:dyDescent="0.3">
      <c r="B352"/>
    </row>
    <row r="353" spans="2:2" x14ac:dyDescent="0.3">
      <c r="B353"/>
    </row>
    <row r="354" spans="2:2" x14ac:dyDescent="0.3">
      <c r="B354"/>
    </row>
    <row r="355" spans="2:2" x14ac:dyDescent="0.3">
      <c r="B355"/>
    </row>
    <row r="356" spans="2:2" x14ac:dyDescent="0.3">
      <c r="B356"/>
    </row>
    <row r="357" spans="2:2" x14ac:dyDescent="0.3">
      <c r="B357"/>
    </row>
    <row r="358" spans="2:2" x14ac:dyDescent="0.3">
      <c r="B358"/>
    </row>
    <row r="359" spans="2:2" x14ac:dyDescent="0.3">
      <c r="B359"/>
    </row>
    <row r="360" spans="2:2" x14ac:dyDescent="0.3">
      <c r="B360"/>
    </row>
    <row r="361" spans="2:2" x14ac:dyDescent="0.3">
      <c r="B361"/>
    </row>
    <row r="362" spans="2:2" x14ac:dyDescent="0.3">
      <c r="B362"/>
    </row>
    <row r="363" spans="2:2" x14ac:dyDescent="0.3">
      <c r="B363"/>
    </row>
    <row r="364" spans="2:2" x14ac:dyDescent="0.3">
      <c r="B364"/>
    </row>
    <row r="365" spans="2:2" x14ac:dyDescent="0.3">
      <c r="B365"/>
    </row>
    <row r="366" spans="2:2" x14ac:dyDescent="0.3">
      <c r="B366"/>
    </row>
    <row r="367" spans="2:2" x14ac:dyDescent="0.3">
      <c r="B367"/>
    </row>
    <row r="368" spans="2:2" x14ac:dyDescent="0.3">
      <c r="B368"/>
    </row>
    <row r="369" spans="2:2" x14ac:dyDescent="0.3">
      <c r="B369"/>
    </row>
    <row r="370" spans="2:2" x14ac:dyDescent="0.3">
      <c r="B370"/>
    </row>
    <row r="371" spans="2:2" x14ac:dyDescent="0.3">
      <c r="B371"/>
    </row>
    <row r="372" spans="2:2" x14ac:dyDescent="0.3">
      <c r="B372"/>
    </row>
    <row r="373" spans="2:2" x14ac:dyDescent="0.3">
      <c r="B373"/>
    </row>
    <row r="374" spans="2:2" x14ac:dyDescent="0.3">
      <c r="B374"/>
    </row>
    <row r="375" spans="2:2" x14ac:dyDescent="0.3">
      <c r="B375"/>
    </row>
    <row r="376" spans="2:2" x14ac:dyDescent="0.3">
      <c r="B376"/>
    </row>
    <row r="377" spans="2:2" x14ac:dyDescent="0.3">
      <c r="B377"/>
    </row>
    <row r="378" spans="2:2" x14ac:dyDescent="0.3">
      <c r="B378"/>
    </row>
    <row r="379" spans="2:2" x14ac:dyDescent="0.3">
      <c r="B379"/>
    </row>
    <row r="380" spans="2:2" x14ac:dyDescent="0.3">
      <c r="B380"/>
    </row>
    <row r="381" spans="2:2" x14ac:dyDescent="0.3">
      <c r="B381"/>
    </row>
    <row r="382" spans="2:2" x14ac:dyDescent="0.3">
      <c r="B382"/>
    </row>
    <row r="383" spans="2:2" x14ac:dyDescent="0.3">
      <c r="B383"/>
    </row>
    <row r="384" spans="2:2" x14ac:dyDescent="0.3">
      <c r="B384"/>
    </row>
    <row r="385" spans="2:2" x14ac:dyDescent="0.3">
      <c r="B385"/>
    </row>
    <row r="386" spans="2:2" x14ac:dyDescent="0.3">
      <c r="B386"/>
    </row>
    <row r="387" spans="2:2" x14ac:dyDescent="0.3">
      <c r="B387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T61"/>
  <sheetViews>
    <sheetView showGridLines="0" topLeftCell="B10" zoomScaleNormal="100" workbookViewId="0">
      <selection activeCell="H18" sqref="H18"/>
    </sheetView>
  </sheetViews>
  <sheetFormatPr defaultColWidth="9" defaultRowHeight="15.6" x14ac:dyDescent="0.3"/>
  <cols>
    <col min="1" max="1" width="23.5" style="7" customWidth="1"/>
    <col min="2" max="2" width="12.09765625" style="7" bestFit="1" customWidth="1"/>
    <col min="3" max="3" width="3" style="7" customWidth="1"/>
    <col min="4" max="4" width="15.59765625" style="7" customWidth="1"/>
    <col min="5" max="5" width="12.09765625" style="7" bestFit="1" customWidth="1"/>
    <col min="6" max="6" width="1.69921875" style="13" bestFit="1" customWidth="1"/>
    <col min="7" max="7" width="2" style="7" customWidth="1"/>
    <col min="8" max="8" width="41.8984375" style="7" bestFit="1" customWidth="1"/>
    <col min="9" max="9" width="14.59765625" style="14" bestFit="1" customWidth="1"/>
    <col min="10" max="10" width="1.69921875" style="7" bestFit="1" customWidth="1"/>
    <col min="11" max="11" width="1.5" style="13" customWidth="1"/>
    <col min="12" max="12" width="24.19921875" style="7" customWidth="1"/>
    <col min="13" max="13" width="13" style="7" customWidth="1"/>
    <col min="14" max="14" width="3.5" style="7" customWidth="1"/>
    <col min="15" max="16" width="15.3984375" style="7" bestFit="1" customWidth="1"/>
    <col min="17" max="17" width="3.19921875" style="13" bestFit="1" customWidth="1"/>
    <col min="18" max="18" width="12.3984375" style="7" customWidth="1"/>
    <col min="19" max="19" width="10.09765625" style="7" customWidth="1"/>
    <col min="20" max="20" width="10.69921875" style="7" customWidth="1"/>
    <col min="21" max="21" width="10.5" style="7" customWidth="1"/>
    <col min="22" max="22" width="11.09765625" style="7" customWidth="1"/>
    <col min="23" max="23" width="12.5" style="7" customWidth="1"/>
    <col min="24" max="16384" width="9" style="7"/>
  </cols>
  <sheetData>
    <row r="1" spans="1:18" x14ac:dyDescent="0.3">
      <c r="A1" s="6" t="s">
        <v>82</v>
      </c>
    </row>
    <row r="2" spans="1:18" x14ac:dyDescent="0.3">
      <c r="A2" s="7" t="s">
        <v>193</v>
      </c>
      <c r="H2" s="298">
        <f>+Summary!C5</f>
        <v>37161</v>
      </c>
      <c r="I2" s="298"/>
      <c r="J2" s="96"/>
      <c r="L2" s="298">
        <f>H2</f>
        <v>37161</v>
      </c>
      <c r="M2" s="298"/>
      <c r="N2" s="298"/>
      <c r="O2" s="298"/>
      <c r="P2" s="298"/>
    </row>
    <row r="3" spans="1:18" ht="16.2" thickBot="1" x14ac:dyDescent="0.35">
      <c r="A3" s="1">
        <v>36706</v>
      </c>
      <c r="H3" s="299" t="s">
        <v>95</v>
      </c>
      <c r="I3" s="299"/>
      <c r="J3" s="97"/>
      <c r="L3" s="299" t="s">
        <v>95</v>
      </c>
      <c r="M3" s="299"/>
      <c r="N3" s="299"/>
      <c r="O3" s="299"/>
      <c r="P3" s="299"/>
    </row>
    <row r="4" spans="1:18" x14ac:dyDescent="0.3">
      <c r="A4" s="300" t="s">
        <v>489</v>
      </c>
      <c r="B4" s="300"/>
      <c r="C4" s="300"/>
      <c r="D4" s="300"/>
      <c r="E4" s="300"/>
      <c r="F4" s="300"/>
      <c r="H4" s="117" t="s">
        <v>96</v>
      </c>
      <c r="I4" s="118"/>
      <c r="J4" s="13"/>
    </row>
    <row r="5" spans="1:18" ht="16.2" thickBot="1" x14ac:dyDescent="0.35">
      <c r="A5" s="304" t="s">
        <v>30</v>
      </c>
      <c r="B5" s="304"/>
      <c r="D5" s="304" t="s">
        <v>31</v>
      </c>
      <c r="E5" s="304"/>
      <c r="H5" s="119" t="s">
        <v>97</v>
      </c>
      <c r="I5" s="269">
        <f>+'Stock Prices'!B346</f>
        <v>25.25</v>
      </c>
      <c r="J5" s="13"/>
      <c r="L5" s="300" t="s">
        <v>443</v>
      </c>
      <c r="M5" s="300"/>
      <c r="N5" s="300"/>
      <c r="O5" s="300"/>
      <c r="P5" s="300"/>
      <c r="Q5" s="97"/>
    </row>
    <row r="6" spans="1:18" x14ac:dyDescent="0.3">
      <c r="A6" s="7" t="s">
        <v>32</v>
      </c>
      <c r="B6" s="7">
        <f>E6+E9+E10</f>
        <v>71001000</v>
      </c>
      <c r="D6" s="7" t="s">
        <v>33</v>
      </c>
      <c r="E6" s="7">
        <v>41000000</v>
      </c>
      <c r="F6" s="15" t="s">
        <v>34</v>
      </c>
      <c r="H6" s="119" t="s">
        <v>98</v>
      </c>
      <c r="I6" s="120">
        <f>+'Cash-Int-Trans'!E72</f>
        <v>3.7100000000000001E-2</v>
      </c>
      <c r="J6" s="13"/>
      <c r="L6" s="93" t="s">
        <v>139</v>
      </c>
      <c r="M6" s="98">
        <f>H2</f>
        <v>37161</v>
      </c>
      <c r="N6" s="99"/>
      <c r="O6" s="99"/>
      <c r="P6" s="99"/>
      <c r="Q6" s="100"/>
    </row>
    <row r="7" spans="1:18" ht="16.2" thickBot="1" x14ac:dyDescent="0.35">
      <c r="A7" s="7" t="s">
        <v>35</v>
      </c>
      <c r="B7" s="7">
        <v>50000000</v>
      </c>
      <c r="D7" s="7" t="s">
        <v>36</v>
      </c>
      <c r="E7" s="7">
        <f>B11-E6-E9-E10</f>
        <v>400000000</v>
      </c>
      <c r="H7" s="301" t="s">
        <v>153</v>
      </c>
      <c r="I7" s="302"/>
      <c r="J7" s="13"/>
      <c r="L7" s="304" t="s">
        <v>30</v>
      </c>
      <c r="M7" s="304"/>
      <c r="O7" s="304" t="s">
        <v>31</v>
      </c>
      <c r="P7" s="304"/>
    </row>
    <row r="8" spans="1:18" x14ac:dyDescent="0.3">
      <c r="A8" s="7" t="s">
        <v>38</v>
      </c>
      <c r="B8" s="7">
        <f>B18</f>
        <v>350000000</v>
      </c>
      <c r="C8" s="18" t="s">
        <v>39</v>
      </c>
      <c r="H8" s="121" t="s">
        <v>154</v>
      </c>
      <c r="I8" s="122"/>
      <c r="J8" s="13"/>
      <c r="L8" s="7" t="s">
        <v>37</v>
      </c>
      <c r="M8" s="7">
        <f>+'Cash-Int-Trans'!B40</f>
        <v>38035671.695602894</v>
      </c>
      <c r="O8" s="7" t="s">
        <v>105</v>
      </c>
      <c r="P8" s="7">
        <f>+E6-'Cash-Int-Trans'!B4+'Cash-Int-Trans'!B8</f>
        <v>0</v>
      </c>
      <c r="Q8" s="17" t="str">
        <f>IF(P8&lt;&gt;0,"Not OK Check Put Value Table", "OK")</f>
        <v>OK</v>
      </c>
    </row>
    <row r="9" spans="1:18" x14ac:dyDescent="0.3">
      <c r="D9" s="7" t="s">
        <v>40</v>
      </c>
      <c r="E9" s="14">
        <f>30000000</f>
        <v>30000000</v>
      </c>
      <c r="F9" s="19" t="s">
        <v>41</v>
      </c>
      <c r="H9" s="13"/>
      <c r="I9" s="16"/>
      <c r="J9" s="13"/>
      <c r="L9" s="7" t="s">
        <v>35</v>
      </c>
      <c r="M9" s="7">
        <f>+B7-Amort!B24</f>
        <v>50000000</v>
      </c>
      <c r="O9" s="7" t="s">
        <v>33</v>
      </c>
      <c r="P9" s="7">
        <v>0</v>
      </c>
    </row>
    <row r="10" spans="1:18" x14ac:dyDescent="0.3">
      <c r="D10" s="7" t="s">
        <v>4</v>
      </c>
      <c r="E10" s="7">
        <v>1000</v>
      </c>
      <c r="H10" s="305" t="s">
        <v>99</v>
      </c>
      <c r="I10" s="305"/>
      <c r="J10" s="13"/>
      <c r="L10" s="7" t="s">
        <v>42</v>
      </c>
      <c r="M10" s="7">
        <f>+Amort!B28</f>
        <v>875000</v>
      </c>
      <c r="O10" s="7" t="s">
        <v>115</v>
      </c>
      <c r="P10" s="7">
        <f>IF(I24&gt;0,0,-I24)</f>
        <v>41817537.472000003</v>
      </c>
    </row>
    <row r="11" spans="1:18" ht="16.2" thickBot="1" x14ac:dyDescent="0.35">
      <c r="A11" s="91" t="s">
        <v>7</v>
      </c>
      <c r="B11" s="12">
        <f>SUM(B6:B10)</f>
        <v>471001000</v>
      </c>
      <c r="C11" s="20" t="s">
        <v>43</v>
      </c>
      <c r="D11" s="91" t="s">
        <v>7</v>
      </c>
      <c r="E11" s="12">
        <f>SUM(E6:E10)</f>
        <v>471001000</v>
      </c>
      <c r="F11" s="17"/>
      <c r="H11" s="94" t="s">
        <v>140</v>
      </c>
      <c r="I11" s="95">
        <f>H2</f>
        <v>37161</v>
      </c>
      <c r="J11" s="13"/>
      <c r="L11" s="7" t="s">
        <v>38</v>
      </c>
      <c r="M11" s="7">
        <f>B8+I15+I22</f>
        <v>0</v>
      </c>
      <c r="N11" s="18"/>
      <c r="O11" s="7" t="s">
        <v>202</v>
      </c>
      <c r="P11" s="7">
        <f>IF(I20&lt;0,-I20,0)+IF(I21&lt;0,-I21,0)</f>
        <v>0</v>
      </c>
      <c r="R11" s="3"/>
    </row>
    <row r="12" spans="1:18" ht="16.2" thickTop="1" x14ac:dyDescent="0.3">
      <c r="H12" s="13" t="s">
        <v>111</v>
      </c>
      <c r="I12" s="16">
        <f>+'Cash-Int-Trans'!B6</f>
        <v>34266411</v>
      </c>
      <c r="J12" s="29" t="s">
        <v>85</v>
      </c>
      <c r="L12" s="7" t="s">
        <v>492</v>
      </c>
      <c r="M12" s="7">
        <f>+'Jedi Shares'!B9+Financials!I16</f>
        <v>389330485.33636492</v>
      </c>
      <c r="O12" s="7" t="s">
        <v>36</v>
      </c>
      <c r="P12" s="7">
        <f>E7-I17+'Cash-Int-Trans'!B9+'Cash-Int-Trans'!B88-I40</f>
        <v>966563431.1997304</v>
      </c>
      <c r="Q12" s="107" t="s">
        <v>148</v>
      </c>
    </row>
    <row r="13" spans="1:18" x14ac:dyDescent="0.3">
      <c r="A13" s="21" t="s">
        <v>44</v>
      </c>
      <c r="D13" s="22" t="s">
        <v>14</v>
      </c>
      <c r="E13" s="22" t="s">
        <v>45</v>
      </c>
      <c r="F13" s="23"/>
      <c r="H13" s="13" t="s">
        <v>112</v>
      </c>
      <c r="I13" s="16">
        <f>+'Cash-Int-Trans'!B43</f>
        <v>3386060.5844917349</v>
      </c>
      <c r="J13" s="29"/>
      <c r="L13" s="7" t="s">
        <v>493</v>
      </c>
      <c r="M13" s="7">
        <f>+Shares!D39+I23</f>
        <v>118425531</v>
      </c>
    </row>
    <row r="14" spans="1:18" x14ac:dyDescent="0.3">
      <c r="A14" s="7" t="s">
        <v>46</v>
      </c>
      <c r="B14" s="7">
        <f>D14*E14</f>
        <v>0</v>
      </c>
      <c r="C14" s="24"/>
      <c r="D14" s="25">
        <v>0</v>
      </c>
      <c r="E14" s="26">
        <v>0</v>
      </c>
      <c r="H14" s="13" t="s">
        <v>495</v>
      </c>
      <c r="I14" s="16">
        <f>+Amort!B29</f>
        <v>4423611.111111111</v>
      </c>
      <c r="J14" s="13"/>
      <c r="L14" s="7" t="s">
        <v>201</v>
      </c>
      <c r="M14" s="7">
        <f>IF(I20&gt;0,I20,0)+IF(I21&gt;0,I21,0)</f>
        <v>705719597.13999999</v>
      </c>
      <c r="O14" s="7" t="s">
        <v>40</v>
      </c>
      <c r="P14" s="7">
        <f>IF(+I27+I41+'Cash-Int-Trans'!D107-'Cash-Int-Trans'!D106&gt;'Cash-Int-Trans'!D107,'Cash-Int-Trans'!D107,IF(+I27+I41+'Cash-Int-Trans'!D107&lt;0,0,+I27+I41+'Cash-Int-Trans'!D107-'Cash-Int-Trans'!D106))</f>
        <v>31233808.219178081</v>
      </c>
    </row>
    <row r="15" spans="1:18" x14ac:dyDescent="0.3">
      <c r="A15" s="7" t="s">
        <v>48</v>
      </c>
      <c r="B15" s="27">
        <f>+D15*E15</f>
        <v>536923062.5</v>
      </c>
      <c r="D15" s="28">
        <v>7809790</v>
      </c>
      <c r="E15" s="26">
        <v>68.75</v>
      </c>
      <c r="H15" s="13" t="s">
        <v>184</v>
      </c>
      <c r="I15" s="16">
        <f>-B17*A35/A38</f>
        <v>87230762.5</v>
      </c>
      <c r="J15" s="33" t="s">
        <v>56</v>
      </c>
      <c r="L15" s="7" t="s">
        <v>119</v>
      </c>
      <c r="M15" s="7">
        <f>IF(I24&gt;0,I24,0)</f>
        <v>0</v>
      </c>
      <c r="O15" s="7" t="s">
        <v>4</v>
      </c>
      <c r="P15" s="7">
        <f>M16-SUM(P8:P14)</f>
        <v>262771508.2810595</v>
      </c>
      <c r="Q15" s="106" t="s">
        <v>147</v>
      </c>
    </row>
    <row r="16" spans="1:18" ht="16.2" thickBot="1" x14ac:dyDescent="0.35">
      <c r="A16" s="7" t="s">
        <v>50</v>
      </c>
      <c r="B16" s="7">
        <f>SUM(B14:B15)</f>
        <v>536923062.5</v>
      </c>
      <c r="H16" s="13" t="s">
        <v>478</v>
      </c>
      <c r="I16" s="16">
        <f>+'Jedi Shares'!B43</f>
        <v>14426420.716364903</v>
      </c>
      <c r="J16" s="33" t="s">
        <v>56</v>
      </c>
      <c r="L16" s="91" t="s">
        <v>7</v>
      </c>
      <c r="M16" s="12">
        <f>SUM(M8:M15)</f>
        <v>1302386285.171968</v>
      </c>
      <c r="N16" s="20"/>
      <c r="O16" s="91" t="s">
        <v>7</v>
      </c>
      <c r="P16" s="12">
        <f>SUM(P8:P15)</f>
        <v>1302386285.171968</v>
      </c>
      <c r="Q16" s="17" t="str">
        <f>IF(ROUND(P17,0)=0,"","8/31/00 Balance Sheet does not Balance!")</f>
        <v/>
      </c>
    </row>
    <row r="17" spans="1:20" ht="16.2" thickTop="1" x14ac:dyDescent="0.3">
      <c r="A17" s="7" t="s">
        <v>52</v>
      </c>
      <c r="B17" s="7">
        <f>350000000-B16</f>
        <v>-186923062.5</v>
      </c>
      <c r="C17" s="31" t="s">
        <v>53</v>
      </c>
      <c r="D17" s="32">
        <f>-B17/B16</f>
        <v>0.34813751830598633</v>
      </c>
      <c r="H17" s="13" t="s">
        <v>163</v>
      </c>
      <c r="I17" s="40">
        <f>-'Cash-Int-Trans'!B76</f>
        <v>-55222064.05173032</v>
      </c>
      <c r="J17" s="13"/>
      <c r="P17" s="7">
        <f>M16-P16</f>
        <v>0</v>
      </c>
      <c r="Q17" s="16"/>
    </row>
    <row r="18" spans="1:20" ht="16.2" thickBot="1" x14ac:dyDescent="0.35">
      <c r="A18" s="7" t="s">
        <v>55</v>
      </c>
      <c r="B18" s="12">
        <f>B16+B17</f>
        <v>350000000</v>
      </c>
      <c r="C18" s="18" t="s">
        <v>39</v>
      </c>
      <c r="H18" s="105"/>
      <c r="I18" s="7">
        <f>SUM(I12:I17)</f>
        <v>88511201.860237435</v>
      </c>
      <c r="L18" s="138" t="s">
        <v>47</v>
      </c>
      <c r="M18" s="137"/>
      <c r="N18" s="137"/>
      <c r="O18" s="137"/>
      <c r="P18" s="137"/>
      <c r="Q18" s="106"/>
    </row>
    <row r="19" spans="1:20" ht="16.2" thickTop="1" x14ac:dyDescent="0.3">
      <c r="H19" s="105"/>
      <c r="I19" s="7"/>
      <c r="L19" s="139" t="s">
        <v>210</v>
      </c>
      <c r="M19" s="7">
        <f>+E9+I38</f>
        <v>31100000</v>
      </c>
      <c r="N19" s="7" t="s">
        <v>211</v>
      </c>
      <c r="P19" s="7">
        <f>+M19/0.0302</f>
        <v>1029801324.5033113</v>
      </c>
      <c r="T19" s="140"/>
    </row>
    <row r="20" spans="1:20" ht="16.2" thickBot="1" x14ac:dyDescent="0.35">
      <c r="A20" s="306" t="s">
        <v>59</v>
      </c>
      <c r="B20" s="306"/>
      <c r="C20" s="306"/>
      <c r="D20" s="306"/>
      <c r="E20" s="306"/>
      <c r="H20" s="7" t="s">
        <v>198</v>
      </c>
      <c r="I20" s="7">
        <f>IF(I5&lt;78.875,IF(I5&lt;20,22990069*I5,(78.875-I5)*(D14+D15)),IF(I5&gt;111.8633,(111.8633-I5)*(+D14+D15),0))</f>
        <v>418799988.75</v>
      </c>
      <c r="M20" s="92"/>
      <c r="N20" s="103" t="s">
        <v>212</v>
      </c>
      <c r="O20" s="92"/>
      <c r="P20" s="27">
        <f>-B11-I38</f>
        <v>-472101000</v>
      </c>
    </row>
    <row r="21" spans="1:20" x14ac:dyDescent="0.3">
      <c r="A21" s="303" t="s">
        <v>49</v>
      </c>
      <c r="B21" s="303"/>
      <c r="E21" s="7">
        <f>B11</f>
        <v>471001000</v>
      </c>
      <c r="F21" s="34" t="s">
        <v>43</v>
      </c>
      <c r="H21" s="7" t="s">
        <v>479</v>
      </c>
      <c r="I21" s="14">
        <f>IF([1]Table!$C$16=1,IF(I5&lt;20,([1]Table!$H$16-20)*'Jedi Shares'!B3/20*I5,IF(I5&lt;[1]Table!$H$16,([1]Table!$H$16-I5)*'Jedi Shares'!B3,IF(I5&gt;[1]Table!$I$16,([1]Table!$I$16-I5)*'Jedi Shares'!B3,0))),0)</f>
        <v>286919608.38999999</v>
      </c>
      <c r="M21" s="92"/>
      <c r="N21" s="103" t="s">
        <v>213</v>
      </c>
      <c r="O21" s="92"/>
      <c r="P21" s="13">
        <f>+P19+P20</f>
        <v>557700324.50331128</v>
      </c>
    </row>
    <row r="22" spans="1:20" x14ac:dyDescent="0.3">
      <c r="A22" s="7" t="s">
        <v>61</v>
      </c>
      <c r="B22" s="7" t="s">
        <v>14</v>
      </c>
      <c r="D22" s="7">
        <v>7427536</v>
      </c>
      <c r="H22" s="7" t="s">
        <v>441</v>
      </c>
      <c r="I22" s="14">
        <f>-Shares!D30</f>
        <v>-437230762.5</v>
      </c>
      <c r="K22" s="7"/>
      <c r="L22" s="7">
        <v>23164835</v>
      </c>
      <c r="N22" s="7" t="s">
        <v>459</v>
      </c>
      <c r="P22" s="7">
        <f>-'Jedi Shares'!B9</f>
        <v>-374904064.62</v>
      </c>
    </row>
    <row r="23" spans="1:20" x14ac:dyDescent="0.3">
      <c r="A23" s="7" t="s">
        <v>64</v>
      </c>
      <c r="B23" s="7" t="s">
        <v>65</v>
      </c>
      <c r="D23" s="26">
        <v>57.5</v>
      </c>
      <c r="E23" s="27">
        <f>D22*D23</f>
        <v>427083320</v>
      </c>
      <c r="H23" s="7" t="s">
        <v>494</v>
      </c>
      <c r="I23" s="14">
        <f>+Shares!E41-Shares!D39</f>
        <v>0</v>
      </c>
      <c r="K23" s="7"/>
      <c r="L23" s="7">
        <f>+L22*0.01/100</f>
        <v>2316.4835000000003</v>
      </c>
      <c r="N23" s="7" t="s">
        <v>481</v>
      </c>
      <c r="P23" s="7">
        <f>-Shares!D39</f>
        <v>-118425531</v>
      </c>
    </row>
    <row r="24" spans="1:20" x14ac:dyDescent="0.3">
      <c r="A24" s="7" t="s">
        <v>67</v>
      </c>
      <c r="E24" s="7">
        <f>SUM(E21:E23)</f>
        <v>898084320</v>
      </c>
      <c r="H24" s="7" t="s">
        <v>113</v>
      </c>
      <c r="I24" s="7">
        <f>+'Daily Position'!P13</f>
        <v>-41817537.472000003</v>
      </c>
      <c r="J24" s="13"/>
      <c r="N24" s="7" t="s">
        <v>214</v>
      </c>
      <c r="P24" s="7">
        <f>-'Daily Position'!I17</f>
        <v>-41817537.472000003</v>
      </c>
      <c r="Q24" s="107"/>
    </row>
    <row r="25" spans="1:20" x14ac:dyDescent="0.3">
      <c r="A25" s="7" t="s">
        <v>68</v>
      </c>
      <c r="E25" s="27">
        <f>E6</f>
        <v>41000000</v>
      </c>
      <c r="F25" s="15" t="s">
        <v>34</v>
      </c>
      <c r="H25" s="7" t="s">
        <v>114</v>
      </c>
      <c r="I25" s="27">
        <f>+'Daily Position'!Q13</f>
        <v>-11278182.528000001</v>
      </c>
      <c r="N25" s="7" t="s">
        <v>215</v>
      </c>
      <c r="P25" s="277">
        <f>+'Daily Position'!Q15</f>
        <v>-11278182.528000001</v>
      </c>
      <c r="Q25" s="107"/>
    </row>
    <row r="26" spans="1:20" x14ac:dyDescent="0.3">
      <c r="E26" s="7">
        <f>E24-E25</f>
        <v>857084320</v>
      </c>
      <c r="H26"/>
      <c r="I26" s="36">
        <f>SUM(I20:I25)</f>
        <v>215393114.63999999</v>
      </c>
      <c r="J26" s="13"/>
      <c r="L26" s="13"/>
      <c r="P26" s="13"/>
    </row>
    <row r="27" spans="1:20" ht="16.2" thickBot="1" x14ac:dyDescent="0.35">
      <c r="A27" s="7" t="s">
        <v>51</v>
      </c>
      <c r="E27" s="30">
        <v>3.0200000000000001E-2</v>
      </c>
      <c r="H27" s="37" t="s">
        <v>62</v>
      </c>
      <c r="I27" s="101">
        <f>I26+I18</f>
        <v>303904316.50023741</v>
      </c>
      <c r="J27" s="39" t="s">
        <v>63</v>
      </c>
      <c r="K27" s="7"/>
      <c r="N27" s="7" t="s">
        <v>218</v>
      </c>
      <c r="P27" s="7">
        <f>SUM(P21:P25)</f>
        <v>11275008.883311268</v>
      </c>
    </row>
    <row r="28" spans="1:20" ht="16.2" thickTop="1" x14ac:dyDescent="0.3">
      <c r="A28" s="7" t="s">
        <v>54</v>
      </c>
      <c r="E28" s="7">
        <f>E26*E27</f>
        <v>25883946.464000002</v>
      </c>
      <c r="H28" s="13"/>
      <c r="I28" s="16"/>
      <c r="J28" s="13"/>
    </row>
    <row r="29" spans="1:20" x14ac:dyDescent="0.3">
      <c r="A29" s="7" t="s">
        <v>57</v>
      </c>
      <c r="E29" s="7">
        <f>E9</f>
        <v>30000000</v>
      </c>
      <c r="F29" s="19" t="s">
        <v>41</v>
      </c>
      <c r="H29" s="137" t="s">
        <v>100</v>
      </c>
      <c r="I29" s="137"/>
      <c r="J29" s="13"/>
      <c r="L29" s="55" t="s">
        <v>66</v>
      </c>
      <c r="M29" s="55"/>
    </row>
    <row r="30" spans="1:20" x14ac:dyDescent="0.3">
      <c r="A30" s="35" t="s">
        <v>58</v>
      </c>
      <c r="B30" s="36"/>
      <c r="C30" s="36"/>
      <c r="D30" s="36"/>
      <c r="E30" s="108" t="str">
        <f>IF(E29&gt;=E28,"Test Passed","Test Failed")</f>
        <v>Test Passed</v>
      </c>
      <c r="H30" s="13" t="s">
        <v>69</v>
      </c>
      <c r="I30" s="16"/>
      <c r="J30" s="13"/>
      <c r="L30" s="7" t="s">
        <v>156</v>
      </c>
    </row>
    <row r="31" spans="1:20" x14ac:dyDescent="0.3">
      <c r="H31" s="13" t="s">
        <v>71</v>
      </c>
      <c r="I31" s="16">
        <f>E9</f>
        <v>30000000</v>
      </c>
      <c r="J31" s="19" t="s">
        <v>41</v>
      </c>
      <c r="L31" s="7" t="s">
        <v>70</v>
      </c>
      <c r="M31" s="7">
        <f>E9+'Cash-Int-Trans'!B13</f>
        <v>31100000</v>
      </c>
    </row>
    <row r="32" spans="1:20" ht="16.2" thickBot="1" x14ac:dyDescent="0.35">
      <c r="A32" s="44" t="s">
        <v>141</v>
      </c>
      <c r="B32" s="45"/>
      <c r="H32" s="13" t="s">
        <v>73</v>
      </c>
      <c r="I32" s="40">
        <f>-B17</f>
        <v>186923062.5</v>
      </c>
      <c r="J32" s="41" t="s">
        <v>53</v>
      </c>
      <c r="L32" s="7" t="s">
        <v>72</v>
      </c>
      <c r="M32" s="27">
        <f>E10</f>
        <v>1000</v>
      </c>
    </row>
    <row r="33" spans="1:17" x14ac:dyDescent="0.3">
      <c r="A33" s="46">
        <v>36706</v>
      </c>
      <c r="B33" s="13" t="s">
        <v>79</v>
      </c>
      <c r="D33" s="46">
        <v>37681</v>
      </c>
      <c r="H33" s="13" t="s">
        <v>74</v>
      </c>
      <c r="I33" s="16">
        <f>SUM(I31:I32)</f>
        <v>216923062.5</v>
      </c>
      <c r="J33" s="13"/>
      <c r="M33" s="7">
        <f>SUM(M31:M32)</f>
        <v>31101000</v>
      </c>
    </row>
    <row r="34" spans="1:17" x14ac:dyDescent="0.3">
      <c r="A34" s="49">
        <f>+Summary!C5</f>
        <v>37161</v>
      </c>
      <c r="B34" s="13" t="s">
        <v>80</v>
      </c>
      <c r="C34"/>
      <c r="H34" s="13"/>
      <c r="I34" s="16"/>
      <c r="J34" s="13"/>
      <c r="L34" s="7" t="s">
        <v>75</v>
      </c>
      <c r="M34" s="7">
        <f>I27</f>
        <v>303904316.50023741</v>
      </c>
    </row>
    <row r="35" spans="1:17" ht="16.2" thickBot="1" x14ac:dyDescent="0.35">
      <c r="A35" s="50">
        <f>MIN(A37:A38)</f>
        <v>455</v>
      </c>
      <c r="B35" s="13" t="s">
        <v>81</v>
      </c>
      <c r="C35"/>
      <c r="H35" s="13" t="s">
        <v>199</v>
      </c>
      <c r="I35" s="16">
        <f>I27</f>
        <v>303904316.50023741</v>
      </c>
      <c r="J35" s="39" t="s">
        <v>63</v>
      </c>
      <c r="L35" s="7" t="s">
        <v>76</v>
      </c>
      <c r="M35" s="27">
        <f>I41</f>
        <v>-41000000</v>
      </c>
    </row>
    <row r="36" spans="1:17" x14ac:dyDescent="0.3">
      <c r="A36"/>
      <c r="B36"/>
      <c r="C36"/>
      <c r="H36" s="13" t="s">
        <v>200</v>
      </c>
      <c r="I36" s="16">
        <f>(D14+D15-Shares!B30)*(I5-E15)</f>
        <v>0</v>
      </c>
      <c r="J36" s="39"/>
      <c r="L36" s="7" t="s">
        <v>77</v>
      </c>
      <c r="M36" s="7">
        <f>SUM(M33:M35)</f>
        <v>294005316.50023741</v>
      </c>
    </row>
    <row r="37" spans="1:17" ht="16.5" customHeight="1" x14ac:dyDescent="0.3">
      <c r="A37" s="3">
        <f>+A34-A33</f>
        <v>455</v>
      </c>
      <c r="B37"/>
      <c r="C37"/>
      <c r="D37"/>
      <c r="E37"/>
      <c r="H37" s="13" t="s">
        <v>458</v>
      </c>
      <c r="I37" s="14">
        <f>+Shares!C39*Financials!I5+'Jedi Shares'!B3*Financials!I5</f>
        <v>359697309.5</v>
      </c>
      <c r="L37" s="7" t="s">
        <v>149</v>
      </c>
      <c r="M37" s="7">
        <f>P14</f>
        <v>31233808.219178081</v>
      </c>
    </row>
    <row r="38" spans="1:17" ht="15.75" customHeight="1" x14ac:dyDescent="0.3">
      <c r="A38" s="3">
        <f>+D33-A33</f>
        <v>975</v>
      </c>
      <c r="B38"/>
      <c r="C38"/>
      <c r="D38"/>
      <c r="E38"/>
      <c r="H38" s="7" t="s">
        <v>155</v>
      </c>
      <c r="I38" s="14">
        <f>+'Cash-Int-Trans'!B13</f>
        <v>1100000</v>
      </c>
      <c r="L38" s="7" t="s">
        <v>150</v>
      </c>
      <c r="M38" s="27">
        <f>P15</f>
        <v>262771508.2810595</v>
      </c>
    </row>
    <row r="39" spans="1:17" ht="15.75" customHeight="1" x14ac:dyDescent="0.3">
      <c r="A39"/>
      <c r="B39"/>
      <c r="C39"/>
      <c r="D39"/>
      <c r="E39"/>
      <c r="H39" s="13" t="s">
        <v>142</v>
      </c>
      <c r="I39" s="16">
        <f>-I32-Shares!D24-Shares!D26-I16</f>
        <v>-201349483.21636489</v>
      </c>
      <c r="J39" s="33" t="s">
        <v>56</v>
      </c>
      <c r="K39" s="7"/>
      <c r="M39" s="7">
        <f>M36-M37-M38</f>
        <v>0</v>
      </c>
      <c r="N39" s="43" t="str">
        <f>IF(ROUND(M39,0)=0,"OK","Not OK")</f>
        <v>OK</v>
      </c>
    </row>
    <row r="40" spans="1:17" ht="16.5" customHeight="1" x14ac:dyDescent="0.3">
      <c r="A40"/>
      <c r="B40"/>
      <c r="C40"/>
      <c r="D40"/>
      <c r="E40"/>
      <c r="H40" s="13" t="s">
        <v>449</v>
      </c>
      <c r="I40" s="14">
        <f>-'Cash-Int-Trans'!B92</f>
        <v>-493329595.62</v>
      </c>
      <c r="L40" s="7" t="s">
        <v>144</v>
      </c>
      <c r="M40" s="7">
        <f>ROUND(M36-SUM(M37:M38),0)</f>
        <v>0</v>
      </c>
      <c r="N40" s="105" t="str">
        <f>IF(M40=0,"OK","Not OK")</f>
        <v>OK</v>
      </c>
    </row>
    <row r="41" spans="1:17" x14ac:dyDescent="0.3">
      <c r="A41"/>
      <c r="B41"/>
      <c r="C41"/>
      <c r="D41"/>
      <c r="E41"/>
      <c r="H41" s="13" t="s">
        <v>143</v>
      </c>
      <c r="I41" s="16">
        <f>+'Cash-Int-Trans'!B12</f>
        <v>-41000000</v>
      </c>
      <c r="J41" s="42"/>
    </row>
    <row r="42" spans="1:17" ht="16.2" thickBot="1" x14ac:dyDescent="0.35">
      <c r="A42"/>
      <c r="B42"/>
      <c r="C42"/>
      <c r="D42"/>
      <c r="E42"/>
      <c r="H42" s="37" t="s">
        <v>101</v>
      </c>
      <c r="I42" s="38">
        <f>SUM(I33:I41)</f>
        <v>145945609.6638726</v>
      </c>
      <c r="J42" s="13"/>
    </row>
    <row r="43" spans="1:17" ht="16.2" thickTop="1" x14ac:dyDescent="0.3">
      <c r="A43"/>
      <c r="B43"/>
      <c r="C43"/>
      <c r="D43"/>
      <c r="E43"/>
      <c r="H43" s="7" t="s">
        <v>197</v>
      </c>
      <c r="L43" s="138" t="s">
        <v>47</v>
      </c>
      <c r="M43" s="137"/>
      <c r="N43" s="137"/>
      <c r="O43" s="137"/>
      <c r="P43" s="137"/>
      <c r="Q43" s="16"/>
    </row>
    <row r="44" spans="1:17" x14ac:dyDescent="0.3">
      <c r="A44"/>
      <c r="B44"/>
      <c r="C44"/>
      <c r="D44"/>
      <c r="E44"/>
      <c r="F44" s="7"/>
      <c r="I44" s="7"/>
      <c r="L44" s="139" t="s">
        <v>49</v>
      </c>
      <c r="M44" s="139"/>
      <c r="P44" s="7">
        <f>M16</f>
        <v>1302386285.171968</v>
      </c>
      <c r="Q44" s="106" t="s">
        <v>147</v>
      </c>
    </row>
    <row r="45" spans="1:17" x14ac:dyDescent="0.3">
      <c r="A45"/>
      <c r="C45"/>
      <c r="D45" s="7">
        <f>+I46-E45</f>
        <v>6935671.6956028938</v>
      </c>
      <c r="E45" s="7">
        <f>+E9+I38</f>
        <v>31100000</v>
      </c>
      <c r="F45" s="7"/>
      <c r="I45" s="7"/>
      <c r="L45" s="7" t="s">
        <v>183</v>
      </c>
      <c r="M45" s="92"/>
      <c r="N45" s="92"/>
      <c r="O45" s="92"/>
      <c r="P45" s="7">
        <f>+M45+O45</f>
        <v>0</v>
      </c>
    </row>
    <row r="46" spans="1:17" x14ac:dyDescent="0.3">
      <c r="A46"/>
      <c r="C46"/>
      <c r="D46" s="7">
        <f>+I47-E46</f>
        <v>0</v>
      </c>
      <c r="E46" s="7">
        <f>+B7</f>
        <v>50000000</v>
      </c>
      <c r="F46" s="7"/>
      <c r="H46" s="7" t="s">
        <v>37</v>
      </c>
      <c r="I46" s="14">
        <f>+M8</f>
        <v>38035671.695602894</v>
      </c>
      <c r="L46" s="7" t="s">
        <v>146</v>
      </c>
      <c r="M46" s="92">
        <f>+'Daily Position'!I13-M45</f>
        <v>513095720</v>
      </c>
      <c r="N46" s="92"/>
      <c r="O46" s="92">
        <f>-P10</f>
        <v>-41817537.472000003</v>
      </c>
      <c r="P46" s="27">
        <f>+M46+O46</f>
        <v>471278182.528</v>
      </c>
    </row>
    <row r="47" spans="1:17" x14ac:dyDescent="0.3">
      <c r="A47"/>
      <c r="B47" s="7">
        <f>+I48-E47</f>
        <v>-536923062.5</v>
      </c>
      <c r="C47"/>
      <c r="E47" s="7">
        <f>+B15</f>
        <v>536923062.5</v>
      </c>
      <c r="F47" s="7"/>
      <c r="H47" s="7" t="s">
        <v>35</v>
      </c>
      <c r="I47" s="7">
        <f>+M9</f>
        <v>50000000</v>
      </c>
      <c r="L47" s="7" t="s">
        <v>145</v>
      </c>
      <c r="P47" s="7">
        <f>+P44+P45+P46</f>
        <v>1773664467.6999679</v>
      </c>
    </row>
    <row r="48" spans="1:17" x14ac:dyDescent="0.3">
      <c r="A48"/>
      <c r="C48"/>
      <c r="D48" s="7">
        <f>+I49-E48</f>
        <v>875000</v>
      </c>
      <c r="E48">
        <v>0</v>
      </c>
      <c r="F48" s="7"/>
      <c r="H48" s="7" t="s">
        <v>38</v>
      </c>
      <c r="I48" s="7">
        <f>+Shares!B14*Financials!I5</f>
        <v>0</v>
      </c>
      <c r="L48" s="7" t="s">
        <v>51</v>
      </c>
      <c r="P48" s="30">
        <f>E27</f>
        <v>3.0200000000000001E-2</v>
      </c>
    </row>
    <row r="49" spans="1:17" x14ac:dyDescent="0.3">
      <c r="A49"/>
      <c r="B49" s="7">
        <f>+I50-E49</f>
        <v>359697309.5</v>
      </c>
      <c r="C49"/>
      <c r="E49">
        <v>0</v>
      </c>
      <c r="F49" s="7"/>
      <c r="H49" s="7" t="s">
        <v>42</v>
      </c>
      <c r="I49" s="7">
        <f>+M10</f>
        <v>875000</v>
      </c>
      <c r="L49" s="7" t="s">
        <v>54</v>
      </c>
      <c r="P49" s="7">
        <f>P47*P48</f>
        <v>53564666.92453903</v>
      </c>
    </row>
    <row r="50" spans="1:17" x14ac:dyDescent="0.3">
      <c r="A50"/>
      <c r="B50" s="7">
        <f>+I51-E50</f>
        <v>705719597.13999999</v>
      </c>
      <c r="C50"/>
      <c r="E50">
        <v>0</v>
      </c>
      <c r="F50" s="7"/>
      <c r="H50" s="7" t="s">
        <v>450</v>
      </c>
      <c r="I50" s="7">
        <f>(+'Jedi Shares'!B3+Shares!C39)*Financials!I5</f>
        <v>359697309.5</v>
      </c>
      <c r="L50" s="7" t="s">
        <v>57</v>
      </c>
      <c r="P50" s="7">
        <f>P14</f>
        <v>31233808.219178081</v>
      </c>
      <c r="Q50" s="107" t="s">
        <v>148</v>
      </c>
    </row>
    <row r="51" spans="1:17" x14ac:dyDescent="0.3">
      <c r="A51"/>
      <c r="C51"/>
      <c r="E51">
        <v>0</v>
      </c>
      <c r="F51" s="7"/>
      <c r="H51" s="7" t="s">
        <v>201</v>
      </c>
      <c r="I51" s="7">
        <f>+M14</f>
        <v>705719597.13999999</v>
      </c>
      <c r="L51" s="35" t="s">
        <v>58</v>
      </c>
      <c r="M51" s="36"/>
      <c r="N51" s="36"/>
      <c r="O51" s="36"/>
      <c r="P51" s="108" t="str">
        <f>IF(P50&gt;=P49,"Test Passed","Test Failed")</f>
        <v>Test Failed</v>
      </c>
      <c r="Q51" s="107"/>
    </row>
    <row r="52" spans="1:17" x14ac:dyDescent="0.3">
      <c r="A52"/>
      <c r="C52"/>
      <c r="E52">
        <v>0</v>
      </c>
      <c r="F52" s="7"/>
      <c r="H52" s="7" t="s">
        <v>119</v>
      </c>
      <c r="I52" s="7">
        <f>+M15</f>
        <v>0</v>
      </c>
      <c r="L52" s="13" t="s">
        <v>60</v>
      </c>
      <c r="M52" s="13"/>
      <c r="N52" s="13"/>
      <c r="O52" s="13"/>
      <c r="P52" s="13">
        <f>P50-P49</f>
        <v>-22330858.705360949</v>
      </c>
    </row>
    <row r="53" spans="1:17" x14ac:dyDescent="0.3">
      <c r="A53"/>
      <c r="C53"/>
      <c r="D53" s="7">
        <f>+I12</f>
        <v>34266411</v>
      </c>
      <c r="E53">
        <v>0</v>
      </c>
      <c r="F53" s="7"/>
      <c r="H53" s="7" t="s">
        <v>105</v>
      </c>
      <c r="I53" s="7">
        <f>-P8</f>
        <v>0</v>
      </c>
      <c r="L53" s="37" t="s">
        <v>110</v>
      </c>
      <c r="M53" s="37"/>
      <c r="N53" s="37"/>
      <c r="O53" s="37"/>
      <c r="P53" s="37">
        <f>IF(P52&lt;0,0,P52/P48)</f>
        <v>0</v>
      </c>
    </row>
    <row r="54" spans="1:17" x14ac:dyDescent="0.3">
      <c r="A54"/>
      <c r="C54"/>
      <c r="E54">
        <v>0</v>
      </c>
      <c r="F54" s="7"/>
      <c r="H54" s="7" t="s">
        <v>33</v>
      </c>
      <c r="I54" s="7">
        <f>-P9</f>
        <v>0</v>
      </c>
    </row>
    <row r="55" spans="1:17" x14ac:dyDescent="0.3">
      <c r="A55"/>
      <c r="B55" s="7">
        <f>+I56-E55</f>
        <v>0</v>
      </c>
      <c r="C55"/>
      <c r="E55">
        <v>0</v>
      </c>
      <c r="H55" s="7" t="s">
        <v>115</v>
      </c>
      <c r="I55" s="7">
        <f>-P10</f>
        <v>-41817537.472000003</v>
      </c>
    </row>
    <row r="56" spans="1:17" x14ac:dyDescent="0.3">
      <c r="A56"/>
      <c r="B56" s="7">
        <f>+I57-E56-D56</f>
        <v>-511341367.14800006</v>
      </c>
      <c r="C56"/>
      <c r="D56" s="7">
        <f>I17</f>
        <v>-55222064.05173032</v>
      </c>
      <c r="E56" s="7">
        <f>-E7</f>
        <v>-400000000</v>
      </c>
      <c r="H56" s="7" t="s">
        <v>202</v>
      </c>
      <c r="I56" s="7">
        <f>-P11</f>
        <v>0</v>
      </c>
    </row>
    <row r="57" spans="1:17" x14ac:dyDescent="0.3">
      <c r="A57"/>
      <c r="B57" s="14">
        <f>SUM(B45:B56)</f>
        <v>17152476.991999924</v>
      </c>
      <c r="C57" s="14"/>
      <c r="D57" s="14">
        <f>SUM(D45:D56)</f>
        <v>-13144981.356127426</v>
      </c>
      <c r="E57" s="14">
        <f>SUM(E45:E56)</f>
        <v>218023062.5</v>
      </c>
      <c r="H57" s="7" t="s">
        <v>36</v>
      </c>
      <c r="I57" s="7">
        <f>-P12</f>
        <v>-966563431.1997304</v>
      </c>
    </row>
    <row r="58" spans="1:17" x14ac:dyDescent="0.3">
      <c r="A58"/>
      <c r="B58"/>
      <c r="C58"/>
      <c r="D58"/>
      <c r="E58"/>
      <c r="I58" s="14">
        <f>SUM(I46:I57)</f>
        <v>145946609.66387224</v>
      </c>
    </row>
    <row r="59" spans="1:17" x14ac:dyDescent="0.3">
      <c r="A59"/>
      <c r="B59"/>
      <c r="C59"/>
      <c r="D59"/>
      <c r="E59"/>
      <c r="I59" s="14">
        <f>+I58-I42</f>
        <v>999.99999964237213</v>
      </c>
    </row>
    <row r="60" spans="1:17" x14ac:dyDescent="0.3">
      <c r="A60"/>
      <c r="B60"/>
      <c r="C60"/>
      <c r="D60"/>
      <c r="E60"/>
    </row>
    <row r="61" spans="1:17" x14ac:dyDescent="0.3">
      <c r="A61"/>
      <c r="B61"/>
      <c r="C61"/>
    </row>
  </sheetData>
  <mergeCells count="14">
    <mergeCell ref="A21:B21"/>
    <mergeCell ref="L7:M7"/>
    <mergeCell ref="O7:P7"/>
    <mergeCell ref="H10:I10"/>
    <mergeCell ref="A4:F4"/>
    <mergeCell ref="A5:B5"/>
    <mergeCell ref="D5:E5"/>
    <mergeCell ref="A20:E20"/>
    <mergeCell ref="H2:I2"/>
    <mergeCell ref="H3:I3"/>
    <mergeCell ref="L5:P5"/>
    <mergeCell ref="L2:P2"/>
    <mergeCell ref="L3:P3"/>
    <mergeCell ref="H7:I7"/>
  </mergeCells>
  <phoneticPr fontId="0" type="noConversion"/>
  <printOptions horizontalCentered="1"/>
  <pageMargins left="0.75" right="0.75" top="1" bottom="1" header="0.5" footer="0.5"/>
  <pageSetup scale="79" orientation="portrait" r:id="rId1"/>
  <headerFooter alignWithMargins="0"/>
  <colBreaks count="1" manualBreakCount="1">
    <brk id="10" max="1048575" man="1"/>
  </colBreaks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45"/>
  <sheetViews>
    <sheetView topLeftCell="C22" workbookViewId="0">
      <selection activeCell="H40" sqref="H40"/>
    </sheetView>
  </sheetViews>
  <sheetFormatPr defaultRowHeight="15.6" x14ac:dyDescent="0.3"/>
  <cols>
    <col min="1" max="1" width="30.59765625" style="7" customWidth="1"/>
    <col min="2" max="2" width="16.69921875" style="14" bestFit="1" customWidth="1"/>
    <col min="4" max="4" width="30.59765625" style="7" customWidth="1"/>
    <col min="5" max="5" width="16.69921875" style="14" bestFit="1" customWidth="1"/>
    <col min="7" max="7" width="30.59765625" style="7" customWidth="1"/>
    <col min="8" max="8" width="16.69921875" style="14" bestFit="1" customWidth="1"/>
  </cols>
  <sheetData>
    <row r="1" spans="1:256" x14ac:dyDescent="0.3">
      <c r="A1" s="13"/>
      <c r="B1" s="16"/>
      <c r="D1" s="13"/>
      <c r="E1" s="16"/>
      <c r="G1" s="13"/>
      <c r="H1" s="16"/>
    </row>
    <row r="2" spans="1:256" x14ac:dyDescent="0.3">
      <c r="A2" s="305" t="s">
        <v>99</v>
      </c>
      <c r="B2" s="305"/>
      <c r="D2" s="305" t="s">
        <v>99</v>
      </c>
      <c r="E2" s="305"/>
      <c r="G2" s="137" t="s">
        <v>99</v>
      </c>
      <c r="H2" s="285">
        <f>+B3</f>
        <v>36981</v>
      </c>
    </row>
    <row r="3" spans="1:256" x14ac:dyDescent="0.3">
      <c r="A3" s="93" t="s">
        <v>499</v>
      </c>
      <c r="B3" s="285">
        <v>36981</v>
      </c>
      <c r="D3" s="93" t="s">
        <v>499</v>
      </c>
      <c r="E3" s="285">
        <f>+Financials!I11</f>
        <v>37161</v>
      </c>
      <c r="G3" s="93" t="s">
        <v>500</v>
      </c>
      <c r="H3" s="285">
        <f>+E3</f>
        <v>37161</v>
      </c>
    </row>
    <row r="4" spans="1:256" x14ac:dyDescent="0.3">
      <c r="A4" s="13" t="s">
        <v>111</v>
      </c>
      <c r="B4" s="16">
        <v>34266411</v>
      </c>
      <c r="D4" s="13" t="s">
        <v>111</v>
      </c>
      <c r="E4" s="16">
        <f>+Financials!I12</f>
        <v>34266411</v>
      </c>
      <c r="G4" s="13" t="s">
        <v>111</v>
      </c>
      <c r="H4" s="16">
        <f t="shared" ref="H4:H9" si="0">+E4-B4</f>
        <v>0</v>
      </c>
    </row>
    <row r="5" spans="1:256" x14ac:dyDescent="0.3">
      <c r="A5" s="13" t="s">
        <v>112</v>
      </c>
      <c r="B5" s="16">
        <v>2520990.2826773622</v>
      </c>
      <c r="D5" s="13" t="s">
        <v>112</v>
      </c>
      <c r="E5" s="16">
        <f>+Financials!I13</f>
        <v>3386060.5844917349</v>
      </c>
      <c r="G5" s="13" t="s">
        <v>112</v>
      </c>
      <c r="H5" s="16">
        <f t="shared" si="0"/>
        <v>865070.30181437265</v>
      </c>
    </row>
    <row r="6" spans="1:256" x14ac:dyDescent="0.3">
      <c r="A6" s="13" t="s">
        <v>501</v>
      </c>
      <c r="B6" s="16">
        <v>2673611.111111111</v>
      </c>
      <c r="D6" s="13" t="s">
        <v>501</v>
      </c>
      <c r="E6" s="16">
        <f>+Financials!I14</f>
        <v>4423611.111111111</v>
      </c>
      <c r="G6" s="13" t="s">
        <v>501</v>
      </c>
      <c r="H6" s="16">
        <f t="shared" si="0"/>
        <v>1750000</v>
      </c>
    </row>
    <row r="7" spans="1:256" x14ac:dyDescent="0.3">
      <c r="A7" s="13" t="s">
        <v>184</v>
      </c>
      <c r="B7" s="16">
        <v>52721889.42307692</v>
      </c>
      <c r="D7" s="13" t="s">
        <v>184</v>
      </c>
      <c r="E7" s="16">
        <f>+Financials!I15</f>
        <v>87230762.5</v>
      </c>
      <c r="G7" s="13" t="s">
        <v>184</v>
      </c>
      <c r="H7" s="16">
        <f t="shared" si="0"/>
        <v>34508873.07692308</v>
      </c>
    </row>
    <row r="8" spans="1:256" x14ac:dyDescent="0.3">
      <c r="A8" s="13" t="s">
        <v>502</v>
      </c>
      <c r="B8" s="16">
        <v>389903.26260445686</v>
      </c>
      <c r="D8" s="13" t="s">
        <v>502</v>
      </c>
      <c r="E8" s="16">
        <f>+Financials!I16</f>
        <v>14426420.716364903</v>
      </c>
      <c r="G8" s="13" t="s">
        <v>502</v>
      </c>
      <c r="H8" s="16">
        <f t="shared" si="0"/>
        <v>14036517.453760447</v>
      </c>
    </row>
    <row r="9" spans="1:256" x14ac:dyDescent="0.3">
      <c r="A9" s="13" t="s">
        <v>163</v>
      </c>
      <c r="B9" s="40">
        <v>-22398320.251274377</v>
      </c>
      <c r="D9" s="13" t="s">
        <v>163</v>
      </c>
      <c r="E9" s="40">
        <f>+Financials!I17</f>
        <v>-55222064.05173032</v>
      </c>
      <c r="G9" s="13" t="s">
        <v>163</v>
      </c>
      <c r="H9" s="40">
        <f t="shared" si="0"/>
        <v>-32823743.800455943</v>
      </c>
    </row>
    <row r="10" spans="1:256" x14ac:dyDescent="0.3">
      <c r="B10" s="7">
        <v>70174484.828195468</v>
      </c>
      <c r="E10" s="7">
        <f>SUM(E4:E9)</f>
        <v>88511201.860237435</v>
      </c>
      <c r="H10" s="7">
        <f>SUM(H4:H9)</f>
        <v>18336717.032041952</v>
      </c>
    </row>
    <row r="11" spans="1:256" x14ac:dyDescent="0.3">
      <c r="B11" s="7"/>
      <c r="E11" s="7"/>
      <c r="H11" s="7"/>
    </row>
    <row r="12" spans="1:256" x14ac:dyDescent="0.3">
      <c r="A12" s="7" t="s">
        <v>198</v>
      </c>
      <c r="B12" s="7">
        <v>162248387.25</v>
      </c>
      <c r="D12" s="7" t="s">
        <v>198</v>
      </c>
      <c r="E12" s="16">
        <f>+Financials!I20</f>
        <v>418799988.75</v>
      </c>
      <c r="G12" s="7" t="s">
        <v>198</v>
      </c>
      <c r="H12" s="16">
        <f t="shared" ref="H12:H17" si="1">+E12-B12</f>
        <v>256551601.5</v>
      </c>
    </row>
    <row r="13" spans="1:256" x14ac:dyDescent="0.3">
      <c r="A13" s="7" t="s">
        <v>479</v>
      </c>
      <c r="B13" s="14">
        <v>26767548.339999963</v>
      </c>
      <c r="D13" s="7" t="s">
        <v>479</v>
      </c>
      <c r="E13" s="16">
        <f>+Financials!I21</f>
        <v>286919608.38999999</v>
      </c>
      <c r="G13" s="7" t="s">
        <v>479</v>
      </c>
      <c r="H13" s="16">
        <f t="shared" si="1"/>
        <v>260152060.05000001</v>
      </c>
    </row>
    <row r="14" spans="1:256" x14ac:dyDescent="0.3">
      <c r="A14" s="7" t="s">
        <v>441</v>
      </c>
      <c r="B14" s="14">
        <v>-178829673.45831138</v>
      </c>
      <c r="D14" s="7" t="s">
        <v>441</v>
      </c>
      <c r="E14" s="16">
        <f>+Financials!I22</f>
        <v>-437230762.5</v>
      </c>
      <c r="G14" s="7" t="s">
        <v>441</v>
      </c>
      <c r="H14" s="16">
        <f t="shared" si="1"/>
        <v>-258401089.04168862</v>
      </c>
    </row>
    <row r="15" spans="1:256" x14ac:dyDescent="0.3">
      <c r="A15" s="7" t="s">
        <v>503</v>
      </c>
      <c r="B15" s="7">
        <v>0</v>
      </c>
      <c r="C15" s="7"/>
      <c r="D15" s="7" t="s">
        <v>503</v>
      </c>
      <c r="E15" s="16">
        <f>+Financials!I23</f>
        <v>0</v>
      </c>
      <c r="F15" s="7"/>
      <c r="G15" s="7" t="s">
        <v>503</v>
      </c>
      <c r="H15" s="16">
        <f t="shared" si="1"/>
        <v>0</v>
      </c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  <c r="CR15" s="7"/>
      <c r="CS15" s="7"/>
      <c r="CT15" s="7"/>
      <c r="CU15" s="7"/>
      <c r="CV15" s="7"/>
      <c r="CW15" s="7"/>
      <c r="CX15" s="7"/>
      <c r="CY15" s="7"/>
      <c r="CZ15" s="7"/>
      <c r="DA15" s="7"/>
      <c r="DB15" s="7"/>
      <c r="DC15" s="7"/>
      <c r="DD15" s="7"/>
      <c r="DE15" s="7"/>
      <c r="DF15" s="7"/>
      <c r="DG15" s="7"/>
      <c r="DH15" s="7"/>
      <c r="DI15" s="7"/>
      <c r="DJ15" s="7"/>
      <c r="DK15" s="7"/>
      <c r="DL15" s="7"/>
      <c r="DM15" s="7"/>
      <c r="DN15" s="7"/>
      <c r="DO15" s="7"/>
      <c r="DP15" s="7"/>
      <c r="DQ15" s="7"/>
      <c r="DR15" s="7"/>
      <c r="DS15" s="7"/>
      <c r="DT15" s="7"/>
      <c r="DU15" s="7"/>
      <c r="DV15" s="7"/>
      <c r="DW15" s="7"/>
      <c r="DX15" s="7"/>
      <c r="DY15" s="7"/>
      <c r="DZ15" s="7"/>
      <c r="EA15" s="7"/>
      <c r="EB15" s="7"/>
      <c r="EC15" s="7"/>
      <c r="ED15" s="7"/>
      <c r="EE15" s="7"/>
      <c r="EF15" s="7"/>
      <c r="EG15" s="7"/>
      <c r="EH15" s="7"/>
      <c r="EI15" s="7"/>
      <c r="EJ15" s="7"/>
      <c r="EK15" s="7"/>
      <c r="EL15" s="7"/>
      <c r="EM15" s="7"/>
      <c r="EN15" s="7"/>
      <c r="EO15" s="7"/>
      <c r="EP15" s="7"/>
      <c r="EQ15" s="7"/>
      <c r="ER15" s="7"/>
      <c r="ES15" s="7"/>
      <c r="ET15" s="7"/>
      <c r="EU15" s="7"/>
      <c r="EV15" s="7"/>
      <c r="EW15" s="7"/>
      <c r="EX15" s="7"/>
      <c r="EY15" s="7"/>
      <c r="EZ15" s="7"/>
      <c r="FA15" s="7"/>
      <c r="FB15" s="7"/>
      <c r="FC15" s="7"/>
      <c r="FD15" s="7"/>
      <c r="FE15" s="7"/>
      <c r="FF15" s="7"/>
      <c r="FG15" s="7"/>
      <c r="FH15" s="7"/>
      <c r="FI15" s="7"/>
      <c r="FJ15" s="7"/>
      <c r="FK15" s="7"/>
      <c r="FL15" s="7"/>
      <c r="FM15" s="7"/>
      <c r="FN15" s="7"/>
      <c r="FO15" s="7"/>
      <c r="FP15" s="7"/>
      <c r="FQ15" s="7"/>
      <c r="FR15" s="7"/>
      <c r="FS15" s="7"/>
      <c r="FT15" s="7"/>
      <c r="FU15" s="7"/>
      <c r="FV15" s="7"/>
      <c r="FW15" s="7"/>
      <c r="FX15" s="7"/>
      <c r="FY15" s="7"/>
      <c r="FZ15" s="7"/>
      <c r="GA15" s="7"/>
      <c r="GB15" s="7"/>
      <c r="GC15" s="7"/>
      <c r="GD15" s="7"/>
      <c r="GE15" s="7"/>
      <c r="GF15" s="7"/>
      <c r="GG15" s="7"/>
      <c r="GH15" s="7"/>
      <c r="GI15" s="7"/>
      <c r="GJ15" s="7"/>
      <c r="GK15" s="7"/>
      <c r="GL15" s="7"/>
      <c r="GM15" s="7"/>
      <c r="GN15" s="7"/>
      <c r="GO15" s="7"/>
      <c r="GP15" s="7"/>
      <c r="GQ15" s="7"/>
      <c r="GR15" s="7"/>
      <c r="GS15" s="7"/>
      <c r="GT15" s="7"/>
      <c r="GU15" s="7"/>
      <c r="GV15" s="7"/>
      <c r="GW15" s="7"/>
      <c r="GX15" s="7"/>
      <c r="GY15" s="7"/>
      <c r="GZ15" s="7"/>
      <c r="HA15" s="7"/>
      <c r="HB15" s="7"/>
      <c r="HC15" s="7"/>
      <c r="HD15" s="7"/>
      <c r="HE15" s="7"/>
      <c r="HF15" s="7"/>
      <c r="HG15" s="7"/>
      <c r="HH15" s="7"/>
      <c r="HI15" s="7"/>
      <c r="HJ15" s="7"/>
      <c r="HK15" s="7"/>
      <c r="HL15" s="7"/>
      <c r="HM15" s="7"/>
      <c r="HN15" s="7"/>
      <c r="HO15" s="7"/>
      <c r="HP15" s="7"/>
      <c r="HQ15" s="7"/>
      <c r="HR15" s="7"/>
      <c r="HS15" s="7"/>
      <c r="HT15" s="7"/>
      <c r="HU15" s="7"/>
      <c r="HV15" s="7"/>
      <c r="HW15" s="7"/>
      <c r="HX15" s="7"/>
      <c r="HY15" s="7"/>
      <c r="HZ15" s="7"/>
      <c r="IA15" s="7"/>
      <c r="IB15" s="7"/>
      <c r="IC15" s="7"/>
      <c r="ID15" s="7"/>
      <c r="IE15" s="7"/>
      <c r="IF15" s="7"/>
      <c r="IG15" s="7"/>
      <c r="IH15" s="7"/>
      <c r="II15" s="7"/>
      <c r="IJ15" s="7"/>
      <c r="IK15" s="7"/>
      <c r="IL15" s="7"/>
      <c r="IM15" s="7"/>
      <c r="IN15" s="7"/>
      <c r="IO15" s="7"/>
      <c r="IP15" s="7"/>
      <c r="IQ15" s="7"/>
      <c r="IR15" s="7"/>
      <c r="IS15" s="7"/>
      <c r="IT15" s="7"/>
      <c r="IU15" s="7"/>
      <c r="IV15" s="7"/>
    </row>
    <row r="16" spans="1:256" x14ac:dyDescent="0.3">
      <c r="A16" s="7" t="s">
        <v>113</v>
      </c>
      <c r="B16" s="7">
        <v>-41817537.472000003</v>
      </c>
      <c r="D16" s="7" t="s">
        <v>113</v>
      </c>
      <c r="E16" s="16">
        <f>+Financials!I24</f>
        <v>-41817537.472000003</v>
      </c>
      <c r="G16" s="7" t="s">
        <v>113</v>
      </c>
      <c r="H16" s="16">
        <f t="shared" si="1"/>
        <v>0</v>
      </c>
    </row>
    <row r="17" spans="1:8" x14ac:dyDescent="0.3">
      <c r="A17" s="7" t="s">
        <v>114</v>
      </c>
      <c r="B17" s="27">
        <v>-11278182.528000001</v>
      </c>
      <c r="D17" s="7" t="s">
        <v>114</v>
      </c>
      <c r="E17" s="40">
        <f>+Financials!I25</f>
        <v>-11278182.528000001</v>
      </c>
      <c r="G17" s="7" t="s">
        <v>114</v>
      </c>
      <c r="H17" s="40">
        <f t="shared" si="1"/>
        <v>0</v>
      </c>
    </row>
    <row r="18" spans="1:8" x14ac:dyDescent="0.3">
      <c r="A18"/>
      <c r="B18" s="36">
        <v>-42909457.868311405</v>
      </c>
      <c r="D18"/>
      <c r="E18" s="36">
        <f>SUM(E12:E17)</f>
        <v>215393114.63999999</v>
      </c>
      <c r="G18"/>
      <c r="H18" s="36">
        <f>SUM(H12:H17)</f>
        <v>258302572.50831139</v>
      </c>
    </row>
    <row r="19" spans="1:8" x14ac:dyDescent="0.3">
      <c r="A19" s="286"/>
      <c r="B19" s="287"/>
      <c r="D19" s="286"/>
      <c r="E19" s="287"/>
      <c r="G19" s="286"/>
      <c r="H19" s="287"/>
    </row>
    <row r="20" spans="1:8" ht="16.2" thickBot="1" x14ac:dyDescent="0.35">
      <c r="A20" s="37" t="s">
        <v>62</v>
      </c>
      <c r="B20" s="101">
        <v>27265026.959884062</v>
      </c>
      <c r="D20" s="37" t="s">
        <v>62</v>
      </c>
      <c r="E20" s="101">
        <f>E18+E10</f>
        <v>303904316.50023741</v>
      </c>
      <c r="G20" s="37" t="s">
        <v>62</v>
      </c>
      <c r="H20" s="101">
        <f>H18+H10</f>
        <v>276639289.54035336</v>
      </c>
    </row>
    <row r="21" spans="1:8" ht="16.2" thickTop="1" x14ac:dyDescent="0.3"/>
    <row r="23" spans="1:8" x14ac:dyDescent="0.3">
      <c r="A23" s="282" t="s">
        <v>443</v>
      </c>
      <c r="B23" s="282"/>
      <c r="D23" s="282" t="s">
        <v>443</v>
      </c>
      <c r="E23" s="282"/>
      <c r="G23" s="282" t="s">
        <v>443</v>
      </c>
      <c r="H23" s="98">
        <f>+B24</f>
        <v>37072</v>
      </c>
    </row>
    <row r="24" spans="1:8" x14ac:dyDescent="0.3">
      <c r="A24" s="93" t="s">
        <v>139</v>
      </c>
      <c r="B24" s="98">
        <v>37072</v>
      </c>
      <c r="D24" s="93" t="s">
        <v>139</v>
      </c>
      <c r="E24" s="98">
        <f>+Financials!M6</f>
        <v>37161</v>
      </c>
      <c r="G24" s="93" t="s">
        <v>504</v>
      </c>
      <c r="H24" s="98">
        <f>+E24</f>
        <v>37161</v>
      </c>
    </row>
    <row r="25" spans="1:8" ht="16.2" thickBot="1" x14ac:dyDescent="0.35">
      <c r="A25" s="283" t="s">
        <v>30</v>
      </c>
      <c r="B25" s="283"/>
      <c r="C25" s="7"/>
      <c r="D25" s="283" t="s">
        <v>30</v>
      </c>
      <c r="E25" s="283"/>
      <c r="G25" s="283" t="s">
        <v>30</v>
      </c>
      <c r="H25" s="283"/>
    </row>
    <row r="26" spans="1:8" x14ac:dyDescent="0.3">
      <c r="A26" s="7" t="s">
        <v>37</v>
      </c>
      <c r="B26" s="7">
        <v>37648522.296888947</v>
      </c>
      <c r="C26" s="7"/>
      <c r="D26" s="7" t="s">
        <v>37</v>
      </c>
      <c r="E26" s="7">
        <f>+Financials!M8</f>
        <v>38035671.695602894</v>
      </c>
      <c r="G26" s="7" t="s">
        <v>37</v>
      </c>
      <c r="H26" s="7">
        <f t="shared" ref="H26:H33" si="2">+E26-B26</f>
        <v>387149.39871394634</v>
      </c>
    </row>
    <row r="27" spans="1:8" x14ac:dyDescent="0.3">
      <c r="A27" s="7" t="s">
        <v>35</v>
      </c>
      <c r="B27" s="7">
        <v>50000000</v>
      </c>
      <c r="C27" s="7"/>
      <c r="D27" s="7" t="s">
        <v>35</v>
      </c>
      <c r="E27" s="7">
        <f>+Financials!M9</f>
        <v>50000000</v>
      </c>
      <c r="G27" s="7" t="s">
        <v>35</v>
      </c>
      <c r="H27" s="7">
        <f t="shared" si="2"/>
        <v>0</v>
      </c>
    </row>
    <row r="28" spans="1:8" x14ac:dyDescent="0.3">
      <c r="A28" s="7" t="s">
        <v>42</v>
      </c>
      <c r="B28" s="7">
        <v>9722.2222222222226</v>
      </c>
      <c r="C28" s="7"/>
      <c r="D28" s="7" t="s">
        <v>42</v>
      </c>
      <c r="E28" s="7">
        <f>+Financials!M10</f>
        <v>875000</v>
      </c>
      <c r="G28" s="7" t="s">
        <v>42</v>
      </c>
      <c r="H28" s="7">
        <f t="shared" si="2"/>
        <v>865277.77777777775</v>
      </c>
    </row>
    <row r="29" spans="1:8" x14ac:dyDescent="0.3">
      <c r="A29" s="7" t="s">
        <v>38</v>
      </c>
      <c r="B29" s="7">
        <v>0</v>
      </c>
      <c r="C29" s="18"/>
      <c r="D29" s="7" t="s">
        <v>38</v>
      </c>
      <c r="E29" s="7">
        <f>+Financials!M11</f>
        <v>0</v>
      </c>
      <c r="G29" s="7" t="s">
        <v>38</v>
      </c>
      <c r="H29" s="7">
        <f t="shared" si="2"/>
        <v>0</v>
      </c>
    </row>
    <row r="30" spans="1:8" x14ac:dyDescent="0.3">
      <c r="A30" s="7" t="s">
        <v>492</v>
      </c>
      <c r="B30" s="14">
        <v>382390207.26200557</v>
      </c>
      <c r="D30" s="7" t="s">
        <v>492</v>
      </c>
      <c r="E30" s="7">
        <f>+Financials!M12</f>
        <v>389330485.33636492</v>
      </c>
      <c r="G30" s="7" t="s">
        <v>492</v>
      </c>
      <c r="H30" s="7">
        <f t="shared" si="2"/>
        <v>6940278.0743593574</v>
      </c>
    </row>
    <row r="31" spans="1:8" x14ac:dyDescent="0.3">
      <c r="A31" s="7" t="s">
        <v>493</v>
      </c>
      <c r="B31" s="7">
        <v>118425531</v>
      </c>
      <c r="C31" s="7"/>
      <c r="D31" s="7" t="s">
        <v>493</v>
      </c>
      <c r="E31" s="7">
        <f>+Financials!M13</f>
        <v>118425531</v>
      </c>
      <c r="G31" s="7" t="s">
        <v>450</v>
      </c>
      <c r="H31" s="7">
        <f t="shared" si="2"/>
        <v>0</v>
      </c>
    </row>
    <row r="32" spans="1:8" x14ac:dyDescent="0.3">
      <c r="A32" s="7" t="s">
        <v>201</v>
      </c>
      <c r="B32" s="7">
        <v>330578582.58999997</v>
      </c>
      <c r="C32" s="7"/>
      <c r="D32" s="7" t="s">
        <v>201</v>
      </c>
      <c r="E32" s="7">
        <f>+Financials!M14</f>
        <v>705719597.13999999</v>
      </c>
      <c r="G32" s="7" t="s">
        <v>201</v>
      </c>
      <c r="H32" s="7">
        <f t="shared" si="2"/>
        <v>375141014.55000001</v>
      </c>
    </row>
    <row r="33" spans="1:8" x14ac:dyDescent="0.3">
      <c r="A33" s="7" t="s">
        <v>119</v>
      </c>
      <c r="B33" s="7">
        <v>0</v>
      </c>
      <c r="C33" s="7"/>
      <c r="D33" s="7" t="s">
        <v>119</v>
      </c>
      <c r="E33" s="7">
        <f>+Financials!M15</f>
        <v>0</v>
      </c>
      <c r="G33" s="7" t="s">
        <v>119</v>
      </c>
      <c r="H33" s="7">
        <f t="shared" si="2"/>
        <v>0</v>
      </c>
    </row>
    <row r="34" spans="1:8" ht="16.2" thickBot="1" x14ac:dyDescent="0.35">
      <c r="A34" s="91" t="s">
        <v>7</v>
      </c>
      <c r="B34" s="12">
        <v>919052565.37111664</v>
      </c>
      <c r="C34" s="20"/>
      <c r="D34" s="91" t="s">
        <v>7</v>
      </c>
      <c r="E34" s="12">
        <f>SUM(E26:E33)</f>
        <v>1302386285.171968</v>
      </c>
      <c r="G34" s="91" t="s">
        <v>7</v>
      </c>
      <c r="H34" s="12">
        <f>SUM(H26:H33)</f>
        <v>383333719.80085111</v>
      </c>
    </row>
    <row r="35" spans="1:8" ht="16.2" thickTop="1" x14ac:dyDescent="0.3"/>
    <row r="36" spans="1:8" ht="16.2" thickBot="1" x14ac:dyDescent="0.35">
      <c r="A36" s="283" t="s">
        <v>31</v>
      </c>
      <c r="B36" s="283"/>
      <c r="D36" s="283" t="s">
        <v>31</v>
      </c>
      <c r="E36" s="283"/>
      <c r="G36" s="283" t="s">
        <v>31</v>
      </c>
      <c r="H36" s="283"/>
    </row>
    <row r="37" spans="1:8" x14ac:dyDescent="0.3">
      <c r="A37" s="7" t="s">
        <v>105</v>
      </c>
      <c r="B37" s="7">
        <v>0</v>
      </c>
      <c r="D37" s="7" t="s">
        <v>105</v>
      </c>
      <c r="E37" s="7">
        <f>+Financials!P8</f>
        <v>0</v>
      </c>
      <c r="G37" s="7" t="s">
        <v>105</v>
      </c>
      <c r="H37" s="7">
        <f t="shared" ref="H37:H42" si="3">+E37-B37</f>
        <v>0</v>
      </c>
    </row>
    <row r="38" spans="1:8" x14ac:dyDescent="0.3">
      <c r="A38" s="7" t="s">
        <v>115</v>
      </c>
      <c r="B38" s="7">
        <v>41817537.472000003</v>
      </c>
      <c r="D38" s="7" t="s">
        <v>115</v>
      </c>
      <c r="E38" s="7">
        <f>+Financials!P10</f>
        <v>41817537.472000003</v>
      </c>
      <c r="G38" s="7" t="s">
        <v>115</v>
      </c>
      <c r="H38" s="7">
        <f t="shared" si="3"/>
        <v>0</v>
      </c>
    </row>
    <row r="39" spans="1:8" x14ac:dyDescent="0.3">
      <c r="A39" s="7" t="s">
        <v>202</v>
      </c>
      <c r="B39" s="7">
        <v>0</v>
      </c>
      <c r="D39" s="7" t="s">
        <v>202</v>
      </c>
      <c r="E39" s="7">
        <f>+Financials!P11</f>
        <v>0</v>
      </c>
      <c r="G39" s="7" t="s">
        <v>202</v>
      </c>
      <c r="H39" s="7">
        <f t="shared" si="3"/>
        <v>0</v>
      </c>
    </row>
    <row r="40" spans="1:8" x14ac:dyDescent="0.3">
      <c r="A40" s="7" t="s">
        <v>36</v>
      </c>
      <c r="B40" s="7">
        <v>950124200.57899785</v>
      </c>
      <c r="D40" s="7" t="s">
        <v>36</v>
      </c>
      <c r="E40" s="7">
        <f>+Financials!P12</f>
        <v>966563431.1997304</v>
      </c>
      <c r="G40" s="7" t="s">
        <v>36</v>
      </c>
      <c r="H40" s="7">
        <f t="shared" si="3"/>
        <v>16439230.620732546</v>
      </c>
    </row>
    <row r="41" spans="1:8" x14ac:dyDescent="0.3">
      <c r="B41" s="7"/>
      <c r="E41" s="7"/>
      <c r="H41" s="7">
        <f t="shared" si="3"/>
        <v>0</v>
      </c>
    </row>
    <row r="42" spans="1:8" x14ac:dyDescent="0.3">
      <c r="A42" s="7" t="s">
        <v>40</v>
      </c>
      <c r="B42" s="7">
        <v>0</v>
      </c>
      <c r="D42" s="7" t="s">
        <v>40</v>
      </c>
      <c r="E42" s="7">
        <f>+Financials!P14</f>
        <v>31233808.219178081</v>
      </c>
      <c r="G42" s="7" t="s">
        <v>40</v>
      </c>
      <c r="H42" s="7">
        <f t="shared" si="3"/>
        <v>31233808.219178081</v>
      </c>
    </row>
    <row r="43" spans="1:8" x14ac:dyDescent="0.3">
      <c r="A43" s="7" t="s">
        <v>4</v>
      </c>
      <c r="B43" s="7">
        <v>-72889172.679881215</v>
      </c>
      <c r="D43" s="7" t="s">
        <v>4</v>
      </c>
      <c r="E43" s="7">
        <f>+Financials!P15</f>
        <v>262771508.2810595</v>
      </c>
      <c r="G43" s="7" t="s">
        <v>4</v>
      </c>
      <c r="H43" s="7">
        <f>+E43-B43</f>
        <v>335660680.96094072</v>
      </c>
    </row>
    <row r="44" spans="1:8" ht="16.2" thickBot="1" x14ac:dyDescent="0.35">
      <c r="A44" s="91" t="s">
        <v>7</v>
      </c>
      <c r="B44" s="12">
        <v>919052565.37111664</v>
      </c>
      <c r="D44" s="91" t="s">
        <v>7</v>
      </c>
      <c r="E44" s="12">
        <f>SUM(E37:E43)</f>
        <v>1302386285.171968</v>
      </c>
      <c r="G44" s="91" t="s">
        <v>7</v>
      </c>
      <c r="H44" s="12">
        <f>SUM(H37:H43)</f>
        <v>383333719.80085135</v>
      </c>
    </row>
    <row r="45" spans="1:8" ht="16.2" thickTop="1" x14ac:dyDescent="0.3"/>
  </sheetData>
  <mergeCells count="2">
    <mergeCell ref="A2:B2"/>
    <mergeCell ref="D2:E2"/>
  </mergeCells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G107"/>
  <sheetViews>
    <sheetView showGridLines="0" topLeftCell="A16" zoomScaleNormal="100" workbookViewId="0">
      <selection activeCell="D40" sqref="D40"/>
    </sheetView>
  </sheetViews>
  <sheetFormatPr defaultRowHeight="15.6" x14ac:dyDescent="0.3"/>
  <cols>
    <col min="1" max="1" width="32.69921875" customWidth="1"/>
    <col min="2" max="2" width="12.69921875" bestFit="1" customWidth="1"/>
    <col min="3" max="3" width="1.69921875" bestFit="1" customWidth="1"/>
    <col min="4" max="4" width="14.69921875" bestFit="1" customWidth="1"/>
    <col min="5" max="5" width="13" customWidth="1"/>
    <col min="6" max="6" width="9.09765625" bestFit="1" customWidth="1"/>
    <col min="7" max="7" width="9.69921875" bestFit="1" customWidth="1"/>
  </cols>
  <sheetData>
    <row r="1" spans="1:7" ht="16.2" thickBot="1" x14ac:dyDescent="0.35">
      <c r="A1" s="307" t="s">
        <v>107</v>
      </c>
      <c r="B1" s="307"/>
    </row>
    <row r="3" spans="1:7" x14ac:dyDescent="0.3">
      <c r="A3" s="13" t="s">
        <v>118</v>
      </c>
      <c r="B3" s="14"/>
      <c r="C3" s="7"/>
    </row>
    <row r="4" spans="1:7" x14ac:dyDescent="0.3">
      <c r="A4" s="8" t="s">
        <v>83</v>
      </c>
      <c r="B4" s="16">
        <f>IF(Summary!C5&lt;'Cash-Int-Trans'!D4,0,+G4)</f>
        <v>34266411</v>
      </c>
      <c r="C4" s="7"/>
      <c r="D4" s="1">
        <v>36791</v>
      </c>
      <c r="E4">
        <v>41000000</v>
      </c>
      <c r="F4">
        <v>6733589</v>
      </c>
      <c r="G4">
        <f>+E4-F4</f>
        <v>34266411</v>
      </c>
    </row>
    <row r="5" spans="1:7" x14ac:dyDescent="0.3">
      <c r="A5" s="7"/>
      <c r="B5" s="14"/>
      <c r="C5" s="7"/>
    </row>
    <row r="6" spans="1:7" ht="16.2" thickBot="1" x14ac:dyDescent="0.35">
      <c r="A6" s="7" t="s">
        <v>84</v>
      </c>
      <c r="B6" s="150">
        <f>SUM(B3:B5)</f>
        <v>34266411</v>
      </c>
      <c r="C6" s="29" t="s">
        <v>85</v>
      </c>
    </row>
    <row r="7" spans="1:7" ht="16.2" thickTop="1" x14ac:dyDescent="0.3">
      <c r="A7" s="7"/>
      <c r="B7" s="14"/>
      <c r="C7" s="7"/>
    </row>
    <row r="8" spans="1:7" x14ac:dyDescent="0.3">
      <c r="A8" s="7" t="s">
        <v>93</v>
      </c>
      <c r="B8" s="14">
        <f>IF(Summary!C5&lt;'Cash-Int-Trans'!D8,0,-Financials!E6+B4)</f>
        <v>-6733589</v>
      </c>
      <c r="C8" s="7"/>
      <c r="D8" s="1">
        <v>36791</v>
      </c>
    </row>
    <row r="9" spans="1:7" x14ac:dyDescent="0.3">
      <c r="A9" s="7" t="s">
        <v>185</v>
      </c>
      <c r="B9" s="14">
        <f>-B8</f>
        <v>6733589</v>
      </c>
      <c r="C9" s="7"/>
      <c r="D9" s="1">
        <f>+D8</f>
        <v>36791</v>
      </c>
    </row>
    <row r="10" spans="1:7" x14ac:dyDescent="0.3">
      <c r="A10" s="7"/>
      <c r="B10" s="7"/>
      <c r="C10" s="7"/>
    </row>
    <row r="11" spans="1:7" x14ac:dyDescent="0.3">
      <c r="A11" s="7" t="s">
        <v>94</v>
      </c>
      <c r="B11" s="14"/>
      <c r="C11" s="7"/>
    </row>
    <row r="12" spans="1:7" x14ac:dyDescent="0.3">
      <c r="A12" s="7" t="s">
        <v>186</v>
      </c>
      <c r="B12" s="14">
        <f>IF(Summary!C5&lt;'Cash-Int-Trans'!D12,0,-41000000)</f>
        <v>-41000000</v>
      </c>
      <c r="C12" s="7"/>
      <c r="D12" s="1">
        <v>36791</v>
      </c>
    </row>
    <row r="13" spans="1:7" x14ac:dyDescent="0.3">
      <c r="A13" s="7" t="s">
        <v>187</v>
      </c>
      <c r="B13" s="14">
        <v>1100000</v>
      </c>
      <c r="C13" s="7"/>
      <c r="D13" s="1">
        <v>36791</v>
      </c>
    </row>
    <row r="14" spans="1:7" x14ac:dyDescent="0.3">
      <c r="A14" s="7"/>
      <c r="B14" s="14"/>
      <c r="C14" s="7"/>
      <c r="D14" s="1"/>
    </row>
    <row r="15" spans="1:7" x14ac:dyDescent="0.3">
      <c r="A15" s="7" t="s">
        <v>190</v>
      </c>
      <c r="B15" s="14">
        <f>IF(Summary!$C$5&lt;'Cash-Int-Trans'!D15,0,-Amort!D11)</f>
        <v>-1779166.6666666667</v>
      </c>
      <c r="C15" s="7"/>
      <c r="D15" s="1">
        <v>36889</v>
      </c>
    </row>
    <row r="16" spans="1:7" x14ac:dyDescent="0.3">
      <c r="A16" s="7" t="s">
        <v>189</v>
      </c>
      <c r="B16" s="14">
        <f>-B15</f>
        <v>1779166.6666666667</v>
      </c>
      <c r="C16" s="7"/>
      <c r="D16" s="1">
        <f>+D15</f>
        <v>36889</v>
      </c>
    </row>
    <row r="17" spans="1:4" x14ac:dyDescent="0.3">
      <c r="A17" s="7"/>
      <c r="B17" s="14"/>
      <c r="C17" s="7"/>
      <c r="D17" s="1"/>
    </row>
    <row r="18" spans="1:4" x14ac:dyDescent="0.3">
      <c r="A18" s="7" t="s">
        <v>190</v>
      </c>
      <c r="B18" s="14">
        <f>IF(Summary!$C$5&lt;'Cash-Int-Trans'!D18,0,-Amort!D12)</f>
        <v>-1769444.4444444445</v>
      </c>
      <c r="C18" s="7"/>
      <c r="D18" s="1">
        <v>37071</v>
      </c>
    </row>
    <row r="19" spans="1:4" x14ac:dyDescent="0.3">
      <c r="A19" s="7" t="s">
        <v>189</v>
      </c>
      <c r="B19" s="14">
        <f>-B18</f>
        <v>1769444.4444444445</v>
      </c>
      <c r="C19" s="7"/>
      <c r="D19" s="1">
        <f>+D18</f>
        <v>37071</v>
      </c>
    </row>
    <row r="20" spans="1:4" x14ac:dyDescent="0.3">
      <c r="A20" s="7"/>
      <c r="B20" s="14"/>
      <c r="C20" s="7"/>
    </row>
    <row r="21" spans="1:4" ht="16.2" thickBot="1" x14ac:dyDescent="0.35">
      <c r="A21" s="307" t="s">
        <v>102</v>
      </c>
      <c r="B21" s="307"/>
    </row>
    <row r="23" spans="1:4" x14ac:dyDescent="0.3">
      <c r="A23" t="s">
        <v>25</v>
      </c>
      <c r="B23" s="7">
        <f>+Financials!B6</f>
        <v>71001000</v>
      </c>
      <c r="D23" s="1">
        <v>36634</v>
      </c>
    </row>
    <row r="25" spans="1:4" x14ac:dyDescent="0.3">
      <c r="A25" t="s">
        <v>103</v>
      </c>
      <c r="B25" s="7">
        <f>+Financials!I27</f>
        <v>303904316.50023741</v>
      </c>
    </row>
    <row r="26" spans="1:4" x14ac:dyDescent="0.3">
      <c r="A26" t="s">
        <v>104</v>
      </c>
      <c r="B26" s="7">
        <f>-Financials!I15-Financials!I16</f>
        <v>-101657183.21636491</v>
      </c>
    </row>
    <row r="27" spans="1:4" x14ac:dyDescent="0.3">
      <c r="A27" s="7" t="str">
        <f>+Financials!H24</f>
        <v>Unrealized Gains / (Losses)</v>
      </c>
      <c r="B27" s="7">
        <f>-Financials!I20-Financials!I21-Financials!I22-Financials!I23-Financials!I24</f>
        <v>-226671297.16799998</v>
      </c>
    </row>
    <row r="29" spans="1:4" x14ac:dyDescent="0.3">
      <c r="A29" t="s">
        <v>106</v>
      </c>
    </row>
    <row r="30" spans="1:4" x14ac:dyDescent="0.3">
      <c r="A30" t="s">
        <v>108</v>
      </c>
      <c r="B30" s="7">
        <f>+Financials!B7-Financials!M9</f>
        <v>0</v>
      </c>
    </row>
    <row r="31" spans="1:4" x14ac:dyDescent="0.3">
      <c r="A31" t="s">
        <v>42</v>
      </c>
      <c r="B31" s="7">
        <f>0-Financials!M10</f>
        <v>-875000</v>
      </c>
    </row>
    <row r="32" spans="1:4" x14ac:dyDescent="0.3">
      <c r="A32" t="s">
        <v>492</v>
      </c>
      <c r="B32" s="7">
        <f>0-Financials!M12+Financials!I16</f>
        <v>-374904064.62</v>
      </c>
    </row>
    <row r="33" spans="1:6" x14ac:dyDescent="0.3">
      <c r="A33" s="7" t="s">
        <v>493</v>
      </c>
      <c r="B33" s="7">
        <f>0-Financials!M13+Financials!I23</f>
        <v>-118425531</v>
      </c>
    </row>
    <row r="34" spans="1:6" x14ac:dyDescent="0.3">
      <c r="A34" t="s">
        <v>109</v>
      </c>
      <c r="B34" s="7">
        <f>-Financials!E7+Financials!P12</f>
        <v>566563431.1997304</v>
      </c>
    </row>
    <row r="35" spans="1:6" x14ac:dyDescent="0.3">
      <c r="A35" t="s">
        <v>188</v>
      </c>
      <c r="B35" s="7">
        <f>-Financials!E6+Financials!P9</f>
        <v>-41000000</v>
      </c>
      <c r="E35" s="7"/>
    </row>
    <row r="37" spans="1:6" x14ac:dyDescent="0.3">
      <c r="A37" t="s">
        <v>94</v>
      </c>
      <c r="B37" s="7">
        <f>+B12</f>
        <v>-41000000</v>
      </c>
    </row>
    <row r="38" spans="1:6" x14ac:dyDescent="0.3">
      <c r="A38" t="s">
        <v>117</v>
      </c>
      <c r="B38" s="7">
        <f>+B13</f>
        <v>1100000</v>
      </c>
      <c r="E38" s="7"/>
    </row>
    <row r="40" spans="1:6" ht="16.2" thickBot="1" x14ac:dyDescent="0.35">
      <c r="A40" t="s">
        <v>27</v>
      </c>
      <c r="B40" s="12">
        <f>SUM(B23:B39)</f>
        <v>38035671.695602894</v>
      </c>
      <c r="D40" s="7">
        <f>+B23+B12+B13+B43+B16+B19</f>
        <v>38035671.695602849</v>
      </c>
      <c r="E40" s="7">
        <f>+B40-D40</f>
        <v>0</v>
      </c>
    </row>
    <row r="41" spans="1:6" ht="16.2" thickTop="1" x14ac:dyDescent="0.3"/>
    <row r="42" spans="1:6" ht="16.2" thickBot="1" x14ac:dyDescent="0.35">
      <c r="A42" s="307" t="s">
        <v>496</v>
      </c>
      <c r="B42" s="307"/>
      <c r="C42" s="307"/>
      <c r="D42" s="307"/>
      <c r="E42" s="307"/>
      <c r="F42" s="307"/>
    </row>
    <row r="43" spans="1:6" x14ac:dyDescent="0.3">
      <c r="A43" s="109" t="s">
        <v>112</v>
      </c>
      <c r="B43" s="110">
        <f>+B48+B53+B58+B63+B68+B73</f>
        <v>3386060.5844917349</v>
      </c>
    </row>
    <row r="45" spans="1:6" x14ac:dyDescent="0.3">
      <c r="A45" t="s">
        <v>1</v>
      </c>
      <c r="B45" s="1">
        <v>36706</v>
      </c>
      <c r="D45" t="s">
        <v>497</v>
      </c>
      <c r="E45" s="1">
        <v>36798</v>
      </c>
    </row>
    <row r="46" spans="1:6" x14ac:dyDescent="0.3">
      <c r="A46" t="s">
        <v>25</v>
      </c>
      <c r="B46" s="7">
        <v>71001000</v>
      </c>
      <c r="D46" t="s">
        <v>78</v>
      </c>
      <c r="E46" s="3">
        <f>+B47-B45</f>
        <v>92</v>
      </c>
    </row>
    <row r="47" spans="1:6" x14ac:dyDescent="0.3">
      <c r="A47" t="s">
        <v>1</v>
      </c>
      <c r="B47" s="1">
        <f>IF(Summary!$C$5&lt;B45,+B45,IF(Summary!$C$5&gt;E45,+E45,Summary!$C$5))</f>
        <v>36798</v>
      </c>
      <c r="D47" t="s">
        <v>498</v>
      </c>
      <c r="E47" s="284">
        <v>6.7750000000000005E-2</v>
      </c>
    </row>
    <row r="48" spans="1:6" x14ac:dyDescent="0.3">
      <c r="A48" t="s">
        <v>26</v>
      </c>
      <c r="B48" s="54">
        <f>+B46*(E47+0.0045)/360*E46</f>
        <v>1310954.5750000002</v>
      </c>
    </row>
    <row r="50" spans="1:5" x14ac:dyDescent="0.3">
      <c r="A50" t="s">
        <v>1</v>
      </c>
      <c r="B50" s="1">
        <f>+E45</f>
        <v>36798</v>
      </c>
      <c r="D50" t="s">
        <v>497</v>
      </c>
      <c r="E50" s="1">
        <v>36801</v>
      </c>
    </row>
    <row r="51" spans="1:5" x14ac:dyDescent="0.3">
      <c r="A51" t="s">
        <v>25</v>
      </c>
      <c r="B51" s="7">
        <f>+B46+B48</f>
        <v>72311954.575000003</v>
      </c>
      <c r="D51" t="s">
        <v>78</v>
      </c>
      <c r="E51" s="3">
        <f>+B52-B50</f>
        <v>3</v>
      </c>
    </row>
    <row r="52" spans="1:5" x14ac:dyDescent="0.3">
      <c r="A52" t="s">
        <v>1</v>
      </c>
      <c r="B52" s="1">
        <f>IF(Summary!$C$5&lt;B50,+B50,IF(Summary!$C$5&gt;E50,+E50,Summary!$C$5))</f>
        <v>36801</v>
      </c>
      <c r="D52" t="s">
        <v>498</v>
      </c>
      <c r="E52" s="284">
        <v>6.6206299999999996E-2</v>
      </c>
    </row>
    <row r="53" spans="1:5" x14ac:dyDescent="0.3">
      <c r="A53" t="s">
        <v>26</v>
      </c>
      <c r="B53" s="54">
        <f>+B51*(E52+0.0045)/360*E51</f>
        <v>42607.589614719356</v>
      </c>
    </row>
    <row r="55" spans="1:5" x14ac:dyDescent="0.3">
      <c r="A55" t="s">
        <v>1</v>
      </c>
      <c r="B55" s="1">
        <f>+E50</f>
        <v>36801</v>
      </c>
      <c r="D55" t="s">
        <v>497</v>
      </c>
      <c r="E55" s="1">
        <v>36889</v>
      </c>
    </row>
    <row r="56" spans="1:5" x14ac:dyDescent="0.3">
      <c r="A56" t="s">
        <v>25</v>
      </c>
      <c r="B56" s="7">
        <f>+B51+B53+B12+B13</f>
        <v>32454562.164614722</v>
      </c>
      <c r="D56" t="s">
        <v>78</v>
      </c>
      <c r="E56" s="3">
        <f>+B57-B55</f>
        <v>88</v>
      </c>
    </row>
    <row r="57" spans="1:5" x14ac:dyDescent="0.3">
      <c r="A57" t="s">
        <v>1</v>
      </c>
      <c r="B57" s="1">
        <f>IF(Summary!$C$5&lt;B55,+B55,IF(Summary!$C$5&gt;E55,+E55,Summary!$C$5))</f>
        <v>36889</v>
      </c>
      <c r="D57" t="s">
        <v>498</v>
      </c>
      <c r="E57" s="284">
        <v>6.6206299999999996E-2</v>
      </c>
    </row>
    <row r="58" spans="1:5" x14ac:dyDescent="0.3">
      <c r="A58" t="s">
        <v>26</v>
      </c>
      <c r="B58" s="54">
        <f>+B56*(E57+0.0045)/360*E56</f>
        <v>560936.9354795306</v>
      </c>
    </row>
    <row r="60" spans="1:5" x14ac:dyDescent="0.3">
      <c r="A60" t="s">
        <v>1</v>
      </c>
      <c r="B60" s="1">
        <f>+E55</f>
        <v>36889</v>
      </c>
      <c r="D60" t="s">
        <v>497</v>
      </c>
      <c r="E60" s="1">
        <v>36979</v>
      </c>
    </row>
    <row r="61" spans="1:5" x14ac:dyDescent="0.3">
      <c r="A61" t="s">
        <v>25</v>
      </c>
      <c r="B61" s="7">
        <f>+B56+B58+B16</f>
        <v>34794665.766760916</v>
      </c>
      <c r="D61" t="s">
        <v>78</v>
      </c>
      <c r="E61" s="3">
        <f>+B62-B60</f>
        <v>90</v>
      </c>
    </row>
    <row r="62" spans="1:5" x14ac:dyDescent="0.3">
      <c r="A62" t="s">
        <v>1</v>
      </c>
      <c r="B62" s="1">
        <f>IF(Summary!$C$5&lt;B60,+B60,IF(Summary!$C$5&gt;E60,+E60,Summary!$C$5))</f>
        <v>36979</v>
      </c>
      <c r="D62" t="s">
        <v>498</v>
      </c>
      <c r="E62" s="284">
        <v>6.40125E-2</v>
      </c>
    </row>
    <row r="63" spans="1:5" x14ac:dyDescent="0.3">
      <c r="A63" t="s">
        <v>26</v>
      </c>
      <c r="B63" s="54">
        <f>+B61*(E62+0.0045)/360*E61</f>
        <v>595967.38458630187</v>
      </c>
    </row>
    <row r="65" spans="1:6" x14ac:dyDescent="0.3">
      <c r="A65" t="s">
        <v>1</v>
      </c>
      <c r="B65" s="1">
        <f>+E60</f>
        <v>36979</v>
      </c>
      <c r="D65" t="s">
        <v>497</v>
      </c>
      <c r="E65" s="1">
        <v>37071</v>
      </c>
    </row>
    <row r="66" spans="1:6" x14ac:dyDescent="0.3">
      <c r="A66" t="s">
        <v>25</v>
      </c>
      <c r="B66" s="7">
        <f>+B61+B63</f>
        <v>35390633.15134722</v>
      </c>
      <c r="D66" t="s">
        <v>78</v>
      </c>
      <c r="E66" s="3">
        <f>+B67-B65</f>
        <v>92</v>
      </c>
    </row>
    <row r="67" spans="1:6" x14ac:dyDescent="0.3">
      <c r="A67" t="s">
        <v>1</v>
      </c>
      <c r="B67" s="1">
        <f>IF(Summary!$C$5&lt;B65,+B65,IF(Summary!$C$5&gt;E65,+E65,Summary!$C$5))</f>
        <v>37071</v>
      </c>
      <c r="D67" t="s">
        <v>498</v>
      </c>
      <c r="E67" s="284">
        <v>4.9024999999999999E-2</v>
      </c>
    </row>
    <row r="68" spans="1:6" x14ac:dyDescent="0.3">
      <c r="A68" t="s">
        <v>26</v>
      </c>
      <c r="B68" s="54">
        <f>+B66*(E67+0.0045)/360*E66</f>
        <v>484094.70785327523</v>
      </c>
    </row>
    <row r="69" spans="1:6" x14ac:dyDescent="0.3">
      <c r="B69" s="54"/>
    </row>
    <row r="70" spans="1:6" x14ac:dyDescent="0.3">
      <c r="A70" t="s">
        <v>1</v>
      </c>
      <c r="B70" s="1">
        <f>+E65</f>
        <v>37071</v>
      </c>
      <c r="D70" t="s">
        <v>497</v>
      </c>
      <c r="E70" s="1">
        <v>38412</v>
      </c>
    </row>
    <row r="71" spans="1:6" x14ac:dyDescent="0.3">
      <c r="A71" t="s">
        <v>25</v>
      </c>
      <c r="B71" s="7">
        <f>+B66+B68+B19</f>
        <v>37644172.30364494</v>
      </c>
      <c r="D71" t="s">
        <v>78</v>
      </c>
      <c r="E71" s="3">
        <f>+B72-B70</f>
        <v>90</v>
      </c>
    </row>
    <row r="72" spans="1:6" x14ac:dyDescent="0.3">
      <c r="A72" t="s">
        <v>1</v>
      </c>
      <c r="B72" s="1">
        <f>IF(Summary!$C$5&lt;B70,+B70,IF(Summary!$C$5&gt;E70,+E70,Summary!$C$5))</f>
        <v>37161</v>
      </c>
      <c r="D72" t="s">
        <v>498</v>
      </c>
      <c r="E72" s="284">
        <v>3.7100000000000001E-2</v>
      </c>
    </row>
    <row r="73" spans="1:6" x14ac:dyDescent="0.3">
      <c r="A73" t="s">
        <v>26</v>
      </c>
      <c r="B73" s="54">
        <f>+B71*(E72+0.0045)/360*E71</f>
        <v>391499.39195790736</v>
      </c>
    </row>
    <row r="74" spans="1:6" x14ac:dyDescent="0.3">
      <c r="B74" s="54"/>
      <c r="E74" s="51"/>
      <c r="F74" s="52"/>
    </row>
    <row r="75" spans="1:6" ht="16.2" thickBot="1" x14ac:dyDescent="0.35">
      <c r="A75" s="307" t="s">
        <v>166</v>
      </c>
      <c r="B75" s="307"/>
      <c r="C75" s="307"/>
      <c r="D75" s="307"/>
      <c r="E75" s="307"/>
      <c r="F75" s="307"/>
    </row>
    <row r="76" spans="1:6" x14ac:dyDescent="0.3">
      <c r="A76" s="109" t="s">
        <v>163</v>
      </c>
      <c r="B76" s="110">
        <f>+B78+B85+E89+E93</f>
        <v>55222064.05173032</v>
      </c>
    </row>
    <row r="77" spans="1:6" x14ac:dyDescent="0.3">
      <c r="A77" s="53"/>
    </row>
    <row r="78" spans="1:6" x14ac:dyDescent="0.3">
      <c r="A78" t="s">
        <v>167</v>
      </c>
      <c r="B78" s="3">
        <f>+Amort!B61</f>
        <v>45759366.879824869</v>
      </c>
      <c r="E78" s="308"/>
      <c r="F78" s="309"/>
    </row>
    <row r="79" spans="1:6" x14ac:dyDescent="0.3">
      <c r="B79" s="3"/>
      <c r="E79" s="131"/>
      <c r="F79" s="132"/>
    </row>
    <row r="80" spans="1:6" x14ac:dyDescent="0.3">
      <c r="A80" t="s">
        <v>174</v>
      </c>
      <c r="B80" s="7"/>
      <c r="E80" s="47"/>
      <c r="F80" s="48"/>
    </row>
    <row r="81" spans="1:6" x14ac:dyDescent="0.3">
      <c r="A81" t="s">
        <v>168</v>
      </c>
      <c r="B81" s="1">
        <v>36791</v>
      </c>
      <c r="E81" s="47"/>
      <c r="F81" s="48"/>
    </row>
    <row r="82" spans="1:6" x14ac:dyDescent="0.3">
      <c r="A82" t="s">
        <v>169</v>
      </c>
      <c r="B82" s="3">
        <f>+B9</f>
        <v>6733589</v>
      </c>
      <c r="E82" s="47"/>
      <c r="F82" s="48"/>
    </row>
    <row r="83" spans="1:6" x14ac:dyDescent="0.3">
      <c r="A83" t="s">
        <v>1</v>
      </c>
      <c r="B83" s="1">
        <f>IF(+Summary!C5&gt;Amort!A43,Amort!A43,Summary!C5)</f>
        <v>36889</v>
      </c>
    </row>
    <row r="84" spans="1:6" x14ac:dyDescent="0.3">
      <c r="A84" t="s">
        <v>78</v>
      </c>
      <c r="B84" s="3">
        <f>+B83-B81</f>
        <v>98</v>
      </c>
    </row>
    <row r="85" spans="1:6" x14ac:dyDescent="0.3">
      <c r="A85" t="s">
        <v>173</v>
      </c>
      <c r="B85" s="54">
        <f>+B82*0.07/360*B84</f>
        <v>128312.27927777779</v>
      </c>
    </row>
    <row r="87" spans="1:6" x14ac:dyDescent="0.3">
      <c r="A87" t="s">
        <v>168</v>
      </c>
      <c r="B87" s="1">
        <v>36970</v>
      </c>
      <c r="D87" t="s">
        <v>1</v>
      </c>
      <c r="E87" s="1">
        <f>IF(Summary!$C$5&gt;Amort!$A$44,Amort!$A$44,Summary!$C$5)</f>
        <v>37071</v>
      </c>
    </row>
    <row r="88" spans="1:6" x14ac:dyDescent="0.3">
      <c r="A88" t="s">
        <v>169</v>
      </c>
      <c r="B88" s="3">
        <f>(+'Daily Position'!L10+'Daily Position'!L11)*('Daily Position'!G9-'Daily Position'!G8)</f>
        <v>11278182.528000001</v>
      </c>
      <c r="D88" t="s">
        <v>78</v>
      </c>
      <c r="E88" s="3">
        <f>IF(E87&gt;B87,+E87-B87,0)</f>
        <v>101</v>
      </c>
    </row>
    <row r="89" spans="1:6" x14ac:dyDescent="0.3">
      <c r="A89" t="s">
        <v>447</v>
      </c>
      <c r="B89" s="1">
        <v>36966</v>
      </c>
      <c r="D89" t="s">
        <v>173</v>
      </c>
      <c r="E89" s="54">
        <f>+B88*0.07/360*E88</f>
        <v>221490.97353600006</v>
      </c>
    </row>
    <row r="91" spans="1:6" x14ac:dyDescent="0.3">
      <c r="A91" t="s">
        <v>168</v>
      </c>
      <c r="B91" s="1">
        <f>+[1]Table!$I$2</f>
        <v>36976</v>
      </c>
      <c r="D91" t="s">
        <v>1</v>
      </c>
      <c r="E91" s="1">
        <f>IF(Summary!$C$5&gt;Amort!$A$44,Amort!$A$44,Summary!$C$5)</f>
        <v>37071</v>
      </c>
    </row>
    <row r="92" spans="1:6" x14ac:dyDescent="0.3">
      <c r="A92" t="s">
        <v>169</v>
      </c>
      <c r="B92" s="3">
        <f>IF([1]Table!$C$4=1,[1]Table!$H$4,0)+Shares!D39+'Jedi Shares'!B9</f>
        <v>493329595.62</v>
      </c>
      <c r="D92" t="s">
        <v>78</v>
      </c>
      <c r="E92" s="3">
        <f>IF(E91&gt;B91,+E91-B91,0)</f>
        <v>95</v>
      </c>
    </row>
    <row r="93" spans="1:6" x14ac:dyDescent="0.3">
      <c r="A93" t="s">
        <v>448</v>
      </c>
      <c r="B93" s="1">
        <f>+B91</f>
        <v>36976</v>
      </c>
      <c r="D93" t="s">
        <v>173</v>
      </c>
      <c r="E93" s="54">
        <f>+B92*0.07/360*E92</f>
        <v>9112893.919091668</v>
      </c>
    </row>
    <row r="101" spans="1:6" ht="16.2" thickBot="1" x14ac:dyDescent="0.35">
      <c r="A101" s="307" t="s">
        <v>177</v>
      </c>
      <c r="B101" s="307"/>
      <c r="C101" s="307"/>
      <c r="D101" s="307"/>
      <c r="E101" s="307"/>
      <c r="F101" s="307"/>
    </row>
    <row r="103" spans="1:6" x14ac:dyDescent="0.3">
      <c r="A103" t="s">
        <v>121</v>
      </c>
      <c r="B103" s="1">
        <f>+Summary!C5</f>
        <v>37161</v>
      </c>
    </row>
    <row r="104" spans="1:6" x14ac:dyDescent="0.3">
      <c r="A104" t="s">
        <v>178</v>
      </c>
      <c r="B104" s="1">
        <v>36706</v>
      </c>
      <c r="D104" s="4">
        <f>IF(B103&gt;(B104-1),30000000,0)</f>
        <v>30000000</v>
      </c>
    </row>
    <row r="105" spans="1:6" x14ac:dyDescent="0.3">
      <c r="A105" t="s">
        <v>179</v>
      </c>
      <c r="B105" s="1">
        <v>36791</v>
      </c>
      <c r="D105" s="4">
        <f>IF(B103&gt;(B105-1),1100000,0)</f>
        <v>1100000</v>
      </c>
    </row>
    <row r="106" spans="1:6" ht="17.399999999999999" x14ac:dyDescent="0.45">
      <c r="A106" t="s">
        <v>180</v>
      </c>
      <c r="B106" s="1">
        <f>+Summary!C5</f>
        <v>37161</v>
      </c>
      <c r="D106" s="133">
        <f>IF(B106&gt;B105,+(+B106-B105)/365*0.12*D105,0)</f>
        <v>133808.21917808219</v>
      </c>
    </row>
    <row r="107" spans="1:6" x14ac:dyDescent="0.3">
      <c r="A107" t="s">
        <v>181</v>
      </c>
      <c r="D107" s="5">
        <f>SUM(D104:D106)</f>
        <v>31233808.219178081</v>
      </c>
    </row>
  </sheetData>
  <mergeCells count="6">
    <mergeCell ref="A101:F101"/>
    <mergeCell ref="A1:B1"/>
    <mergeCell ref="A75:F75"/>
    <mergeCell ref="E78:F78"/>
    <mergeCell ref="A21:B21"/>
    <mergeCell ref="A42:F42"/>
  </mergeCells>
  <phoneticPr fontId="0" type="noConversion"/>
  <printOptions horizontalCentered="1"/>
  <pageMargins left="0.75" right="0.75" top="1" bottom="1" header="0.5" footer="0.5"/>
  <pageSetup scale="87" orientation="portrait" r:id="rId1"/>
  <headerFooter alignWithMargins="0"/>
  <rowBreaks count="2" manualBreakCount="2">
    <brk id="20" max="16383" man="1"/>
    <brk id="40" max="16383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3"/>
  <sheetViews>
    <sheetView topLeftCell="A3" workbookViewId="0">
      <selection activeCell="B3" sqref="B3"/>
    </sheetView>
  </sheetViews>
  <sheetFormatPr defaultColWidth="9" defaultRowHeight="15.6" x14ac:dyDescent="0.3"/>
  <cols>
    <col min="1" max="1" width="16.5" style="3" customWidth="1"/>
    <col min="2" max="2" width="16.59765625" style="3" customWidth="1"/>
    <col min="3" max="16384" width="9" style="3"/>
  </cols>
  <sheetData>
    <row r="1" spans="1:4" x14ac:dyDescent="0.3">
      <c r="A1" s="3" t="s">
        <v>459</v>
      </c>
      <c r="B1" s="281">
        <v>36976</v>
      </c>
    </row>
    <row r="3" spans="1:4" x14ac:dyDescent="0.3">
      <c r="A3" s="3" t="s">
        <v>460</v>
      </c>
      <c r="B3" s="273">
        <f>IF(Summary!C5&lt;'Jedi Shares'!B1,0,7919393)</f>
        <v>7919393</v>
      </c>
    </row>
    <row r="4" spans="1:4" x14ac:dyDescent="0.3">
      <c r="A4" s="3" t="s">
        <v>461</v>
      </c>
      <c r="B4" s="274">
        <v>61.48</v>
      </c>
    </row>
    <row r="6" spans="1:4" x14ac:dyDescent="0.3">
      <c r="A6" s="3" t="s">
        <v>462</v>
      </c>
      <c r="B6" s="3">
        <f>ROUND(+B3*B4,2)</f>
        <v>486884281.63999999</v>
      </c>
    </row>
    <row r="7" spans="1:4" x14ac:dyDescent="0.3">
      <c r="A7" s="3" t="s">
        <v>463</v>
      </c>
      <c r="B7" s="263">
        <f>ROUND(B3*D7-B6,2)</f>
        <v>-111980217.02</v>
      </c>
      <c r="C7" s="275">
        <v>0.23</v>
      </c>
      <c r="D7" s="125">
        <f>ROUND(B4*(1-C7),2)</f>
        <v>47.34</v>
      </c>
    </row>
    <row r="9" spans="1:4" ht="16.2" thickBot="1" x14ac:dyDescent="0.35">
      <c r="A9" s="3" t="s">
        <v>7</v>
      </c>
      <c r="B9" s="278">
        <f>+B6+B7</f>
        <v>374904064.62</v>
      </c>
    </row>
    <row r="10" spans="1:4" ht="16.2" thickTop="1" x14ac:dyDescent="0.3"/>
    <row r="11" spans="1:4" ht="16.2" thickBot="1" x14ac:dyDescent="0.35">
      <c r="A11" s="3" t="s">
        <v>464</v>
      </c>
      <c r="B11" s="270">
        <v>493326421.97531098</v>
      </c>
    </row>
    <row r="12" spans="1:4" ht="16.2" thickTop="1" x14ac:dyDescent="0.3"/>
    <row r="14" spans="1:4" x14ac:dyDescent="0.3">
      <c r="A14" s="3" t="s">
        <v>1</v>
      </c>
      <c r="B14" s="271">
        <v>36976</v>
      </c>
    </row>
    <row r="15" spans="1:4" x14ac:dyDescent="0.3">
      <c r="A15" s="3" t="s">
        <v>440</v>
      </c>
    </row>
    <row r="17" spans="1:3" x14ac:dyDescent="0.3">
      <c r="A17" s="3" t="s">
        <v>38</v>
      </c>
      <c r="B17" s="3">
        <f>+B9+B43</f>
        <v>389330485.33636492</v>
      </c>
    </row>
    <row r="18" spans="1:3" x14ac:dyDescent="0.3">
      <c r="A18" s="3" t="s">
        <v>465</v>
      </c>
      <c r="B18" s="3">
        <f>-B9</f>
        <v>-374904064.62</v>
      </c>
    </row>
    <row r="19" spans="1:3" x14ac:dyDescent="0.3">
      <c r="A19" s="3" t="s">
        <v>466</v>
      </c>
      <c r="B19" s="263">
        <f>-B43</f>
        <v>-14426420.716364903</v>
      </c>
    </row>
    <row r="20" spans="1:3" x14ac:dyDescent="0.3">
      <c r="B20" s="3">
        <f>SUM(B17:B19)</f>
        <v>1.6763806343078613E-8</v>
      </c>
      <c r="C20" s="3" t="s">
        <v>467</v>
      </c>
    </row>
    <row r="23" spans="1:3" x14ac:dyDescent="0.3">
      <c r="A23" s="3" t="s">
        <v>468</v>
      </c>
    </row>
    <row r="24" spans="1:3" x14ac:dyDescent="0.3">
      <c r="A24" s="3" t="s">
        <v>437</v>
      </c>
      <c r="B24" s="3">
        <f>+B43</f>
        <v>14426420.716364903</v>
      </c>
    </row>
    <row r="27" spans="1:3" x14ac:dyDescent="0.3">
      <c r="A27" s="3" t="s">
        <v>2</v>
      </c>
    </row>
    <row r="28" spans="1:3" x14ac:dyDescent="0.3">
      <c r="A28" s="3" t="s">
        <v>38</v>
      </c>
      <c r="B28" s="3">
        <f>+B6</f>
        <v>486884281.63999999</v>
      </c>
      <c r="C28" s="2">
        <f>+B4</f>
        <v>61.48</v>
      </c>
    </row>
    <row r="29" spans="1:3" x14ac:dyDescent="0.3">
      <c r="A29" s="3" t="s">
        <v>469</v>
      </c>
      <c r="B29" s="263">
        <f>(+C29-C28)*B3</f>
        <v>-286919608.38999999</v>
      </c>
      <c r="C29" s="2">
        <f>Financials!I5</f>
        <v>25.25</v>
      </c>
    </row>
    <row r="30" spans="1:3" x14ac:dyDescent="0.3">
      <c r="A30" s="3" t="s">
        <v>7</v>
      </c>
      <c r="B30" s="3">
        <f>+B28+B29</f>
        <v>199964673.25</v>
      </c>
      <c r="C30" s="2">
        <f>+B30/B3</f>
        <v>25.25</v>
      </c>
    </row>
    <row r="31" spans="1:3" x14ac:dyDescent="0.3">
      <c r="A31" s="3" t="s">
        <v>470</v>
      </c>
      <c r="B31" s="263">
        <f>+B18</f>
        <v>-374904064.62</v>
      </c>
      <c r="C31" s="2"/>
    </row>
    <row r="32" spans="1:3" x14ac:dyDescent="0.3">
      <c r="A32" s="3" t="s">
        <v>471</v>
      </c>
      <c r="B32" s="3">
        <f>+B30+B31</f>
        <v>-174939391.37</v>
      </c>
      <c r="C32" s="2"/>
    </row>
    <row r="33" spans="1:3" x14ac:dyDescent="0.3">
      <c r="C33" s="2"/>
    </row>
    <row r="36" spans="1:3" x14ac:dyDescent="0.3">
      <c r="A36" s="3" t="s">
        <v>472</v>
      </c>
      <c r="B36" s="3">
        <f>-B7</f>
        <v>111980217.02</v>
      </c>
    </row>
    <row r="37" spans="1:3" x14ac:dyDescent="0.3">
      <c r="A37" s="3" t="s">
        <v>473</v>
      </c>
      <c r="B37" s="271">
        <v>38412</v>
      </c>
    </row>
    <row r="38" spans="1:3" x14ac:dyDescent="0.3">
      <c r="A38" s="3" t="s">
        <v>474</v>
      </c>
      <c r="B38" s="3">
        <f>+B37-B14</f>
        <v>1436</v>
      </c>
    </row>
    <row r="40" spans="1:3" x14ac:dyDescent="0.3">
      <c r="A40" s="3" t="s">
        <v>475</v>
      </c>
      <c r="B40" s="272">
        <f>+Summary!C5</f>
        <v>37161</v>
      </c>
    </row>
    <row r="41" spans="1:3" x14ac:dyDescent="0.3">
      <c r="A41" s="3" t="s">
        <v>476</v>
      </c>
      <c r="B41" s="3">
        <f>IF(C41&gt;B38,B38,C41)</f>
        <v>185</v>
      </c>
      <c r="C41" s="3">
        <f>+B40-B14</f>
        <v>185</v>
      </c>
    </row>
    <row r="43" spans="1:3" x14ac:dyDescent="0.3">
      <c r="A43" s="3" t="s">
        <v>477</v>
      </c>
      <c r="B43" s="3">
        <f>+B36/B38*B41</f>
        <v>14426420.716364903</v>
      </c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71"/>
  <sheetViews>
    <sheetView zoomScaleNormal="100" workbookViewId="0">
      <selection activeCell="D11" sqref="D11"/>
    </sheetView>
  </sheetViews>
  <sheetFormatPr defaultColWidth="9" defaultRowHeight="15.6" x14ac:dyDescent="0.3"/>
  <cols>
    <col min="1" max="1" width="17.09765625" style="7" customWidth="1"/>
    <col min="2" max="2" width="13.09765625" style="7" customWidth="1"/>
    <col min="3" max="3" width="13.19921875" style="7" customWidth="1"/>
    <col min="4" max="4" width="15.5" style="7" customWidth="1"/>
    <col min="5" max="5" width="12.09765625" style="7" bestFit="1" customWidth="1"/>
    <col min="6" max="6" width="11.5" style="7" bestFit="1" customWidth="1"/>
    <col min="7" max="7" width="13.19921875" style="7" customWidth="1"/>
    <col min="8" max="8" width="11.5" style="7" bestFit="1" customWidth="1"/>
    <col min="9" max="9" width="10" style="7" customWidth="1"/>
    <col min="10" max="16384" width="9" style="7"/>
  </cols>
  <sheetData>
    <row r="1" spans="1:9" x14ac:dyDescent="0.3">
      <c r="A1" s="6" t="s">
        <v>160</v>
      </c>
      <c r="B1" s="6"/>
      <c r="G1" s="8"/>
      <c r="H1" s="8"/>
    </row>
    <row r="2" spans="1:9" x14ac:dyDescent="0.3">
      <c r="B2" s="111" t="s">
        <v>151</v>
      </c>
    </row>
    <row r="3" spans="1:9" x14ac:dyDescent="0.3">
      <c r="A3" s="7" t="s">
        <v>20</v>
      </c>
      <c r="B3" s="112">
        <v>50000000</v>
      </c>
    </row>
    <row r="4" spans="1:9" x14ac:dyDescent="0.3">
      <c r="A4" s="7" t="s">
        <v>21</v>
      </c>
      <c r="B4" s="113">
        <v>7.0000000000000007E-2</v>
      </c>
    </row>
    <row r="5" spans="1:9" x14ac:dyDescent="0.3">
      <c r="A5" s="7" t="s">
        <v>22</v>
      </c>
      <c r="B5" s="114">
        <f>5*12</f>
        <v>60</v>
      </c>
    </row>
    <row r="6" spans="1:9" x14ac:dyDescent="0.3">
      <c r="A6" s="7" t="s">
        <v>23</v>
      </c>
      <c r="B6" s="115">
        <v>2</v>
      </c>
    </row>
    <row r="7" spans="1:9" x14ac:dyDescent="0.3">
      <c r="A7" s="7" t="s">
        <v>24</v>
      </c>
      <c r="B7" s="7">
        <v>0</v>
      </c>
    </row>
    <row r="9" spans="1:9" s="9" customFormat="1" ht="26.4" x14ac:dyDescent="0.25">
      <c r="B9" s="11" t="s">
        <v>89</v>
      </c>
      <c r="C9" s="10" t="s">
        <v>25</v>
      </c>
      <c r="D9" s="10" t="s">
        <v>24</v>
      </c>
      <c r="E9" s="10" t="s">
        <v>20</v>
      </c>
      <c r="F9" s="10" t="s">
        <v>26</v>
      </c>
      <c r="G9" s="10" t="s">
        <v>27</v>
      </c>
      <c r="H9" s="10" t="s">
        <v>164</v>
      </c>
    </row>
    <row r="10" spans="1:9" x14ac:dyDescent="0.3">
      <c r="A10" s="1">
        <v>36706</v>
      </c>
      <c r="B10" s="104">
        <v>0</v>
      </c>
      <c r="C10" s="7">
        <f>B3</f>
        <v>50000000</v>
      </c>
      <c r="D10" s="7">
        <v>0</v>
      </c>
      <c r="E10" s="7">
        <f t="shared" ref="E10:E15" si="0">D10-F10</f>
        <v>0</v>
      </c>
      <c r="F10" s="7">
        <v>0</v>
      </c>
      <c r="G10" s="7">
        <f t="shared" ref="G10:G15" si="1">C10-E10</f>
        <v>50000000</v>
      </c>
      <c r="H10" s="7">
        <f>+F10</f>
        <v>0</v>
      </c>
      <c r="I10" s="1">
        <f t="shared" ref="I10:I20" si="2">+A10</f>
        <v>36706</v>
      </c>
    </row>
    <row r="11" spans="1:9" x14ac:dyDescent="0.3">
      <c r="A11" s="1">
        <v>36889</v>
      </c>
      <c r="B11" s="104">
        <f t="shared" ref="B11:B20" si="3">+B10+1</f>
        <v>1</v>
      </c>
      <c r="C11" s="7">
        <f t="shared" ref="C11:C20" si="4">G10</f>
        <v>50000000</v>
      </c>
      <c r="D11" s="7">
        <f>+F11</f>
        <v>1779166.6666666667</v>
      </c>
      <c r="E11" s="7">
        <f t="shared" si="0"/>
        <v>0</v>
      </c>
      <c r="F11" s="7">
        <f>C11*$B$4/360*(A11-A10)</f>
        <v>1779166.6666666667</v>
      </c>
      <c r="G11" s="7">
        <f t="shared" si="1"/>
        <v>50000000</v>
      </c>
      <c r="H11" s="7">
        <f t="shared" ref="H11:H20" si="5">+H10+F11</f>
        <v>1779166.6666666667</v>
      </c>
      <c r="I11" s="1">
        <f t="shared" si="2"/>
        <v>36889</v>
      </c>
    </row>
    <row r="12" spans="1:9" x14ac:dyDescent="0.3">
      <c r="A12" s="1">
        <v>37071</v>
      </c>
      <c r="B12" s="104">
        <f t="shared" si="3"/>
        <v>2</v>
      </c>
      <c r="C12" s="7">
        <f t="shared" si="4"/>
        <v>50000000</v>
      </c>
      <c r="D12" s="7">
        <f t="shared" ref="D12:D20" si="6">+F12</f>
        <v>1769444.4444444445</v>
      </c>
      <c r="E12" s="7">
        <f t="shared" si="0"/>
        <v>0</v>
      </c>
      <c r="F12" s="7">
        <f t="shared" ref="F12:F20" si="7">C12*$B$4/360*(A12-A11)</f>
        <v>1769444.4444444445</v>
      </c>
      <c r="G12" s="7">
        <f t="shared" si="1"/>
        <v>50000000</v>
      </c>
      <c r="H12" s="7">
        <f t="shared" si="5"/>
        <v>3548611.111111111</v>
      </c>
      <c r="I12" s="1">
        <f t="shared" si="2"/>
        <v>37071</v>
      </c>
    </row>
    <row r="13" spans="1:9" x14ac:dyDescent="0.3">
      <c r="A13" s="1">
        <v>37256</v>
      </c>
      <c r="B13" s="104">
        <f t="shared" si="3"/>
        <v>3</v>
      </c>
      <c r="C13" s="7">
        <f t="shared" si="4"/>
        <v>50000000</v>
      </c>
      <c r="D13" s="7">
        <f t="shared" si="6"/>
        <v>1798611.1111111112</v>
      </c>
      <c r="E13" s="7">
        <f t="shared" si="0"/>
        <v>0</v>
      </c>
      <c r="F13" s="7">
        <f t="shared" si="7"/>
        <v>1798611.1111111112</v>
      </c>
      <c r="G13" s="7">
        <f t="shared" si="1"/>
        <v>50000000</v>
      </c>
      <c r="H13" s="7">
        <f t="shared" si="5"/>
        <v>5347222.222222222</v>
      </c>
      <c r="I13" s="1">
        <f t="shared" si="2"/>
        <v>37256</v>
      </c>
    </row>
    <row r="14" spans="1:9" x14ac:dyDescent="0.3">
      <c r="A14" s="1">
        <v>37436</v>
      </c>
      <c r="B14" s="104">
        <f t="shared" si="3"/>
        <v>4</v>
      </c>
      <c r="C14" s="7">
        <f t="shared" si="4"/>
        <v>50000000</v>
      </c>
      <c r="D14" s="7">
        <f t="shared" si="6"/>
        <v>1750000</v>
      </c>
      <c r="E14" s="7">
        <f t="shared" si="0"/>
        <v>0</v>
      </c>
      <c r="F14" s="7">
        <f t="shared" si="7"/>
        <v>1750000</v>
      </c>
      <c r="G14" s="7">
        <f t="shared" si="1"/>
        <v>50000000</v>
      </c>
      <c r="H14" s="7">
        <f t="shared" si="5"/>
        <v>7097222.222222222</v>
      </c>
      <c r="I14" s="1">
        <f t="shared" si="2"/>
        <v>37436</v>
      </c>
    </row>
    <row r="15" spans="1:9" x14ac:dyDescent="0.3">
      <c r="A15" s="1">
        <v>37619</v>
      </c>
      <c r="B15" s="104">
        <f t="shared" si="3"/>
        <v>5</v>
      </c>
      <c r="C15" s="7">
        <f t="shared" si="4"/>
        <v>50000000</v>
      </c>
      <c r="D15" s="7">
        <f t="shared" si="6"/>
        <v>1779166.6666666667</v>
      </c>
      <c r="E15" s="7">
        <f t="shared" si="0"/>
        <v>0</v>
      </c>
      <c r="F15" s="7">
        <f t="shared" si="7"/>
        <v>1779166.6666666667</v>
      </c>
      <c r="G15" s="7">
        <f t="shared" si="1"/>
        <v>50000000</v>
      </c>
      <c r="H15" s="7">
        <f t="shared" si="5"/>
        <v>8876388.8888888881</v>
      </c>
      <c r="I15" s="1">
        <f t="shared" si="2"/>
        <v>37619</v>
      </c>
    </row>
    <row r="16" spans="1:9" x14ac:dyDescent="0.3">
      <c r="A16" s="1">
        <v>37801</v>
      </c>
      <c r="B16" s="104">
        <f t="shared" si="3"/>
        <v>6</v>
      </c>
      <c r="C16" s="7">
        <f t="shared" si="4"/>
        <v>50000000</v>
      </c>
      <c r="D16" s="7">
        <f t="shared" si="6"/>
        <v>1769444.4444444445</v>
      </c>
      <c r="E16" s="7">
        <f>D16-F16</f>
        <v>0</v>
      </c>
      <c r="F16" s="7">
        <f t="shared" si="7"/>
        <v>1769444.4444444445</v>
      </c>
      <c r="G16" s="7">
        <f>C16-E16</f>
        <v>50000000</v>
      </c>
      <c r="H16" s="7">
        <f t="shared" si="5"/>
        <v>10645833.333333332</v>
      </c>
      <c r="I16" s="1">
        <f t="shared" si="2"/>
        <v>37801</v>
      </c>
    </row>
    <row r="17" spans="1:9" x14ac:dyDescent="0.3">
      <c r="A17" s="1">
        <v>37984</v>
      </c>
      <c r="B17" s="104">
        <f t="shared" si="3"/>
        <v>7</v>
      </c>
      <c r="C17" s="7">
        <f t="shared" si="4"/>
        <v>50000000</v>
      </c>
      <c r="D17" s="7">
        <f t="shared" si="6"/>
        <v>1779166.6666666667</v>
      </c>
      <c r="E17" s="7">
        <f>D17-F17</f>
        <v>0</v>
      </c>
      <c r="F17" s="7">
        <f t="shared" si="7"/>
        <v>1779166.6666666667</v>
      </c>
      <c r="G17" s="7">
        <f>C17-E17</f>
        <v>50000000</v>
      </c>
      <c r="H17" s="7">
        <f t="shared" si="5"/>
        <v>12424999.999999998</v>
      </c>
      <c r="I17" s="1">
        <f t="shared" si="2"/>
        <v>37984</v>
      </c>
    </row>
    <row r="18" spans="1:9" x14ac:dyDescent="0.3">
      <c r="A18" s="1">
        <v>38167</v>
      </c>
      <c r="B18" s="104">
        <f t="shared" si="3"/>
        <v>8</v>
      </c>
      <c r="C18" s="7">
        <f t="shared" si="4"/>
        <v>50000000</v>
      </c>
      <c r="D18" s="7">
        <f t="shared" si="6"/>
        <v>1779166.6666666667</v>
      </c>
      <c r="E18" s="7">
        <f>D18-F18</f>
        <v>0</v>
      </c>
      <c r="F18" s="7">
        <f t="shared" si="7"/>
        <v>1779166.6666666667</v>
      </c>
      <c r="G18" s="7">
        <f>C18-E18</f>
        <v>50000000</v>
      </c>
      <c r="H18" s="7">
        <f t="shared" si="5"/>
        <v>14204166.666666664</v>
      </c>
      <c r="I18" s="1">
        <f t="shared" si="2"/>
        <v>38167</v>
      </c>
    </row>
    <row r="19" spans="1:9" x14ac:dyDescent="0.3">
      <c r="A19" s="1">
        <v>38350</v>
      </c>
      <c r="B19" s="104">
        <f t="shared" si="3"/>
        <v>9</v>
      </c>
      <c r="C19" s="7">
        <f t="shared" si="4"/>
        <v>50000000</v>
      </c>
      <c r="D19" s="7">
        <f t="shared" si="6"/>
        <v>1779166.6666666667</v>
      </c>
      <c r="E19" s="7">
        <f>D19-F19</f>
        <v>0</v>
      </c>
      <c r="F19" s="7">
        <f t="shared" si="7"/>
        <v>1779166.6666666667</v>
      </c>
      <c r="G19" s="7">
        <f>C19-E19</f>
        <v>50000000</v>
      </c>
      <c r="H19" s="7">
        <f t="shared" si="5"/>
        <v>15983333.33333333</v>
      </c>
      <c r="I19" s="1">
        <f t="shared" si="2"/>
        <v>38350</v>
      </c>
    </row>
    <row r="20" spans="1:9" x14ac:dyDescent="0.3">
      <c r="A20" s="1">
        <v>38532</v>
      </c>
      <c r="B20" s="104">
        <f t="shared" si="3"/>
        <v>10</v>
      </c>
      <c r="C20" s="7">
        <f t="shared" si="4"/>
        <v>50000000</v>
      </c>
      <c r="D20" s="7">
        <f t="shared" si="6"/>
        <v>1769444.4444444445</v>
      </c>
      <c r="E20" s="7">
        <f>D20-F20</f>
        <v>0</v>
      </c>
      <c r="F20" s="7">
        <f t="shared" si="7"/>
        <v>1769444.4444444445</v>
      </c>
      <c r="G20" s="7">
        <f>C20-E20</f>
        <v>50000000</v>
      </c>
      <c r="H20" s="7">
        <f t="shared" si="5"/>
        <v>17752777.777777776</v>
      </c>
      <c r="I20" s="1">
        <f t="shared" si="2"/>
        <v>38532</v>
      </c>
    </row>
    <row r="21" spans="1:9" ht="16.2" thickBot="1" x14ac:dyDescent="0.35">
      <c r="A21" s="1"/>
      <c r="B21" s="1"/>
      <c r="D21" s="12">
        <f>SUM(D11:D20)</f>
        <v>17752777.777777776</v>
      </c>
      <c r="E21" s="12">
        <f>SUM(E11:E20)</f>
        <v>0</v>
      </c>
      <c r="F21" s="12">
        <f>SUM(F11:F20)</f>
        <v>17752777.777777776</v>
      </c>
    </row>
    <row r="22" spans="1:9" s="103" customFormat="1" ht="16.2" thickTop="1" x14ac:dyDescent="0.3">
      <c r="A22" s="116"/>
      <c r="B22" s="116"/>
    </row>
    <row r="23" spans="1:9" s="103" customFormat="1" x14ac:dyDescent="0.3">
      <c r="A23" s="310">
        <f>+Summary!C5</f>
        <v>37161</v>
      </c>
      <c r="B23" s="310"/>
      <c r="E23" s="103" t="s">
        <v>89</v>
      </c>
      <c r="F23" s="103">
        <f>VLOOKUP(+A23,Amort,2)</f>
        <v>2</v>
      </c>
    </row>
    <row r="24" spans="1:9" s="103" customFormat="1" x14ac:dyDescent="0.3">
      <c r="A24" s="103" t="s">
        <v>86</v>
      </c>
      <c r="B24" s="103">
        <v>0</v>
      </c>
      <c r="E24" s="103" t="s">
        <v>1</v>
      </c>
      <c r="F24" s="116">
        <f>VLOOKUP(+A23,Amort,1)</f>
        <v>37071</v>
      </c>
    </row>
    <row r="25" spans="1:9" s="103" customFormat="1" x14ac:dyDescent="0.3">
      <c r="A25" s="103" t="s">
        <v>87</v>
      </c>
      <c r="B25" s="127">
        <f>VLOOKUP(+A23,Note,8)</f>
        <v>3548611.111111111</v>
      </c>
      <c r="E25" s="103" t="s">
        <v>90</v>
      </c>
      <c r="F25" s="103">
        <f>VLOOKUP(+F23+1,NotePeriod,5)</f>
        <v>1798611.1111111112</v>
      </c>
    </row>
    <row r="26" spans="1:9" s="103" customFormat="1" x14ac:dyDescent="0.3">
      <c r="A26" s="116" t="s">
        <v>88</v>
      </c>
      <c r="B26" s="103">
        <f>+B24+B25</f>
        <v>3548611.111111111</v>
      </c>
      <c r="E26" s="103" t="s">
        <v>91</v>
      </c>
      <c r="F26" s="116">
        <f>VLOOKUP(+F23+1,NotePeriod,8)</f>
        <v>37256</v>
      </c>
    </row>
    <row r="27" spans="1:9" s="103" customFormat="1" x14ac:dyDescent="0.3">
      <c r="A27" s="116" t="s">
        <v>92</v>
      </c>
      <c r="B27" s="103">
        <f>A23-F24</f>
        <v>90</v>
      </c>
      <c r="E27" s="116"/>
    </row>
    <row r="28" spans="1:9" s="103" customFormat="1" x14ac:dyDescent="0.3">
      <c r="A28" s="116" t="s">
        <v>28</v>
      </c>
      <c r="B28" s="103">
        <f>F25*B27/(F26-F24)</f>
        <v>875000</v>
      </c>
    </row>
    <row r="29" spans="1:9" s="103" customFormat="1" x14ac:dyDescent="0.3">
      <c r="A29" s="116" t="s">
        <v>29</v>
      </c>
      <c r="B29" s="103">
        <f>+B25+B28</f>
        <v>4423611.111111111</v>
      </c>
    </row>
    <row r="30" spans="1:9" s="103" customFormat="1" x14ac:dyDescent="0.3"/>
    <row r="31" spans="1:9" s="103" customFormat="1" x14ac:dyDescent="0.3"/>
    <row r="32" spans="1:9" s="103" customFormat="1" x14ac:dyDescent="0.3"/>
    <row r="33" spans="1:9" s="103" customFormat="1" x14ac:dyDescent="0.3"/>
    <row r="34" spans="1:9" s="103" customFormat="1" x14ac:dyDescent="0.3"/>
    <row r="35" spans="1:9" s="103" customFormat="1" x14ac:dyDescent="0.3">
      <c r="A35" s="6" t="s">
        <v>161</v>
      </c>
      <c r="B35" s="6"/>
      <c r="C35" s="7"/>
      <c r="D35" s="7"/>
      <c r="E35" s="7"/>
      <c r="F35" s="7"/>
      <c r="G35" s="8"/>
      <c r="H35" s="102"/>
    </row>
    <row r="36" spans="1:9" s="103" customFormat="1" x14ac:dyDescent="0.3">
      <c r="A36" s="7"/>
      <c r="B36" s="111" t="s">
        <v>151</v>
      </c>
      <c r="C36" s="7"/>
      <c r="D36" s="7"/>
      <c r="E36" s="7"/>
      <c r="F36" s="7"/>
      <c r="G36" s="7"/>
      <c r="H36" s="102"/>
    </row>
    <row r="37" spans="1:9" s="103" customFormat="1" x14ac:dyDescent="0.3">
      <c r="A37" s="7" t="s">
        <v>20</v>
      </c>
      <c r="B37" s="112">
        <v>400000000</v>
      </c>
      <c r="C37" s="7"/>
      <c r="D37" s="7"/>
      <c r="E37" s="7"/>
      <c r="F37" s="7"/>
      <c r="G37" s="7"/>
      <c r="H37" s="102"/>
    </row>
    <row r="38" spans="1:9" s="103" customFormat="1" x14ac:dyDescent="0.3">
      <c r="A38" s="7" t="s">
        <v>21</v>
      </c>
      <c r="B38" s="113">
        <v>7.0000000000000007E-2</v>
      </c>
      <c r="C38" s="7"/>
      <c r="D38" s="7"/>
      <c r="E38" s="7"/>
      <c r="F38" s="7"/>
      <c r="G38" s="7"/>
      <c r="H38" s="102"/>
    </row>
    <row r="39" spans="1:9" s="103" customFormat="1" x14ac:dyDescent="0.3">
      <c r="A39" s="7" t="s">
        <v>23</v>
      </c>
      <c r="B39" s="115">
        <v>2</v>
      </c>
      <c r="C39" s="7"/>
      <c r="D39" s="7"/>
      <c r="E39" s="7"/>
      <c r="F39" s="7"/>
      <c r="G39" s="7"/>
      <c r="H39" s="102"/>
    </row>
    <row r="40" spans="1:9" s="103" customFormat="1" x14ac:dyDescent="0.3">
      <c r="A40" s="7"/>
      <c r="B40" s="7"/>
      <c r="C40" s="7"/>
      <c r="D40" s="7"/>
      <c r="E40" s="7"/>
      <c r="F40" s="7"/>
      <c r="G40" s="7"/>
      <c r="H40" s="102"/>
    </row>
    <row r="41" spans="1:9" s="103" customFormat="1" ht="27" x14ac:dyDescent="0.3">
      <c r="A41" s="9"/>
      <c r="B41" s="11" t="s">
        <v>89</v>
      </c>
      <c r="C41" s="10" t="s">
        <v>25</v>
      </c>
      <c r="D41" s="10" t="s">
        <v>171</v>
      </c>
      <c r="E41" s="10" t="s">
        <v>20</v>
      </c>
      <c r="F41" s="10" t="s">
        <v>26</v>
      </c>
      <c r="G41" s="10" t="s">
        <v>27</v>
      </c>
      <c r="H41" s="10" t="s">
        <v>164</v>
      </c>
    </row>
    <row r="42" spans="1:9" s="103" customFormat="1" x14ac:dyDescent="0.3">
      <c r="A42" s="1">
        <v>36706</v>
      </c>
      <c r="B42" s="104">
        <v>0</v>
      </c>
      <c r="C42" s="7">
        <f>B37</f>
        <v>400000000</v>
      </c>
      <c r="D42" s="7">
        <v>0</v>
      </c>
      <c r="E42" s="7">
        <v>0</v>
      </c>
      <c r="F42" s="7">
        <v>0</v>
      </c>
      <c r="G42" s="7">
        <f>+C42+D42+E42+F42</f>
        <v>400000000</v>
      </c>
      <c r="H42" s="7">
        <f>+F42</f>
        <v>0</v>
      </c>
      <c r="I42" s="1">
        <f t="shared" ref="I42:I52" si="8">+A42</f>
        <v>36706</v>
      </c>
    </row>
    <row r="43" spans="1:9" s="103" customFormat="1" x14ac:dyDescent="0.3">
      <c r="A43" s="1">
        <v>36889</v>
      </c>
      <c r="B43" s="104">
        <f t="shared" ref="B43:B52" si="9">+B42+1</f>
        <v>1</v>
      </c>
      <c r="C43" s="7">
        <f t="shared" ref="C43:C52" si="10">G42</f>
        <v>400000000</v>
      </c>
      <c r="D43" s="7">
        <f>+E66</f>
        <v>6861901.2792777782</v>
      </c>
      <c r="E43" s="7">
        <v>0</v>
      </c>
      <c r="F43" s="7">
        <f>C43*$B$38/360*(A43-A42)</f>
        <v>14233333.333333334</v>
      </c>
      <c r="G43" s="7">
        <f>+C43+D43+E43+F43</f>
        <v>421095234.61261111</v>
      </c>
      <c r="H43" s="7">
        <f t="shared" ref="H43:H52" si="11">+H42+F43</f>
        <v>14233333.333333334</v>
      </c>
      <c r="I43" s="1">
        <f t="shared" si="8"/>
        <v>36889</v>
      </c>
    </row>
    <row r="44" spans="1:9" s="103" customFormat="1" x14ac:dyDescent="0.3">
      <c r="A44" s="1">
        <v>37071</v>
      </c>
      <c r="B44" s="104">
        <f t="shared" si="9"/>
        <v>2</v>
      </c>
      <c r="C44" s="7">
        <f t="shared" si="10"/>
        <v>421095234.61261111</v>
      </c>
      <c r="D44" s="7">
        <f>+E71</f>
        <v>513942163.04062766</v>
      </c>
      <c r="E44" s="7">
        <v>0</v>
      </c>
      <c r="F44" s="7">
        <f t="shared" ref="F44:F52" si="12">C44*$B$38/360*(A44-A43)</f>
        <v>14902092.469346294</v>
      </c>
      <c r="G44" s="7">
        <f t="shared" ref="G44:G52" si="13">+C44+D44+E44+F44</f>
        <v>949939490.12258506</v>
      </c>
      <c r="H44" s="7">
        <f t="shared" si="11"/>
        <v>29135425.802679628</v>
      </c>
      <c r="I44" s="1">
        <f t="shared" si="8"/>
        <v>37071</v>
      </c>
    </row>
    <row r="45" spans="1:9" s="103" customFormat="1" x14ac:dyDescent="0.3">
      <c r="A45" s="1">
        <v>37256</v>
      </c>
      <c r="B45" s="104">
        <f t="shared" si="9"/>
        <v>3</v>
      </c>
      <c r="C45" s="7">
        <f t="shared" si="10"/>
        <v>949939490.12258506</v>
      </c>
      <c r="D45" s="7">
        <v>0</v>
      </c>
      <c r="E45" s="7">
        <v>0</v>
      </c>
      <c r="F45" s="7">
        <f t="shared" si="12"/>
        <v>34171434.436354101</v>
      </c>
      <c r="G45" s="7">
        <f t="shared" si="13"/>
        <v>984110924.55893922</v>
      </c>
      <c r="H45" s="7">
        <f t="shared" si="11"/>
        <v>63306860.239033729</v>
      </c>
      <c r="I45" s="1">
        <f t="shared" si="8"/>
        <v>37256</v>
      </c>
    </row>
    <row r="46" spans="1:9" s="103" customFormat="1" x14ac:dyDescent="0.3">
      <c r="A46" s="1">
        <v>37436</v>
      </c>
      <c r="B46" s="104">
        <f t="shared" si="9"/>
        <v>4</v>
      </c>
      <c r="C46" s="7">
        <f t="shared" si="10"/>
        <v>984110924.55893922</v>
      </c>
      <c r="D46" s="7">
        <v>0</v>
      </c>
      <c r="E46" s="7">
        <v>0</v>
      </c>
      <c r="F46" s="7">
        <f t="shared" si="12"/>
        <v>34443882.359562874</v>
      </c>
      <c r="G46" s="7">
        <f t="shared" si="13"/>
        <v>1018554806.9185021</v>
      </c>
      <c r="H46" s="7">
        <f t="shared" si="11"/>
        <v>97750742.598596603</v>
      </c>
      <c r="I46" s="1">
        <f t="shared" si="8"/>
        <v>37436</v>
      </c>
    </row>
    <row r="47" spans="1:9" s="103" customFormat="1" x14ac:dyDescent="0.3">
      <c r="A47" s="1">
        <v>37619</v>
      </c>
      <c r="B47" s="104">
        <f t="shared" si="9"/>
        <v>5</v>
      </c>
      <c r="C47" s="7">
        <f t="shared" si="10"/>
        <v>1018554806.9185021</v>
      </c>
      <c r="D47" s="7">
        <v>0</v>
      </c>
      <c r="E47" s="7">
        <v>0</v>
      </c>
      <c r="F47" s="7">
        <f t="shared" si="12"/>
        <v>36243575.212850034</v>
      </c>
      <c r="G47" s="7">
        <f t="shared" si="13"/>
        <v>1054798382.1313522</v>
      </c>
      <c r="H47" s="7">
        <f t="shared" si="11"/>
        <v>133994317.81144664</v>
      </c>
      <c r="I47" s="1">
        <f t="shared" si="8"/>
        <v>37619</v>
      </c>
    </row>
    <row r="48" spans="1:9" s="103" customFormat="1" x14ac:dyDescent="0.3">
      <c r="A48" s="1">
        <v>37801</v>
      </c>
      <c r="B48" s="104">
        <f t="shared" si="9"/>
        <v>6</v>
      </c>
      <c r="C48" s="7">
        <f t="shared" si="10"/>
        <v>1054798382.1313522</v>
      </c>
      <c r="D48" s="7">
        <v>0</v>
      </c>
      <c r="E48" s="7">
        <v>0</v>
      </c>
      <c r="F48" s="7">
        <f t="shared" si="12"/>
        <v>37328142.745426193</v>
      </c>
      <c r="G48" s="7">
        <f t="shared" si="13"/>
        <v>1092126524.8767784</v>
      </c>
      <c r="H48" s="7">
        <f t="shared" si="11"/>
        <v>171322460.55687284</v>
      </c>
      <c r="I48" s="1">
        <f t="shared" si="8"/>
        <v>37801</v>
      </c>
    </row>
    <row r="49" spans="1:9" s="103" customFormat="1" x14ac:dyDescent="0.3">
      <c r="A49" s="1">
        <v>37984</v>
      </c>
      <c r="B49" s="104">
        <f t="shared" si="9"/>
        <v>7</v>
      </c>
      <c r="C49" s="7">
        <f t="shared" si="10"/>
        <v>1092126524.8767784</v>
      </c>
      <c r="D49" s="7">
        <v>0</v>
      </c>
      <c r="E49" s="7">
        <v>0</v>
      </c>
      <c r="F49" s="7">
        <f t="shared" si="12"/>
        <v>38861502.176865369</v>
      </c>
      <c r="G49" s="7">
        <f t="shared" si="13"/>
        <v>1130988027.0536437</v>
      </c>
      <c r="H49" s="7">
        <f t="shared" si="11"/>
        <v>210183962.73373821</v>
      </c>
      <c r="I49" s="1">
        <f t="shared" si="8"/>
        <v>37984</v>
      </c>
    </row>
    <row r="50" spans="1:9" s="103" customFormat="1" x14ac:dyDescent="0.3">
      <c r="A50" s="1">
        <v>38167</v>
      </c>
      <c r="B50" s="104">
        <f t="shared" si="9"/>
        <v>8</v>
      </c>
      <c r="C50" s="7">
        <f t="shared" si="10"/>
        <v>1130988027.0536437</v>
      </c>
      <c r="D50" s="7">
        <v>0</v>
      </c>
      <c r="E50" s="7">
        <v>0</v>
      </c>
      <c r="F50" s="7">
        <f t="shared" si="12"/>
        <v>40244323.962658823</v>
      </c>
      <c r="G50" s="7">
        <f t="shared" si="13"/>
        <v>1171232351.0163026</v>
      </c>
      <c r="H50" s="7">
        <f t="shared" si="11"/>
        <v>250428286.69639704</v>
      </c>
      <c r="I50" s="1">
        <f t="shared" si="8"/>
        <v>38167</v>
      </c>
    </row>
    <row r="51" spans="1:9" s="103" customFormat="1" x14ac:dyDescent="0.3">
      <c r="A51" s="1">
        <v>38350</v>
      </c>
      <c r="B51" s="104">
        <f t="shared" si="9"/>
        <v>9</v>
      </c>
      <c r="C51" s="7">
        <f t="shared" si="10"/>
        <v>1171232351.0163026</v>
      </c>
      <c r="D51" s="7">
        <v>0</v>
      </c>
      <c r="E51" s="7">
        <v>0</v>
      </c>
      <c r="F51" s="7">
        <f t="shared" si="12"/>
        <v>41676351.156996764</v>
      </c>
      <c r="G51" s="7">
        <f t="shared" si="13"/>
        <v>1212908702.1732993</v>
      </c>
      <c r="H51" s="7">
        <f t="shared" si="11"/>
        <v>292104637.85339379</v>
      </c>
      <c r="I51" s="1">
        <f t="shared" si="8"/>
        <v>38350</v>
      </c>
    </row>
    <row r="52" spans="1:9" s="103" customFormat="1" x14ac:dyDescent="0.3">
      <c r="A52" s="1">
        <v>38532</v>
      </c>
      <c r="B52" s="104">
        <f t="shared" si="9"/>
        <v>10</v>
      </c>
      <c r="C52" s="7">
        <f t="shared" si="10"/>
        <v>1212908702.1732993</v>
      </c>
      <c r="D52" s="7">
        <v>0</v>
      </c>
      <c r="E52" s="7">
        <v>0</v>
      </c>
      <c r="F52" s="7">
        <f t="shared" si="12"/>
        <v>42923491.293577321</v>
      </c>
      <c r="G52" s="7">
        <f t="shared" si="13"/>
        <v>1255832193.4668767</v>
      </c>
      <c r="H52" s="7">
        <f t="shared" si="11"/>
        <v>335028129.14697111</v>
      </c>
      <c r="I52" s="1">
        <f t="shared" si="8"/>
        <v>38532</v>
      </c>
    </row>
    <row r="53" spans="1:9" s="103" customFormat="1" ht="16.2" thickBot="1" x14ac:dyDescent="0.35">
      <c r="A53" s="1"/>
      <c r="B53" s="1"/>
      <c r="C53" s="7"/>
      <c r="D53" s="12">
        <f>SUM(D43:D52)</f>
        <v>520804064.31990546</v>
      </c>
      <c r="E53" s="12">
        <f>SUM(E43:E52)</f>
        <v>0</v>
      </c>
      <c r="F53" s="12">
        <f>SUM(F43:F52)</f>
        <v>335028129.14697111</v>
      </c>
      <c r="G53" s="7"/>
      <c r="H53" s="13"/>
    </row>
    <row r="54" spans="1:9" s="103" customFormat="1" ht="16.2" thickTop="1" x14ac:dyDescent="0.3">
      <c r="A54" s="116"/>
      <c r="B54" s="116"/>
    </row>
    <row r="55" spans="1:9" s="103" customFormat="1" x14ac:dyDescent="0.3">
      <c r="A55" s="310">
        <f>+Summary!C5</f>
        <v>37161</v>
      </c>
      <c r="B55" s="310"/>
      <c r="E55" s="103" t="s">
        <v>89</v>
      </c>
      <c r="F55" s="103">
        <f>VLOOKUP(+A55,Note,2)</f>
        <v>2</v>
      </c>
    </row>
    <row r="56" spans="1:9" x14ac:dyDescent="0.3">
      <c r="A56" s="103"/>
      <c r="B56" s="103"/>
      <c r="C56" s="103"/>
      <c r="D56" s="103"/>
      <c r="E56" s="103" t="s">
        <v>1</v>
      </c>
      <c r="F56" s="116">
        <f>VLOOKUP(+A55,Note,1)</f>
        <v>37071</v>
      </c>
      <c r="G56" s="103"/>
    </row>
    <row r="57" spans="1:9" x14ac:dyDescent="0.3">
      <c r="A57" s="103" t="s">
        <v>165</v>
      </c>
      <c r="B57" s="127">
        <f>VLOOKUP(+A55,Loan,8)</f>
        <v>29135425.802679628</v>
      </c>
      <c r="C57" s="103"/>
      <c r="D57" s="103"/>
      <c r="E57" s="103" t="s">
        <v>90</v>
      </c>
      <c r="F57" s="103">
        <f>VLOOKUP(+F55+1,LoanPeriod,5)</f>
        <v>34171434.436354101</v>
      </c>
      <c r="G57" s="103"/>
    </row>
    <row r="58" spans="1:9" x14ac:dyDescent="0.3">
      <c r="A58" s="116" t="s">
        <v>7</v>
      </c>
      <c r="B58" s="103">
        <f>+B56+B57</f>
        <v>29135425.802679628</v>
      </c>
      <c r="C58" s="103"/>
      <c r="D58" s="103"/>
      <c r="E58" s="103" t="s">
        <v>91</v>
      </c>
      <c r="F58" s="116">
        <f>VLOOKUP(+F55+1,NotePeriod,8)</f>
        <v>37256</v>
      </c>
      <c r="G58" s="103"/>
    </row>
    <row r="59" spans="1:9" x14ac:dyDescent="0.3">
      <c r="A59" s="116" t="s">
        <v>92</v>
      </c>
      <c r="B59" s="103">
        <f>A55-F56</f>
        <v>90</v>
      </c>
      <c r="C59" s="103"/>
      <c r="D59" s="103"/>
      <c r="E59" s="116"/>
      <c r="F59" s="103"/>
      <c r="G59" s="103"/>
    </row>
    <row r="60" spans="1:9" x14ac:dyDescent="0.3">
      <c r="A60" s="116" t="s">
        <v>162</v>
      </c>
      <c r="B60" s="103">
        <f>F57*B59/(F58-F56)</f>
        <v>16623941.077145239</v>
      </c>
      <c r="C60" s="103"/>
      <c r="D60" s="103"/>
      <c r="E60" s="103"/>
      <c r="F60" s="103"/>
      <c r="G60" s="103"/>
    </row>
    <row r="61" spans="1:9" x14ac:dyDescent="0.3">
      <c r="A61" s="116" t="s">
        <v>163</v>
      </c>
      <c r="B61" s="103">
        <f>+B57+B60</f>
        <v>45759366.879824869</v>
      </c>
      <c r="C61" s="103"/>
      <c r="D61" s="103"/>
      <c r="E61" s="103"/>
      <c r="F61" s="103"/>
      <c r="G61" s="103"/>
    </row>
    <row r="63" spans="1:9" x14ac:dyDescent="0.3">
      <c r="A63" s="7" t="s">
        <v>175</v>
      </c>
    </row>
    <row r="64" spans="1:9" x14ac:dyDescent="0.3">
      <c r="A64" s="1">
        <f>+'Cash-Int-Trans'!B81</f>
        <v>36791</v>
      </c>
      <c r="B64" s="7" t="s">
        <v>172</v>
      </c>
      <c r="E64" s="7">
        <f>+'Cash-Int-Trans'!B82</f>
        <v>6733589</v>
      </c>
    </row>
    <row r="65" spans="1:5" x14ac:dyDescent="0.3">
      <c r="A65" s="1">
        <f>+A64</f>
        <v>36791</v>
      </c>
      <c r="B65" s="7" t="s">
        <v>176</v>
      </c>
      <c r="C65" s="1"/>
      <c r="D65" s="1">
        <f>+'Cash-Int-Trans'!B83</f>
        <v>36889</v>
      </c>
      <c r="E65" s="151">
        <f>+'Cash-Int-Trans'!B85</f>
        <v>128312.27927777779</v>
      </c>
    </row>
    <row r="66" spans="1:5" x14ac:dyDescent="0.3">
      <c r="B66" s="7" t="s">
        <v>7</v>
      </c>
      <c r="E66" s="7">
        <f>SUM(E64:E65)</f>
        <v>6861901.2792777782</v>
      </c>
    </row>
    <row r="68" spans="1:5" x14ac:dyDescent="0.3">
      <c r="A68" s="1">
        <f>+'Cash-Int-Trans'!B87</f>
        <v>36970</v>
      </c>
      <c r="B68" s="7" t="str">
        <f>+'Cash-Int-Trans'!A89</f>
        <v>Partial Termination of Hanover</v>
      </c>
      <c r="E68" s="7">
        <f>+'Cash-Int-Trans'!B88</f>
        <v>11278182.528000001</v>
      </c>
    </row>
    <row r="69" spans="1:5" x14ac:dyDescent="0.3">
      <c r="A69" s="1">
        <f>+'Cash-Int-Trans'!B91</f>
        <v>36976</v>
      </c>
      <c r="B69" s="7" t="str">
        <f>+'Cash-Int-Trans'!A93</f>
        <v>ENE Shares</v>
      </c>
      <c r="E69" s="7">
        <f>+'Cash-Int-Trans'!B92</f>
        <v>493329595.62</v>
      </c>
    </row>
    <row r="70" spans="1:5" x14ac:dyDescent="0.3">
      <c r="A70" s="1"/>
      <c r="B70" s="7" t="s">
        <v>176</v>
      </c>
      <c r="C70" s="1"/>
      <c r="D70" s="1">
        <f>+'Cash-Int-Trans'!E87</f>
        <v>37071</v>
      </c>
      <c r="E70" s="151">
        <f>+'Cash-Int-Trans'!E89+'Cash-Int-Trans'!E93</f>
        <v>9334384.8926276676</v>
      </c>
    </row>
    <row r="71" spans="1:5" x14ac:dyDescent="0.3">
      <c r="B71" s="7" t="s">
        <v>7</v>
      </c>
      <c r="E71" s="7">
        <f>SUM(E68:E70)</f>
        <v>513942163.04062766</v>
      </c>
    </row>
  </sheetData>
  <mergeCells count="2">
    <mergeCell ref="A23:B23"/>
    <mergeCell ref="A55:B55"/>
  </mergeCells>
  <phoneticPr fontId="0" type="noConversion"/>
  <pageMargins left="0.75" right="0.75" top="1" bottom="1" header="0.5" footer="0.5"/>
  <pageSetup scale="76" orientation="portrait" r:id="rId1"/>
  <headerFooter alignWithMargins="0"/>
  <rowBreaks count="1" manualBreakCount="1">
    <brk id="34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43"/>
  <sheetViews>
    <sheetView topLeftCell="A15" zoomScaleNormal="100" workbookViewId="0">
      <selection activeCell="C38" sqref="C38"/>
    </sheetView>
  </sheetViews>
  <sheetFormatPr defaultRowHeight="15.6" x14ac:dyDescent="0.3"/>
  <cols>
    <col min="1" max="1" width="25" customWidth="1"/>
    <col min="2" max="2" width="11.09765625" style="3" customWidth="1"/>
    <col min="3" max="3" width="11.5" customWidth="1"/>
    <col min="4" max="4" width="15.8984375" customWidth="1"/>
    <col min="5" max="5" width="15.3984375" customWidth="1"/>
    <col min="6" max="6" width="14.5" customWidth="1"/>
  </cols>
  <sheetData>
    <row r="1" spans="1:6" x14ac:dyDescent="0.3">
      <c r="D1" s="262" t="s">
        <v>425</v>
      </c>
      <c r="E1" s="58" t="s">
        <v>426</v>
      </c>
    </row>
    <row r="2" spans="1:6" x14ac:dyDescent="0.3">
      <c r="A2" s="64" t="s">
        <v>427</v>
      </c>
      <c r="C2" s="134"/>
      <c r="D2" s="2">
        <f>+Financials!I5</f>
        <v>25.25</v>
      </c>
      <c r="F2" s="54"/>
    </row>
    <row r="3" spans="1:6" x14ac:dyDescent="0.3">
      <c r="A3" t="s">
        <v>428</v>
      </c>
      <c r="B3" s="3">
        <v>50000000</v>
      </c>
      <c r="D3" s="5">
        <f>B3*D2</f>
        <v>1262500000</v>
      </c>
      <c r="E3" s="3">
        <f>ROUND(D3/D2+0.49,0)</f>
        <v>50000000</v>
      </c>
    </row>
    <row r="4" spans="1:6" x14ac:dyDescent="0.3">
      <c r="A4" t="s">
        <v>429</v>
      </c>
      <c r="D4" s="56">
        <f>1400000000+1027000000+500000</f>
        <v>2427500000</v>
      </c>
      <c r="E4" s="263">
        <f>ROUND(D4/D2+0.49,0)</f>
        <v>96138614</v>
      </c>
    </row>
    <row r="5" spans="1:6" x14ac:dyDescent="0.3">
      <c r="A5" t="s">
        <v>430</v>
      </c>
      <c r="D5" s="4">
        <f>D3-D4</f>
        <v>-1165000000</v>
      </c>
      <c r="E5" s="54">
        <f>E3-E4</f>
        <v>-46138614</v>
      </c>
    </row>
    <row r="6" spans="1:6" x14ac:dyDescent="0.3">
      <c r="A6" t="s">
        <v>431</v>
      </c>
      <c r="D6" s="2"/>
    </row>
    <row r="7" spans="1:6" x14ac:dyDescent="0.3">
      <c r="A7" t="s">
        <v>432</v>
      </c>
      <c r="B7" s="3">
        <v>3876755</v>
      </c>
      <c r="D7" s="4">
        <f>+B7*D2</f>
        <v>97888063.75</v>
      </c>
      <c r="E7" s="3">
        <v>3876755</v>
      </c>
    </row>
    <row r="8" spans="1:6" x14ac:dyDescent="0.3">
      <c r="A8" t="s">
        <v>433</v>
      </c>
      <c r="B8" s="3">
        <v>7809790</v>
      </c>
      <c r="D8" s="4">
        <f>+B8*D2</f>
        <v>197197197.5</v>
      </c>
      <c r="E8" s="3">
        <v>7809790</v>
      </c>
    </row>
    <row r="9" spans="1:6" x14ac:dyDescent="0.3">
      <c r="A9" t="s">
        <v>434</v>
      </c>
      <c r="B9" s="3">
        <v>6326045</v>
      </c>
      <c r="D9" s="56">
        <f>+B9*D2</f>
        <v>159732636.25</v>
      </c>
      <c r="E9" s="263">
        <v>6326045</v>
      </c>
    </row>
    <row r="10" spans="1:6" x14ac:dyDescent="0.3">
      <c r="B10" s="3">
        <f>+B7+B8+B9</f>
        <v>18012590</v>
      </c>
      <c r="D10" s="2"/>
    </row>
    <row r="11" spans="1:6" ht="16.2" thickBot="1" x14ac:dyDescent="0.35">
      <c r="A11" t="s">
        <v>27</v>
      </c>
      <c r="D11" s="57">
        <f>D5-SUM(D7:D9)</f>
        <v>-1619817897.5</v>
      </c>
      <c r="E11" s="264">
        <f>E5-SUM(E7:E9)</f>
        <v>-64151204</v>
      </c>
    </row>
    <row r="12" spans="1:6" ht="16.2" thickTop="1" x14ac:dyDescent="0.3">
      <c r="A12" s="3"/>
      <c r="D12" s="135"/>
      <c r="E12" s="54"/>
      <c r="F12" s="3"/>
    </row>
    <row r="13" spans="1:6" x14ac:dyDescent="0.3">
      <c r="D13" s="5"/>
      <c r="E13" s="134"/>
      <c r="F13" s="3"/>
    </row>
    <row r="14" spans="1:6" x14ac:dyDescent="0.3">
      <c r="A14" t="s">
        <v>442</v>
      </c>
      <c r="B14" s="3">
        <f>IF(E11&gt;0,B8,IF(B9&gt;-E11,B8,IF(-E11&gt;(+B9+B8),0,(+B9+B8+E11))))</f>
        <v>0</v>
      </c>
      <c r="D14" s="5"/>
      <c r="E14" s="54"/>
      <c r="F14" s="3"/>
    </row>
    <row r="17" spans="1:6" x14ac:dyDescent="0.3">
      <c r="A17" t="s">
        <v>435</v>
      </c>
      <c r="B17" s="3">
        <f>+Financials!D15</f>
        <v>7809790</v>
      </c>
      <c r="C17" s="2">
        <f>+Financials!E15</f>
        <v>68.75</v>
      </c>
      <c r="D17" s="4">
        <f>+Financials!B15</f>
        <v>536923062.5</v>
      </c>
    </row>
    <row r="18" spans="1:6" x14ac:dyDescent="0.3">
      <c r="A18" t="s">
        <v>436</v>
      </c>
      <c r="D18" s="4">
        <f>+Financials!B17</f>
        <v>-186923062.5</v>
      </c>
      <c r="E18" s="265">
        <f>-D18/D17</f>
        <v>0.34813751830598633</v>
      </c>
    </row>
    <row r="19" spans="1:6" x14ac:dyDescent="0.3">
      <c r="D19" s="4">
        <f>+D17+D18</f>
        <v>350000000</v>
      </c>
    </row>
    <row r="20" spans="1:6" x14ac:dyDescent="0.3">
      <c r="A20" t="s">
        <v>437</v>
      </c>
      <c r="D20" s="4">
        <f>+Financials!I15</f>
        <v>87230762.5</v>
      </c>
      <c r="E20" s="265">
        <f>+Financials!A35/Financials!A38</f>
        <v>0.46666666666666667</v>
      </c>
      <c r="F20">
        <f>+D18*E20+D20</f>
        <v>0</v>
      </c>
    </row>
    <row r="21" spans="1:6" x14ac:dyDescent="0.3">
      <c r="A21" t="s">
        <v>438</v>
      </c>
      <c r="D21" s="4">
        <f>+D19+D20</f>
        <v>437230762.5</v>
      </c>
      <c r="E21" s="265">
        <f>+D21/D17</f>
        <v>0.81432665690347394</v>
      </c>
    </row>
    <row r="22" spans="1:6" x14ac:dyDescent="0.3">
      <c r="D22" s="4"/>
    </row>
    <row r="23" spans="1:6" x14ac:dyDescent="0.3">
      <c r="A23" t="s">
        <v>439</v>
      </c>
      <c r="B23" s="3">
        <f>+B14</f>
        <v>0</v>
      </c>
      <c r="C23" s="2">
        <f>+C17</f>
        <v>68.75</v>
      </c>
      <c r="D23" s="4">
        <f>+B23*C23</f>
        <v>0</v>
      </c>
    </row>
    <row r="24" spans="1:6" x14ac:dyDescent="0.3">
      <c r="A24" t="s">
        <v>436</v>
      </c>
      <c r="D24" s="4">
        <f>D18/D17*D23</f>
        <v>0</v>
      </c>
      <c r="E24" s="265" t="e">
        <f>-D24/D23</f>
        <v>#DIV/0!</v>
      </c>
    </row>
    <row r="25" spans="1:6" x14ac:dyDescent="0.3">
      <c r="D25" s="4">
        <f>+D23+D24</f>
        <v>0</v>
      </c>
    </row>
    <row r="26" spans="1:6" x14ac:dyDescent="0.3">
      <c r="A26" t="s">
        <v>437</v>
      </c>
      <c r="D26" s="4">
        <f>-D24*E20</f>
        <v>0</v>
      </c>
      <c r="E26" s="265">
        <f>+E20</f>
        <v>0.46666666666666667</v>
      </c>
      <c r="F26">
        <f>+D24*E26+D26</f>
        <v>0</v>
      </c>
    </row>
    <row r="27" spans="1:6" x14ac:dyDescent="0.3">
      <c r="A27" t="s">
        <v>440</v>
      </c>
      <c r="D27" s="4">
        <f>+D25+D26</f>
        <v>0</v>
      </c>
      <c r="E27" s="265" t="e">
        <f>+D27/D23</f>
        <v>#DIV/0!</v>
      </c>
    </row>
    <row r="28" spans="1:6" x14ac:dyDescent="0.3">
      <c r="A28" t="s">
        <v>159</v>
      </c>
      <c r="D28" s="266">
        <f>+Financials!M11-D27</f>
        <v>0</v>
      </c>
      <c r="E28" s="265"/>
    </row>
    <row r="29" spans="1:6" x14ac:dyDescent="0.3">
      <c r="D29" s="4"/>
    </row>
    <row r="30" spans="1:6" x14ac:dyDescent="0.3">
      <c r="A30" t="s">
        <v>441</v>
      </c>
      <c r="B30" s="3">
        <f>+B17-B23</f>
        <v>7809790</v>
      </c>
      <c r="D30" s="4">
        <f>+D21-D27</f>
        <v>437230762.5</v>
      </c>
    </row>
    <row r="33" spans="1:5" x14ac:dyDescent="0.3">
      <c r="A33" t="s">
        <v>451</v>
      </c>
      <c r="B33" s="281">
        <v>36976</v>
      </c>
    </row>
    <row r="34" spans="1:5" x14ac:dyDescent="0.3">
      <c r="B34" s="3" t="s">
        <v>452</v>
      </c>
      <c r="C34" t="s">
        <v>456</v>
      </c>
      <c r="D34" t="s">
        <v>457</v>
      </c>
    </row>
    <row r="35" spans="1:5" x14ac:dyDescent="0.3">
      <c r="A35" t="s">
        <v>453</v>
      </c>
      <c r="B35" s="3">
        <v>3876755</v>
      </c>
      <c r="C35" s="3"/>
      <c r="D35" s="4"/>
    </row>
    <row r="36" spans="1:5" x14ac:dyDescent="0.3">
      <c r="A36" t="s">
        <v>454</v>
      </c>
      <c r="B36" s="3">
        <v>7809790</v>
      </c>
      <c r="C36" s="3"/>
      <c r="D36" s="4"/>
    </row>
    <row r="37" spans="1:5" x14ac:dyDescent="0.3">
      <c r="A37" t="s">
        <v>455</v>
      </c>
      <c r="B37" s="3">
        <v>6326045</v>
      </c>
      <c r="C37" s="3">
        <f>+[1]Summary!$I$70</f>
        <v>6326045</v>
      </c>
      <c r="D37" s="4">
        <v>118425531</v>
      </c>
    </row>
    <row r="38" spans="1:5" x14ac:dyDescent="0.3">
      <c r="D38" s="4"/>
    </row>
    <row r="39" spans="1:5" x14ac:dyDescent="0.3">
      <c r="A39" t="s">
        <v>7</v>
      </c>
      <c r="B39" s="3">
        <f>IF(Summary!$C$5&lt;Shares!$B$33,0,SUM(B35:B38))</f>
        <v>18012590</v>
      </c>
      <c r="C39" s="3">
        <f>IF(Summary!$C$5&lt;Shares!$B$33,0,SUM(C35:C38))</f>
        <v>6326045</v>
      </c>
      <c r="D39" s="4">
        <f>IF(Summary!$C$5&lt;Shares!$B$33,0,SUM(D35:D38))</f>
        <v>118425531</v>
      </c>
      <c r="E39" t="s">
        <v>490</v>
      </c>
    </row>
    <row r="41" spans="1:5" x14ac:dyDescent="0.3">
      <c r="D41" t="s">
        <v>491</v>
      </c>
      <c r="E41" s="54">
        <f>IF(D39=0,0,+D42)</f>
        <v>118425531</v>
      </c>
    </row>
    <row r="42" spans="1:5" x14ac:dyDescent="0.3">
      <c r="C42" s="1">
        <v>36976</v>
      </c>
      <c r="D42" s="54">
        <f>+D39</f>
        <v>118425531</v>
      </c>
    </row>
    <row r="43" spans="1:5" x14ac:dyDescent="0.3">
      <c r="C43" s="1">
        <v>37072</v>
      </c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11</vt:i4>
      </vt:variant>
    </vt:vector>
  </HeadingPairs>
  <TitlesOfParts>
    <vt:vector size="21" baseType="lpstr">
      <vt:lpstr>Summary</vt:lpstr>
      <vt:lpstr>Daily Position</vt:lpstr>
      <vt:lpstr>Stock Prices</vt:lpstr>
      <vt:lpstr>Financials</vt:lpstr>
      <vt:lpstr>Financials QTR</vt:lpstr>
      <vt:lpstr>Cash-Int-Trans</vt:lpstr>
      <vt:lpstr>Jedi Shares</vt:lpstr>
      <vt:lpstr>Amort</vt:lpstr>
      <vt:lpstr>Shares</vt:lpstr>
      <vt:lpstr>MPR Raptor</vt:lpstr>
      <vt:lpstr>Amort</vt:lpstr>
      <vt:lpstr>ene</vt:lpstr>
      <vt:lpstr>Loan</vt:lpstr>
      <vt:lpstr>LoanPeriod</vt:lpstr>
      <vt:lpstr>MPRR</vt:lpstr>
      <vt:lpstr>Note</vt:lpstr>
      <vt:lpstr>NotePeriod</vt:lpstr>
      <vt:lpstr>Prices</vt:lpstr>
      <vt:lpstr>Shares!Print_Area</vt:lpstr>
      <vt:lpstr>Summary!Print_Area</vt:lpstr>
      <vt:lpstr>wtten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FXHistory</dc:title>
  <dc:creator>Gordon McKillop</dc:creator>
  <cp:lastModifiedBy>Havlíček Jan</cp:lastModifiedBy>
  <cp:lastPrinted>2001-07-05T21:49:20Z</cp:lastPrinted>
  <dcterms:created xsi:type="dcterms:W3CDTF">2000-08-10T21:11:42Z</dcterms:created>
  <dcterms:modified xsi:type="dcterms:W3CDTF">2023-09-10T16:00:38Z</dcterms:modified>
</cp:coreProperties>
</file>