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88" windowWidth="14628" windowHeight="8640"/>
  </bookViews>
  <sheets>
    <sheet name="Summary" sheetId="1" r:id="rId1"/>
    <sheet name="Daily Position" sheetId="3" r:id="rId2"/>
    <sheet name="Stock Prices" sheetId="2" r:id="rId3"/>
    <sheet name="Private Values" sheetId="8" r:id="rId4"/>
    <sheet name="Financials" sheetId="4" r:id="rId5"/>
    <sheet name="Cash-Int-Trans" sheetId="6" r:id="rId6"/>
    <sheet name="Amort" sheetId="5" r:id="rId7"/>
    <sheet name="Shares" sheetId="9" r:id="rId8"/>
    <sheet name="MRP Raptor" sheetId="7" r:id="rId9"/>
  </sheets>
  <externalReferences>
    <externalReference r:id="rId10"/>
  </externalReferences>
  <definedNames>
    <definedName name="_xlnm._FilterDatabase" localSheetId="2" hidden="1">'Stock Prices'!#REF!</definedName>
    <definedName name="Amort">Amort!$A$10:$G$20</definedName>
    <definedName name="ene">'Stock Prices'!$A$5:$B$375</definedName>
    <definedName name="Loan">Amort!$A$42:$I$52</definedName>
    <definedName name="LoanPeriod">Amort!$B$42:$I$52</definedName>
    <definedName name="MPRR">'MRP Raptor'!$E$3:$CM$140</definedName>
    <definedName name="Note">Amort!$A$10:$I$20</definedName>
    <definedName name="NotePeriod">Amort!$B$10:$I$20</definedName>
    <definedName name="_xlnm.Print_Area" localSheetId="0">Summary!$A$1:$F$25</definedName>
    <definedName name="Privates">'Private Values'!$A$4:$A$374</definedName>
  </definedNames>
  <calcPr calcId="92512" calcOnSave="0"/>
</workbook>
</file>

<file path=xl/calcChain.xml><?xml version="1.0" encoding="utf-8"?>
<calcChain xmlns="http://schemas.openxmlformats.org/spreadsheetml/2006/main">
  <c r="B5" i="5" l="1"/>
  <c r="A10" i="5"/>
  <c r="C10" i="5"/>
  <c r="E10" i="5"/>
  <c r="G10" i="5"/>
  <c r="H10" i="5"/>
  <c r="I10" i="5"/>
  <c r="A11" i="5"/>
  <c r="B11" i="5"/>
  <c r="C11" i="5"/>
  <c r="D11" i="5"/>
  <c r="E11" i="5"/>
  <c r="F11" i="5"/>
  <c r="G11" i="5"/>
  <c r="H11" i="5"/>
  <c r="I11" i="5"/>
  <c r="A12" i="5"/>
  <c r="B12" i="5"/>
  <c r="C12" i="5"/>
  <c r="D12" i="5"/>
  <c r="E12" i="5"/>
  <c r="F12" i="5"/>
  <c r="G12" i="5"/>
  <c r="H12" i="5"/>
  <c r="I12" i="5"/>
  <c r="A13" i="5"/>
  <c r="B13" i="5"/>
  <c r="C13" i="5"/>
  <c r="D13" i="5"/>
  <c r="E13" i="5"/>
  <c r="F13" i="5"/>
  <c r="G13" i="5"/>
  <c r="H13" i="5"/>
  <c r="I13" i="5"/>
  <c r="A14" i="5"/>
  <c r="B14" i="5"/>
  <c r="C14" i="5"/>
  <c r="D14" i="5"/>
  <c r="E14" i="5"/>
  <c r="F14" i="5"/>
  <c r="G14" i="5"/>
  <c r="H14" i="5"/>
  <c r="I14" i="5"/>
  <c r="A15" i="5"/>
  <c r="B15" i="5"/>
  <c r="C15" i="5"/>
  <c r="D15" i="5"/>
  <c r="E15" i="5"/>
  <c r="F15" i="5"/>
  <c r="G15" i="5"/>
  <c r="H15" i="5"/>
  <c r="I15" i="5"/>
  <c r="A16" i="5"/>
  <c r="B16" i="5"/>
  <c r="C16" i="5"/>
  <c r="D16" i="5"/>
  <c r="E16" i="5"/>
  <c r="F16" i="5"/>
  <c r="G16" i="5"/>
  <c r="H16" i="5"/>
  <c r="I16" i="5"/>
  <c r="A17" i="5"/>
  <c r="B17" i="5"/>
  <c r="C17" i="5"/>
  <c r="D17" i="5"/>
  <c r="E17" i="5"/>
  <c r="F17" i="5"/>
  <c r="G17" i="5"/>
  <c r="H17" i="5"/>
  <c r="I17" i="5"/>
  <c r="A18" i="5"/>
  <c r="B18" i="5"/>
  <c r="C18" i="5"/>
  <c r="D18" i="5"/>
  <c r="E18" i="5"/>
  <c r="F18" i="5"/>
  <c r="G18" i="5"/>
  <c r="H18" i="5"/>
  <c r="I18" i="5"/>
  <c r="A19" i="5"/>
  <c r="B19" i="5"/>
  <c r="C19" i="5"/>
  <c r="D19" i="5"/>
  <c r="E19" i="5"/>
  <c r="F19" i="5"/>
  <c r="G19" i="5"/>
  <c r="H19" i="5"/>
  <c r="I19" i="5"/>
  <c r="A20" i="5"/>
  <c r="B20" i="5"/>
  <c r="C20" i="5"/>
  <c r="D20" i="5"/>
  <c r="E20" i="5"/>
  <c r="F20" i="5"/>
  <c r="G20" i="5"/>
  <c r="H20" i="5"/>
  <c r="I20" i="5"/>
  <c r="D21" i="5"/>
  <c r="E21" i="5"/>
  <c r="F21" i="5"/>
  <c r="A23" i="5"/>
  <c r="F23" i="5"/>
  <c r="F24" i="5"/>
  <c r="B25" i="5"/>
  <c r="F25" i="5"/>
  <c r="B26" i="5"/>
  <c r="F26" i="5"/>
  <c r="B27" i="5"/>
  <c r="B28" i="5"/>
  <c r="B29" i="5"/>
  <c r="C42" i="5"/>
  <c r="G42" i="5"/>
  <c r="H42" i="5"/>
  <c r="I42" i="5"/>
  <c r="A43" i="5"/>
  <c r="B43" i="5"/>
  <c r="C43" i="5"/>
  <c r="D43" i="5"/>
  <c r="F43" i="5"/>
  <c r="G43" i="5"/>
  <c r="H43" i="5"/>
  <c r="I43" i="5"/>
  <c r="A44" i="5"/>
  <c r="B44" i="5"/>
  <c r="C44" i="5"/>
  <c r="F44" i="5"/>
  <c r="G44" i="5"/>
  <c r="H44" i="5"/>
  <c r="I44" i="5"/>
  <c r="A45" i="5"/>
  <c r="B45" i="5"/>
  <c r="C45" i="5"/>
  <c r="F45" i="5"/>
  <c r="G45" i="5"/>
  <c r="H45" i="5"/>
  <c r="I45" i="5"/>
  <c r="A46" i="5"/>
  <c r="B46" i="5"/>
  <c r="C46" i="5"/>
  <c r="F46" i="5"/>
  <c r="G46" i="5"/>
  <c r="H46" i="5"/>
  <c r="I46" i="5"/>
  <c r="A47" i="5"/>
  <c r="B47" i="5"/>
  <c r="C47" i="5"/>
  <c r="F47" i="5"/>
  <c r="G47" i="5"/>
  <c r="H47" i="5"/>
  <c r="I47" i="5"/>
  <c r="A48" i="5"/>
  <c r="B48" i="5"/>
  <c r="C48" i="5"/>
  <c r="F48" i="5"/>
  <c r="G48" i="5"/>
  <c r="H48" i="5"/>
  <c r="I48" i="5"/>
  <c r="A49" i="5"/>
  <c r="B49" i="5"/>
  <c r="C49" i="5"/>
  <c r="F49" i="5"/>
  <c r="G49" i="5"/>
  <c r="H49" i="5"/>
  <c r="I49" i="5"/>
  <c r="A50" i="5"/>
  <c r="B50" i="5"/>
  <c r="C50" i="5"/>
  <c r="F50" i="5"/>
  <c r="G50" i="5"/>
  <c r="H50" i="5"/>
  <c r="I50" i="5"/>
  <c r="A51" i="5"/>
  <c r="B51" i="5"/>
  <c r="C51" i="5"/>
  <c r="F51" i="5"/>
  <c r="G51" i="5"/>
  <c r="H51" i="5"/>
  <c r="I51" i="5"/>
  <c r="A52" i="5"/>
  <c r="B52" i="5"/>
  <c r="C52" i="5"/>
  <c r="F52" i="5"/>
  <c r="G52" i="5"/>
  <c r="H52" i="5"/>
  <c r="I52" i="5"/>
  <c r="D53" i="5"/>
  <c r="E53" i="5"/>
  <c r="F53" i="5"/>
  <c r="A55" i="5"/>
  <c r="F55" i="5"/>
  <c r="F56" i="5"/>
  <c r="B57" i="5"/>
  <c r="F57" i="5"/>
  <c r="B58" i="5"/>
  <c r="F58" i="5"/>
  <c r="B59" i="5"/>
  <c r="B60" i="5"/>
  <c r="B61" i="5"/>
  <c r="A64" i="5"/>
  <c r="E64" i="5"/>
  <c r="A65" i="5"/>
  <c r="D65" i="5"/>
  <c r="E65" i="5"/>
  <c r="E66" i="5"/>
  <c r="B4" i="6"/>
  <c r="B6" i="6"/>
  <c r="B8" i="6"/>
  <c r="D8" i="6"/>
  <c r="B9" i="6"/>
  <c r="D9" i="6"/>
  <c r="D12" i="6"/>
  <c r="B13" i="6"/>
  <c r="D13" i="6"/>
  <c r="B15" i="6"/>
  <c r="B16" i="6"/>
  <c r="D16" i="6"/>
  <c r="B20" i="6"/>
  <c r="B22" i="6"/>
  <c r="B23" i="6"/>
  <c r="A24" i="6"/>
  <c r="B24" i="6"/>
  <c r="B27" i="6"/>
  <c r="B28" i="6"/>
  <c r="B29" i="6"/>
  <c r="B30" i="6"/>
  <c r="B32" i="6"/>
  <c r="B33" i="6"/>
  <c r="B35" i="6"/>
  <c r="D35" i="6"/>
  <c r="B38" i="6"/>
  <c r="B42" i="6"/>
  <c r="B43" i="6"/>
  <c r="F43" i="6"/>
  <c r="B44" i="6"/>
  <c r="B46" i="6"/>
  <c r="B48" i="6"/>
  <c r="B49" i="6"/>
  <c r="F49" i="6"/>
  <c r="B50" i="6"/>
  <c r="B53" i="6"/>
  <c r="B55" i="6"/>
  <c r="B58" i="6"/>
  <c r="B59" i="6"/>
  <c r="B60" i="6"/>
  <c r="B61" i="6"/>
  <c r="B62" i="6"/>
  <c r="B66" i="6"/>
  <c r="D67" i="6"/>
  <c r="D68" i="6"/>
  <c r="B69" i="6"/>
  <c r="D69" i="6"/>
  <c r="D70" i="6"/>
  <c r="E7" i="3"/>
  <c r="I7" i="3"/>
  <c r="L7" i="3"/>
  <c r="M7" i="3"/>
  <c r="N7" i="3"/>
  <c r="O7" i="3"/>
  <c r="P7" i="3"/>
  <c r="S7" i="3"/>
  <c r="S9" i="3"/>
  <c r="S10" i="3"/>
  <c r="S11" i="3"/>
  <c r="H2" i="4"/>
  <c r="L2" i="4"/>
  <c r="I5" i="4"/>
  <c r="B6" i="4"/>
  <c r="I6" i="4"/>
  <c r="M6" i="4"/>
  <c r="E7" i="4"/>
  <c r="B8" i="4"/>
  <c r="M8" i="4"/>
  <c r="P8" i="4"/>
  <c r="E9" i="4"/>
  <c r="M9" i="4"/>
  <c r="P9" i="4"/>
  <c r="M10" i="4"/>
  <c r="P10" i="4"/>
  <c r="B11" i="4"/>
  <c r="E11" i="4"/>
  <c r="I11" i="4"/>
  <c r="M11" i="4"/>
  <c r="P11" i="4"/>
  <c r="I12" i="4"/>
  <c r="I13" i="4"/>
  <c r="M13" i="4"/>
  <c r="P13" i="4"/>
  <c r="I14" i="4"/>
  <c r="M14" i="4"/>
  <c r="P14" i="4"/>
  <c r="B15" i="4"/>
  <c r="I15" i="4"/>
  <c r="M15" i="4"/>
  <c r="P15" i="4"/>
  <c r="B16" i="4"/>
  <c r="I16" i="4"/>
  <c r="P16" i="4"/>
  <c r="Q16" i="4"/>
  <c r="B17" i="4"/>
  <c r="D17" i="4"/>
  <c r="I17" i="4"/>
  <c r="B18" i="4"/>
  <c r="P18" i="4"/>
  <c r="I19" i="4"/>
  <c r="I20" i="4"/>
  <c r="M20" i="4"/>
  <c r="O20" i="4"/>
  <c r="P20" i="4"/>
  <c r="E21" i="4"/>
  <c r="I21" i="4"/>
  <c r="P21" i="4"/>
  <c r="I22" i="4"/>
  <c r="P22" i="4"/>
  <c r="I23" i="4"/>
  <c r="P23" i="4"/>
  <c r="D24" i="4"/>
  <c r="E24" i="4"/>
  <c r="P24" i="4"/>
  <c r="E25" i="4"/>
  <c r="I25" i="4"/>
  <c r="P25" i="4"/>
  <c r="E26" i="4"/>
  <c r="P26" i="4"/>
  <c r="E27" i="4"/>
  <c r="P27" i="4"/>
  <c r="I28" i="4"/>
  <c r="P28" i="4"/>
  <c r="E29" i="4"/>
  <c r="I29" i="4"/>
  <c r="E30" i="4"/>
  <c r="I30" i="4"/>
  <c r="E31" i="4"/>
  <c r="I32" i="4"/>
  <c r="M32" i="4"/>
  <c r="I33" i="4"/>
  <c r="M33" i="4"/>
  <c r="I34" i="4"/>
  <c r="M34" i="4"/>
  <c r="I35" i="4"/>
  <c r="M35" i="4"/>
  <c r="I36" i="4"/>
  <c r="M36" i="4"/>
  <c r="I37" i="4"/>
  <c r="M37" i="4"/>
  <c r="M38" i="4"/>
  <c r="M39" i="4"/>
  <c r="M40" i="4"/>
  <c r="N40" i="4"/>
  <c r="M43" i="4"/>
  <c r="P43" i="4"/>
  <c r="P44" i="4"/>
  <c r="P45" i="4"/>
  <c r="P46" i="4"/>
  <c r="P49" i="4"/>
  <c r="D2" i="9"/>
  <c r="D3" i="9"/>
  <c r="E3" i="9"/>
  <c r="D4" i="9"/>
  <c r="E4" i="9"/>
  <c r="D5" i="9"/>
  <c r="E5" i="9"/>
  <c r="D7" i="9"/>
  <c r="D8" i="9"/>
  <c r="D9" i="9"/>
  <c r="B10" i="9"/>
  <c r="D11" i="9"/>
  <c r="E11" i="9"/>
  <c r="D12" i="9"/>
  <c r="B14" i="9"/>
  <c r="B17" i="9"/>
  <c r="C17" i="9"/>
  <c r="D17" i="9"/>
  <c r="D18" i="9"/>
  <c r="E18" i="9"/>
  <c r="D19" i="9"/>
  <c r="D20" i="9"/>
  <c r="E20" i="9"/>
  <c r="F20" i="9"/>
  <c r="D21" i="9"/>
  <c r="E21" i="9"/>
  <c r="B23" i="9"/>
  <c r="C23" i="9"/>
  <c r="D23" i="9"/>
  <c r="D24" i="9"/>
  <c r="E24" i="9"/>
  <c r="D25" i="9"/>
  <c r="D26" i="9"/>
  <c r="E26" i="9"/>
  <c r="F26" i="9"/>
  <c r="D27" i="9"/>
  <c r="E27" i="9"/>
  <c r="D28" i="9"/>
  <c r="B30" i="9"/>
  <c r="D30" i="9"/>
  <c r="B55" i="2"/>
  <c r="B117" i="2"/>
  <c r="B124" i="2"/>
  <c r="C5" i="1"/>
  <c r="E5" i="1"/>
  <c r="C12" i="1"/>
  <c r="D12" i="1"/>
  <c r="E12" i="1"/>
  <c r="C13" i="1"/>
  <c r="D13" i="1"/>
  <c r="E13" i="1"/>
  <c r="C15" i="1"/>
  <c r="D15" i="1"/>
  <c r="E15" i="1"/>
  <c r="C18" i="1"/>
  <c r="C21" i="1"/>
  <c r="C24" i="1"/>
</calcChain>
</file>

<file path=xl/comments1.xml><?xml version="1.0" encoding="utf-8"?>
<comments xmlns="http://schemas.openxmlformats.org/spreadsheetml/2006/main">
  <authors>
    <author>Gordon McKillop</author>
    <author>rsiurek</author>
  </authors>
  <commentList>
    <comment ref="I13" authorId="0" shapeId="0">
      <text>
        <r>
          <rPr>
            <b/>
            <sz val="8"/>
            <color indexed="81"/>
            <rFont val="Tahoma"/>
          </rPr>
          <t>Gordon McKillop:</t>
        </r>
        <r>
          <rPr>
            <sz val="8"/>
            <color indexed="81"/>
            <rFont val="Tahoma"/>
          </rPr>
          <t xml:space="preserve">
from cash-int-trans sheet</t>
        </r>
      </text>
    </comment>
    <comment ref="I16" authorId="1" shapeId="0">
      <text>
        <r>
          <rPr>
            <b/>
            <sz val="8"/>
            <color indexed="81"/>
            <rFont val="Tahoma"/>
          </rPr>
          <t xml:space="preserve">Adjusted to reflect interest added to note and additional payment for swap settlement
</t>
        </r>
      </text>
    </comment>
  </commentList>
</comments>
</file>

<file path=xl/comments2.xml><?xml version="1.0" encoding="utf-8"?>
<comments xmlns="http://schemas.openxmlformats.org/spreadsheetml/2006/main">
  <authors>
    <author>rsiurek</author>
  </authors>
  <commentList>
    <comment ref="E39" authorId="0" shapeId="0">
      <text>
        <r>
          <rPr>
            <b/>
            <sz val="8"/>
            <color indexed="81"/>
            <rFont val="Tahoma"/>
          </rPr>
          <t>rsiurek:</t>
        </r>
        <r>
          <rPr>
            <sz val="8"/>
            <color indexed="81"/>
            <rFont val="Tahoma"/>
          </rPr>
          <t xml:space="preserve">
Per World Bank website http://www.worldbank.org/fps/usdpostL.htm as of 8/4/00.</t>
        </r>
      </text>
    </comment>
  </commentList>
</comments>
</file>

<file path=xl/comments3.xml><?xml version="1.0" encoding="utf-8"?>
<comments xmlns="http://schemas.openxmlformats.org/spreadsheetml/2006/main">
  <authors>
    <author>gmckillo</author>
  </authors>
  <commentList>
    <comment ref="D4" authorId="0" shapeId="0">
      <text>
        <r>
          <rPr>
            <b/>
            <sz val="8"/>
            <color indexed="81"/>
            <rFont val="Tahoma"/>
          </rPr>
          <t>gmckillo:
additional 500,000 per Ryan Siurek, calc used was $48.55 * 50 mm shares</t>
        </r>
      </text>
    </comment>
  </commentList>
</comments>
</file>

<file path=xl/sharedStrings.xml><?xml version="1.0" encoding="utf-8"?>
<sst xmlns="http://schemas.openxmlformats.org/spreadsheetml/2006/main" count="314" uniqueCount="227">
  <si>
    <t>Inputs:</t>
  </si>
  <si>
    <t>Date</t>
  </si>
  <si>
    <t>Credit Capacity</t>
  </si>
  <si>
    <t>Notional Capacity</t>
  </si>
  <si>
    <t>Enron</t>
  </si>
  <si>
    <t>Realized</t>
  </si>
  <si>
    <t>Unrealized</t>
  </si>
  <si>
    <t>Total</t>
  </si>
  <si>
    <t>Gains and Losses</t>
  </si>
  <si>
    <t>Previous Day's Cumulative</t>
  </si>
  <si>
    <t>Today's Activity</t>
  </si>
  <si>
    <t>Cumlative Ending</t>
  </si>
  <si>
    <t>ENE</t>
  </si>
  <si>
    <t>Trade Date</t>
  </si>
  <si>
    <t>Shares</t>
  </si>
  <si>
    <t>Totals</t>
  </si>
  <si>
    <t>Prior Day</t>
  </si>
  <si>
    <t>Cost</t>
  </si>
  <si>
    <t>Principle</t>
  </si>
  <si>
    <t>Annual Interest Rate</t>
  </si>
  <si>
    <t>Term (in months)</t>
  </si>
  <si>
    <t>Payments Per Year</t>
  </si>
  <si>
    <t>Payment</t>
  </si>
  <si>
    <t>Beginning Balance</t>
  </si>
  <si>
    <t>Interest</t>
  </si>
  <si>
    <t>Ending Balance</t>
  </si>
  <si>
    <t>Interest Receivable:</t>
  </si>
  <si>
    <t>Interest Income</t>
  </si>
  <si>
    <t>Assets</t>
  </si>
  <si>
    <t>Liabilities &amp; Owner's Equity</t>
  </si>
  <si>
    <t>Cash/Permitted Investment</t>
  </si>
  <si>
    <t>Put Obligation</t>
  </si>
  <si>
    <t>c</t>
  </si>
  <si>
    <t>Note due from Enron</t>
  </si>
  <si>
    <t>Note Due to Enron</t>
  </si>
  <si>
    <t>Cash/Investment</t>
  </si>
  <si>
    <t>Enron Shares</t>
  </si>
  <si>
    <t>a</t>
  </si>
  <si>
    <t>LJMII</t>
  </si>
  <si>
    <t>d</t>
  </si>
  <si>
    <t>Interest Receivable</t>
  </si>
  <si>
    <t>b</t>
  </si>
  <si>
    <t>Enron Shares Consist of:</t>
  </si>
  <si>
    <t>Price</t>
  </si>
  <si>
    <t>3 Percent Test &amp; Capacity Calculation</t>
  </si>
  <si>
    <t>Peregrine</t>
  </si>
  <si>
    <t>Total Balance Sheet Footing</t>
  </si>
  <si>
    <t>Total Undiscounted</t>
  </si>
  <si>
    <t>X  Required capitalization percentage</t>
  </si>
  <si>
    <t>Less: Discount</t>
  </si>
  <si>
    <t>e</t>
  </si>
  <si>
    <t>Required Third Party Capitalization</t>
  </si>
  <si>
    <t>Net</t>
  </si>
  <si>
    <t>g</t>
  </si>
  <si>
    <t>Actual Third Party Capitalization</t>
  </si>
  <si>
    <t xml:space="preserve">     Result</t>
  </si>
  <si>
    <t>3 Percent Test</t>
  </si>
  <si>
    <t>Surplus Third Party Capital</t>
  </si>
  <si>
    <t xml:space="preserve">Plus:  Put Exposure  </t>
  </si>
  <si>
    <t>Net Gain/(Loss)</t>
  </si>
  <si>
    <t>f</t>
  </si>
  <si>
    <t xml:space="preserve">                               </t>
  </si>
  <si>
    <t>X Strike</t>
  </si>
  <si>
    <t>Equity Rollforward (Check)</t>
  </si>
  <si>
    <t xml:space="preserve">     Subtotal</t>
  </si>
  <si>
    <t>Less:  Put premium received</t>
  </si>
  <si>
    <t>Initial Credit Capacity</t>
  </si>
  <si>
    <t xml:space="preserve">     LJM</t>
  </si>
  <si>
    <t xml:space="preserve">     LJMII Capital</t>
  </si>
  <si>
    <t xml:space="preserve">     ENE</t>
  </si>
  <si>
    <t xml:space="preserve">     Initial Discount on Enron Shares</t>
  </si>
  <si>
    <t>Total Initial Credit Capacity</t>
  </si>
  <si>
    <t>Plus Income(Loss)</t>
  </si>
  <si>
    <t>Less Distributions</t>
  </si>
  <si>
    <t>Current Equity</t>
  </si>
  <si>
    <t>Days</t>
  </si>
  <si>
    <t>Historic LIBOR Quotes</t>
  </si>
  <si>
    <t>Avg</t>
  </si>
  <si>
    <t>Balance Sheet and 3 Percent Test</t>
  </si>
  <si>
    <t>Settle Put Premium on ENE shares</t>
  </si>
  <si>
    <t>Total Option Premiums Earned</t>
  </si>
  <si>
    <t>h</t>
  </si>
  <si>
    <t>Principle Received</t>
  </si>
  <si>
    <t>Interest Received</t>
  </si>
  <si>
    <t>Total Cash Received</t>
  </si>
  <si>
    <t>Period</t>
  </si>
  <si>
    <t>Next Interest</t>
  </si>
  <si>
    <t>Next Date</t>
  </si>
  <si>
    <t>Time Outstanding</t>
  </si>
  <si>
    <t>Cash Settlement on Put</t>
  </si>
  <si>
    <t>Distributions</t>
  </si>
  <si>
    <t>Analysis</t>
  </si>
  <si>
    <t>Assumptions:</t>
  </si>
  <si>
    <t>Enron Share Price</t>
  </si>
  <si>
    <t>LIBOR Rate</t>
  </si>
  <si>
    <t>Income Statement</t>
  </si>
  <si>
    <t>Credit Analysis</t>
  </si>
  <si>
    <t>Total Credit Capacity</t>
  </si>
  <si>
    <t>Cash Account</t>
  </si>
  <si>
    <t>Net Income</t>
  </si>
  <si>
    <t>Amortizations</t>
  </si>
  <si>
    <t>Option Obligation</t>
  </si>
  <si>
    <t>Change in:</t>
  </si>
  <si>
    <t>Transactions</t>
  </si>
  <si>
    <t>Notes Receivable</t>
  </si>
  <si>
    <t>Notes Payable</t>
  </si>
  <si>
    <t>Available 3% capacity</t>
  </si>
  <si>
    <t>Option Premiums Earned</t>
  </si>
  <si>
    <t>Permitted Investment Income</t>
  </si>
  <si>
    <t>Unrealized Gains / (Losses)</t>
  </si>
  <si>
    <t>Realized Gains / (Losses)</t>
  </si>
  <si>
    <t>Swap Obligation</t>
  </si>
  <si>
    <t>Summary:</t>
  </si>
  <si>
    <t>Talon Balance Sheet</t>
  </si>
  <si>
    <t>LJM Equity</t>
  </si>
  <si>
    <t xml:space="preserve">     Option Premiums Earned</t>
  </si>
  <si>
    <t>Swap Receivable</t>
  </si>
  <si>
    <t>Remaining Governance Capacity</t>
  </si>
  <si>
    <t>Report Date</t>
  </si>
  <si>
    <t>Security/</t>
  </si>
  <si>
    <t xml:space="preserve">Trade </t>
  </si>
  <si>
    <t xml:space="preserve">Settlement </t>
  </si>
  <si>
    <t>ment</t>
  </si>
  <si>
    <t>Instru-</t>
  </si>
  <si>
    <t>tion</t>
  </si>
  <si>
    <t>Posi-</t>
  </si>
  <si>
    <t xml:space="preserve">Strike </t>
  </si>
  <si>
    <t>Notional</t>
  </si>
  <si>
    <t xml:space="preserve">Market </t>
  </si>
  <si>
    <t>Value</t>
  </si>
  <si>
    <t xml:space="preserve">Unrealized </t>
  </si>
  <si>
    <t xml:space="preserve">Realized </t>
  </si>
  <si>
    <t xml:space="preserve">Total </t>
  </si>
  <si>
    <t xml:space="preserve">Prior Day </t>
  </si>
  <si>
    <t>Ticker</t>
  </si>
  <si>
    <t>Gain/(Loss)</t>
  </si>
  <si>
    <t>As of:</t>
  </si>
  <si>
    <t>For the period ending</t>
  </si>
  <si>
    <t>Less:  Discount Amortization</t>
  </si>
  <si>
    <t xml:space="preserve">          Distribution to LJMII</t>
  </si>
  <si>
    <t xml:space="preserve">     Sub-Total</t>
  </si>
  <si>
    <t>Swap Exposure</t>
  </si>
  <si>
    <t>i</t>
  </si>
  <si>
    <t>j</t>
  </si>
  <si>
    <t xml:space="preserve">     Ending LJM Capital</t>
  </si>
  <si>
    <t xml:space="preserve">     Ending ENE Capital</t>
  </si>
  <si>
    <t>Permitted Investment Income Summary</t>
  </si>
  <si>
    <t>Inputs</t>
  </si>
  <si>
    <t>Daily Price Summary</t>
  </si>
  <si>
    <t xml:space="preserve">Earnings distributed to LJM as a return on capital to the extent </t>
  </si>
  <si>
    <t>$30 MM of LJMII's equity remains in Talon.</t>
  </si>
  <si>
    <t xml:space="preserve">          Additional LJMII Capital</t>
  </si>
  <si>
    <t>Capital</t>
  </si>
  <si>
    <t>Units</t>
  </si>
  <si>
    <t>End of Range</t>
  </si>
  <si>
    <t>Check</t>
  </si>
  <si>
    <t>Harrier Note to Talon Amortization Table</t>
  </si>
  <si>
    <t>Talon Note to Harrier Interest Calculation</t>
  </si>
  <si>
    <t>Interest Payable:</t>
  </si>
  <si>
    <t>Interest Expense</t>
  </si>
  <si>
    <t>Cum. Interest</t>
  </si>
  <si>
    <t>Interest to Note</t>
  </si>
  <si>
    <t>Interest Expense Summary</t>
  </si>
  <si>
    <t>Interest from Amort Sheet</t>
  </si>
  <si>
    <t>Transaction Date</t>
  </si>
  <si>
    <t>Amount</t>
  </si>
  <si>
    <t>Price/Value</t>
  </si>
  <si>
    <t>Increase (+) Decrease (-)</t>
  </si>
  <si>
    <t>Additional Interest</t>
  </si>
  <si>
    <t>Additional Interest included in Amort Sheet</t>
  </si>
  <si>
    <t>Notes:</t>
  </si>
  <si>
    <t>Interest Expense ( 7%, Days OS/360)</t>
  </si>
  <si>
    <t>LJM Maximum Capital</t>
  </si>
  <si>
    <t>Intial Contribution</t>
  </si>
  <si>
    <t>Additional</t>
  </si>
  <si>
    <t>Capital Return if available</t>
  </si>
  <si>
    <t>Maxium B/S LJM Capital</t>
  </si>
  <si>
    <t>check</t>
  </si>
  <si>
    <t>Column</t>
  </si>
  <si>
    <t>Put Option Exposure</t>
  </si>
  <si>
    <t>Discount Amortization</t>
  </si>
  <si>
    <t>Interest Income--Harrier Note ( 7%, Days OS/360)</t>
  </si>
  <si>
    <t>Transfer to Note</t>
  </si>
  <si>
    <t>to LJM</t>
  </si>
  <si>
    <t>LJM additional Equity</t>
  </si>
  <si>
    <t>Option/Put Obligations</t>
  </si>
  <si>
    <t>Permitted Investment</t>
  </si>
  <si>
    <t>Paymentof Interest on Note Receivable</t>
  </si>
  <si>
    <t>Raptor IV</t>
  </si>
  <si>
    <t>Plus Costs paid by Enron</t>
  </si>
  <si>
    <t>Talon Balance Sheet as of 8/31/00</t>
  </si>
  <si>
    <t xml:space="preserve">          ENE share gain (loss) from $84.875</t>
  </si>
  <si>
    <t>Costs Paid by Enron</t>
  </si>
  <si>
    <t>Raptor IV Daily Position Report &amp; Summary</t>
  </si>
  <si>
    <t>$ Equivalents</t>
  </si>
  <si>
    <t>Share Equivalents</t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</si>
  <si>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</si>
  <si>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</si>
  <si>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</si>
  <si>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</si>
  <si>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</si>
  <si>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</si>
  <si>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</si>
  <si>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ENE Stock Price</t>
  </si>
  <si>
    <t>Raptor IV Shares</t>
  </si>
  <si>
    <t>Origanal Shares</t>
  </si>
  <si>
    <t>Origanal Discount</t>
  </si>
  <si>
    <t>Amortization</t>
  </si>
  <si>
    <t>Balance Sheet</t>
  </si>
  <si>
    <t>Balance</t>
  </si>
  <si>
    <t>Shares Available</t>
  </si>
  <si>
    <t>Reserve for Shares</t>
  </si>
  <si>
    <t>Total Exposure</t>
  </si>
  <si>
    <t>Third Party</t>
  </si>
  <si>
    <t>Original Balance Sheet</t>
  </si>
  <si>
    <t>Original Notional</t>
  </si>
  <si>
    <t>Existing Notional</t>
  </si>
  <si>
    <t>Realized Losses</t>
  </si>
  <si>
    <t>Remaining Notional</t>
  </si>
  <si>
    <t>increase to loan is settlement of Put option</t>
  </si>
  <si>
    <t xml:space="preserve"> addl. interest on Settlement</t>
  </si>
  <si>
    <t>Collar Gains / (Losses)</t>
  </si>
  <si>
    <t>Collar Obligation</t>
  </si>
  <si>
    <t>Plus:  Talon Earnings (1)</t>
  </si>
  <si>
    <t>(1) Put at $83 per share and Call at $112.418 included</t>
  </si>
  <si>
    <t>Collar Receivable</t>
  </si>
  <si>
    <t>Reduction in Share Price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</si>
</sst>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9" formatCode="0.0%"/>
    <numFmt numFmtId="170" formatCode="#,##0.0_);\(#,##0.0\)"/>
    <numFmt numFmtId="172" formatCode="mm/dd/yy"/>
    <numFmt numFmtId="179" formatCode="_(&quot;$&quot;* #,##0.000_);_(&quot;$&quot;* \(#,##0.000\);_(&quot;$&quot;* &quot;-&quot;??_);_(@_)"/>
  </numFmts>
  <fonts count="26" x14ac:knownFonts="1">
    <font>
      <sz val="12"/>
      <name val="Times New Roman"/>
    </font>
    <font>
      <sz val="12"/>
      <name val="Times New Roman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20"/>
      <name val="Arial"/>
      <family val="2"/>
    </font>
    <font>
      <sz val="10"/>
      <color indexed="57"/>
      <name val="Arial"/>
      <family val="2"/>
    </font>
    <font>
      <i/>
      <sz val="10"/>
      <name val="Arial"/>
      <family val="2"/>
    </font>
    <font>
      <sz val="10"/>
      <color indexed="53"/>
      <name val="Arial"/>
      <family val="2"/>
    </font>
    <font>
      <sz val="10"/>
      <color indexed="16"/>
      <name val="Arial"/>
      <family val="2"/>
    </font>
    <font>
      <sz val="10"/>
      <color indexed="23"/>
      <name val="Arial"/>
      <family val="2"/>
    </font>
    <font>
      <sz val="10"/>
      <color indexed="40"/>
      <name val="Arial"/>
      <family val="2"/>
    </font>
    <font>
      <b/>
      <i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2"/>
      <name val="Times New Roman"/>
      <family val="1"/>
    </font>
    <font>
      <sz val="12"/>
      <color indexed="9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indexed="57"/>
      <name val="Times New Roman"/>
      <family val="1"/>
    </font>
    <font>
      <sz val="12"/>
      <color indexed="61"/>
      <name val="Times New Roman"/>
      <family val="1"/>
    </font>
    <font>
      <u val="singleAccounting"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9">
    <xf numFmtId="0" fontId="0" fillId="0" borderId="0" xfId="0"/>
    <xf numFmtId="14" fontId="0" fillId="0" borderId="0" xfId="0" applyNumberFormat="1"/>
    <xf numFmtId="44" fontId="0" fillId="0" borderId="0" xfId="2" applyFont="1"/>
    <xf numFmtId="165" fontId="0" fillId="0" borderId="0" xfId="1" applyNumberFormat="1" applyFont="1"/>
    <xf numFmtId="167" fontId="0" fillId="0" borderId="0" xfId="2" applyNumberFormat="1" applyFont="1"/>
    <xf numFmtId="167" fontId="0" fillId="0" borderId="0" xfId="0" applyNumberFormat="1"/>
    <xf numFmtId="37" fontId="4" fillId="0" borderId="0" xfId="0" applyNumberFormat="1" applyFont="1"/>
    <xf numFmtId="37" fontId="0" fillId="0" borderId="0" xfId="0" applyNumberFormat="1"/>
    <xf numFmtId="10" fontId="0" fillId="0" borderId="0" xfId="3" applyNumberFormat="1" applyFont="1"/>
    <xf numFmtId="37" fontId="4" fillId="0" borderId="0" xfId="0" applyNumberFormat="1" applyFont="1" applyAlignment="1">
      <alignment horizontal="center" wrapText="1"/>
    </xf>
    <xf numFmtId="37" fontId="4" fillId="0" borderId="1" xfId="0" applyNumberFormat="1" applyFont="1" applyBorder="1" applyAlignment="1">
      <alignment horizontal="center" wrapText="1"/>
    </xf>
    <xf numFmtId="37" fontId="4" fillId="0" borderId="0" xfId="0" applyNumberFormat="1" applyFont="1" applyBorder="1" applyAlignment="1">
      <alignment horizontal="center" wrapText="1"/>
    </xf>
    <xf numFmtId="37" fontId="0" fillId="0" borderId="2" xfId="0" applyNumberFormat="1" applyBorder="1"/>
    <xf numFmtId="37" fontId="0" fillId="0" borderId="0" xfId="0" applyNumberFormat="1" applyBorder="1"/>
    <xf numFmtId="37" fontId="0" fillId="0" borderId="0" xfId="0" applyNumberFormat="1" applyFill="1"/>
    <xf numFmtId="37" fontId="6" fillId="0" borderId="0" xfId="0" applyNumberFormat="1" applyFont="1" applyBorder="1"/>
    <xf numFmtId="37" fontId="0" fillId="0" borderId="0" xfId="0" applyNumberFormat="1" applyFill="1" applyBorder="1"/>
    <xf numFmtId="37" fontId="7" fillId="0" borderId="0" xfId="0" applyNumberFormat="1" applyFont="1" applyBorder="1"/>
    <xf numFmtId="37" fontId="7" fillId="0" borderId="0" xfId="0" applyNumberFormat="1" applyFont="1"/>
    <xf numFmtId="37" fontId="8" fillId="0" borderId="0" xfId="0" applyNumberFormat="1" applyFont="1" applyBorder="1"/>
    <xf numFmtId="37" fontId="9" fillId="0" borderId="0" xfId="0" applyNumberFormat="1" applyFont="1"/>
    <xf numFmtId="37" fontId="10" fillId="0" borderId="0" xfId="0" applyNumberFormat="1" applyFont="1"/>
    <xf numFmtId="37" fontId="0" fillId="0" borderId="3" xfId="0" applyNumberFormat="1" applyBorder="1" applyAlignment="1">
      <alignment horizontal="right"/>
    </xf>
    <xf numFmtId="37" fontId="0" fillId="0" borderId="0" xfId="0" applyNumberFormat="1" applyBorder="1" applyAlignment="1">
      <alignment horizontal="center"/>
    </xf>
    <xf numFmtId="37" fontId="0" fillId="0" borderId="0" xfId="0" quotePrefix="1" applyNumberFormat="1"/>
    <xf numFmtId="165" fontId="0" fillId="0" borderId="0" xfId="1" applyNumberFormat="1" applyFont="1" applyAlignment="1">
      <alignment horizontal="center"/>
    </xf>
    <xf numFmtId="39" fontId="0" fillId="0" borderId="0" xfId="0" applyNumberFormat="1"/>
    <xf numFmtId="37" fontId="0" fillId="0" borderId="3" xfId="0" applyNumberFormat="1" applyBorder="1"/>
    <xf numFmtId="37" fontId="0" fillId="0" borderId="0" xfId="2" applyNumberFormat="1" applyFont="1"/>
    <xf numFmtId="37" fontId="11" fillId="0" borderId="0" xfId="0" applyNumberFormat="1" applyFont="1" applyFill="1" applyBorder="1"/>
    <xf numFmtId="10" fontId="0" fillId="0" borderId="3" xfId="3" applyNumberFormat="1" applyFont="1" applyBorder="1"/>
    <xf numFmtId="37" fontId="12" fillId="0" borderId="0" xfId="0" applyNumberFormat="1" applyFont="1"/>
    <xf numFmtId="37" fontId="13" fillId="0" borderId="0" xfId="0" applyNumberFormat="1" applyFont="1" applyBorder="1"/>
    <xf numFmtId="37" fontId="9" fillId="0" borderId="0" xfId="0" applyNumberFormat="1" applyFont="1" applyBorder="1"/>
    <xf numFmtId="37" fontId="0" fillId="0" borderId="4" xfId="0" applyNumberFormat="1" applyBorder="1"/>
    <xf numFmtId="37" fontId="0" fillId="0" borderId="5" xfId="0" applyNumberFormat="1" applyBorder="1"/>
    <xf numFmtId="37" fontId="0" fillId="2" borderId="0" xfId="0" applyNumberFormat="1" applyFill="1" applyBorder="1"/>
    <xf numFmtId="37" fontId="0" fillId="2" borderId="2" xfId="0" applyNumberFormat="1" applyFill="1" applyBorder="1"/>
    <xf numFmtId="37" fontId="14" fillId="0" borderId="0" xfId="0" applyNumberFormat="1" applyFont="1" applyBorder="1"/>
    <xf numFmtId="37" fontId="0" fillId="0" borderId="3" xfId="0" applyNumberFormat="1" applyFill="1" applyBorder="1"/>
    <xf numFmtId="37" fontId="12" fillId="0" borderId="0" xfId="0" applyNumberFormat="1" applyFont="1" applyBorder="1"/>
    <xf numFmtId="37" fontId="11" fillId="0" borderId="0" xfId="0" applyNumberFormat="1" applyFont="1" applyBorder="1"/>
    <xf numFmtId="170" fontId="7" fillId="0" borderId="0" xfId="0" applyNumberFormat="1" applyFont="1"/>
    <xf numFmtId="14" fontId="0" fillId="0" borderId="0" xfId="0" applyNumberFormat="1" applyBorder="1"/>
    <xf numFmtId="10" fontId="0" fillId="0" borderId="0" xfId="3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right"/>
    </xf>
    <xf numFmtId="10" fontId="4" fillId="0" borderId="0" xfId="3" applyNumberFormat="1" applyFont="1" applyBorder="1" applyAlignment="1">
      <alignment horizontal="center"/>
    </xf>
    <xf numFmtId="0" fontId="18" fillId="0" borderId="0" xfId="0" applyFont="1"/>
    <xf numFmtId="165" fontId="0" fillId="0" borderId="0" xfId="0" applyNumberFormat="1"/>
    <xf numFmtId="37" fontId="15" fillId="0" borderId="3" xfId="0" applyNumberFormat="1" applyFont="1" applyBorder="1" applyAlignment="1">
      <alignment horizontal="center"/>
    </xf>
    <xf numFmtId="167" fontId="0" fillId="0" borderId="3" xfId="2" applyNumberFormat="1" applyFont="1" applyBorder="1"/>
    <xf numFmtId="167" fontId="0" fillId="0" borderId="6" xfId="2" applyNumberFormat="1" applyFont="1" applyBorder="1"/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18" fillId="0" borderId="0" xfId="0" applyFont="1" applyBorder="1"/>
    <xf numFmtId="14" fontId="2" fillId="0" borderId="0" xfId="0" applyNumberFormat="1" applyFont="1" applyBorder="1"/>
    <xf numFmtId="0" fontId="19" fillId="0" borderId="0" xfId="0" applyFont="1" applyBorder="1" applyAlignment="1">
      <alignment horizontal="right"/>
    </xf>
    <xf numFmtId="14" fontId="19" fillId="0" borderId="0" xfId="0" applyNumberFormat="1" applyFont="1" applyBorder="1"/>
    <xf numFmtId="0" fontId="0" fillId="0" borderId="0" xfId="0" applyBorder="1" applyAlignment="1">
      <alignment horizontal="right"/>
    </xf>
    <xf numFmtId="167" fontId="0" fillId="0" borderId="0" xfId="2" applyNumberFormat="1" applyFont="1" applyBorder="1"/>
    <xf numFmtId="0" fontId="3" fillId="0" borderId="0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1" fillId="0" borderId="0" xfId="0" applyFont="1" applyBorder="1"/>
    <xf numFmtId="0" fontId="0" fillId="0" borderId="0" xfId="0" applyAlignment="1">
      <alignment horizontal="center"/>
    </xf>
    <xf numFmtId="167" fontId="0" fillId="0" borderId="2" xfId="0" applyNumberFormat="1" applyBorder="1"/>
    <xf numFmtId="0" fontId="21" fillId="0" borderId="0" xfId="0" applyFont="1" applyAlignment="1">
      <alignment horizontal="center"/>
    </xf>
    <xf numFmtId="0" fontId="21" fillId="0" borderId="0" xfId="0" applyFont="1" applyBorder="1" applyAlignment="1">
      <alignment horizontal="center" wrapText="1"/>
    </xf>
    <xf numFmtId="167" fontId="21" fillId="0" borderId="0" xfId="2" applyNumberFormat="1" applyFont="1" applyAlignment="1">
      <alignment horizontal="center"/>
    </xf>
    <xf numFmtId="44" fontId="21" fillId="0" borderId="0" xfId="2" applyFont="1" applyAlignment="1">
      <alignment horizontal="center"/>
    </xf>
    <xf numFmtId="0" fontId="21" fillId="0" borderId="13" xfId="0" applyFont="1" applyBorder="1" applyAlignment="1">
      <alignment horizontal="center" wrapText="1"/>
    </xf>
    <xf numFmtId="167" fontId="21" fillId="0" borderId="13" xfId="2" applyNumberFormat="1" applyFont="1" applyBorder="1" applyAlignment="1">
      <alignment horizontal="center" wrapText="1"/>
    </xf>
    <xf numFmtId="44" fontId="21" fillId="0" borderId="13" xfId="2" applyFont="1" applyBorder="1" applyAlignment="1">
      <alignment horizontal="center" wrapText="1"/>
    </xf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 wrapText="1"/>
    </xf>
    <xf numFmtId="0" fontId="21" fillId="0" borderId="18" xfId="0" applyFont="1" applyBorder="1" applyAlignment="1">
      <alignment horizontal="center" wrapText="1"/>
    </xf>
    <xf numFmtId="0" fontId="21" fillId="0" borderId="19" xfId="0" applyFont="1" applyBorder="1" applyAlignment="1">
      <alignment horizontal="center"/>
    </xf>
    <xf numFmtId="165" fontId="21" fillId="0" borderId="17" xfId="1" applyNumberFormat="1" applyFont="1" applyBorder="1" applyAlignment="1">
      <alignment horizontal="center" wrapText="1"/>
    </xf>
    <xf numFmtId="37" fontId="22" fillId="0" borderId="0" xfId="0" applyNumberFormat="1" applyFont="1"/>
    <xf numFmtId="37" fontId="19" fillId="0" borderId="0" xfId="0" applyNumberFormat="1" applyFont="1"/>
    <xf numFmtId="37" fontId="19" fillId="3" borderId="0" xfId="0" applyNumberFormat="1" applyFont="1" applyFill="1" applyAlignment="1">
      <alignment horizontal="right"/>
    </xf>
    <xf numFmtId="37" fontId="19" fillId="3" borderId="0" xfId="0" applyNumberFormat="1" applyFont="1" applyFill="1" applyAlignment="1">
      <alignment horizontal="center"/>
    </xf>
    <xf numFmtId="14" fontId="19" fillId="3" borderId="0" xfId="0" applyNumberFormat="1" applyFont="1" applyFill="1" applyAlignment="1">
      <alignment horizontal="left"/>
    </xf>
    <xf numFmtId="14" fontId="5" fillId="0" borderId="0" xfId="0" applyNumberFormat="1" applyFont="1" applyFill="1" applyBorder="1" applyAlignment="1">
      <alignment horizontal="center"/>
    </xf>
    <xf numFmtId="37" fontId="5" fillId="0" borderId="0" xfId="0" applyNumberFormat="1" applyFont="1" applyFill="1" applyBorder="1" applyAlignment="1">
      <alignment horizontal="center"/>
    </xf>
    <xf numFmtId="14" fontId="19" fillId="3" borderId="0" xfId="0" applyNumberFormat="1" applyFont="1" applyFill="1" applyAlignment="1"/>
    <xf numFmtId="37" fontId="0" fillId="3" borderId="0" xfId="0" applyNumberFormat="1" applyFill="1" applyAlignment="1"/>
    <xf numFmtId="37" fontId="0" fillId="0" borderId="0" xfId="0" applyNumberFormat="1" applyFill="1" applyBorder="1" applyAlignment="1"/>
    <xf numFmtId="37" fontId="0" fillId="2" borderId="6" xfId="0" applyNumberFormat="1" applyFill="1" applyBorder="1"/>
    <xf numFmtId="0" fontId="3" fillId="0" borderId="0" xfId="0" applyFont="1"/>
    <xf numFmtId="37" fontId="3" fillId="0" borderId="0" xfId="0" applyNumberFormat="1" applyFont="1"/>
    <xf numFmtId="0" fontId="3" fillId="2" borderId="0" xfId="0" applyFont="1" applyFill="1"/>
    <xf numFmtId="37" fontId="3" fillId="2" borderId="0" xfId="0" applyNumberFormat="1" applyFont="1" applyFill="1"/>
    <xf numFmtId="37" fontId="0" fillId="0" borderId="0" xfId="0" applyNumberFormat="1" applyAlignment="1">
      <alignment horizontal="center"/>
    </xf>
    <xf numFmtId="37" fontId="23" fillId="0" borderId="0" xfId="0" applyNumberFormat="1" applyFont="1" applyBorder="1"/>
    <xf numFmtId="37" fontId="24" fillId="0" borderId="0" xfId="0" applyNumberFormat="1" applyFont="1" applyBorder="1"/>
    <xf numFmtId="37" fontId="7" fillId="0" borderId="20" xfId="0" applyNumberFormat="1" applyFont="1" applyBorder="1" applyAlignment="1">
      <alignment horizontal="center"/>
    </xf>
    <xf numFmtId="0" fontId="21" fillId="2" borderId="0" xfId="0" applyFont="1" applyFill="1"/>
    <xf numFmtId="165" fontId="0" fillId="2" borderId="0" xfId="0" applyNumberFormat="1" applyFill="1"/>
    <xf numFmtId="37" fontId="0" fillId="4" borderId="1" xfId="0" applyNumberFormat="1" applyFill="1" applyBorder="1" applyAlignment="1">
      <alignment horizontal="center"/>
    </xf>
    <xf numFmtId="37" fontId="0" fillId="4" borderId="21" xfId="0" applyNumberFormat="1" applyFill="1" applyBorder="1"/>
    <xf numFmtId="10" fontId="0" fillId="4" borderId="22" xfId="3" applyNumberFormat="1" applyFont="1" applyFill="1" applyBorder="1"/>
    <xf numFmtId="37" fontId="0" fillId="4" borderId="22" xfId="0" applyNumberFormat="1" applyFill="1" applyBorder="1"/>
    <xf numFmtId="37" fontId="0" fillId="4" borderId="23" xfId="0" applyNumberFormat="1" applyFill="1" applyBorder="1"/>
    <xf numFmtId="14" fontId="3" fillId="0" borderId="0" xfId="0" applyNumberFormat="1" applyFont="1"/>
    <xf numFmtId="37" fontId="0" fillId="0" borderId="24" xfId="0" applyNumberFormat="1" applyBorder="1"/>
    <xf numFmtId="37" fontId="0" fillId="0" borderId="25" xfId="0" applyNumberFormat="1" applyFill="1" applyBorder="1"/>
    <xf numFmtId="37" fontId="0" fillId="0" borderId="26" xfId="0" applyNumberFormat="1" applyBorder="1"/>
    <xf numFmtId="10" fontId="0" fillId="0" borderId="27" xfId="3" applyNumberFormat="1" applyFont="1" applyFill="1" applyBorder="1"/>
    <xf numFmtId="37" fontId="0" fillId="0" borderId="28" xfId="0" applyNumberFormat="1" applyBorder="1"/>
    <xf numFmtId="37" fontId="0" fillId="0" borderId="29" xfId="0" applyNumberFormat="1" applyFill="1" applyBorder="1"/>
    <xf numFmtId="179" fontId="21" fillId="0" borderId="0" xfId="2" applyNumberFormat="1" applyFont="1" applyBorder="1" applyAlignment="1">
      <alignment horizontal="center"/>
    </xf>
    <xf numFmtId="179" fontId="0" fillId="0" borderId="0" xfId="2" applyNumberFormat="1" applyFont="1" applyBorder="1" applyAlignment="1">
      <alignment horizontal="center"/>
    </xf>
    <xf numFmtId="179" fontId="21" fillId="0" borderId="30" xfId="2" applyNumberFormat="1" applyFont="1" applyBorder="1" applyAlignment="1">
      <alignment horizontal="center"/>
    </xf>
    <xf numFmtId="179" fontId="0" fillId="0" borderId="0" xfId="2" applyNumberFormat="1" applyFont="1"/>
    <xf numFmtId="44" fontId="0" fillId="0" borderId="27" xfId="2" applyFont="1" applyFill="1" applyBorder="1"/>
    <xf numFmtId="165" fontId="3" fillId="0" borderId="0" xfId="1" applyNumberFormat="1" applyFont="1"/>
    <xf numFmtId="0" fontId="0" fillId="0" borderId="0" xfId="0" applyFill="1" applyBorder="1" applyAlignment="1">
      <alignment horizontal="left"/>
    </xf>
    <xf numFmtId="43" fontId="0" fillId="0" borderId="0" xfId="1" applyFont="1"/>
    <xf numFmtId="167" fontId="0" fillId="0" borderId="0" xfId="0" applyNumberFormat="1" applyBorder="1"/>
    <xf numFmtId="37" fontId="4" fillId="0" borderId="0" xfId="0" applyNumberFormat="1" applyFont="1" applyFill="1" applyBorder="1" applyAlignment="1">
      <alignment horizontal="right"/>
    </xf>
    <xf numFmtId="37" fontId="5" fillId="0" borderId="0" xfId="0" applyNumberFormat="1" applyFont="1" applyFill="1" applyBorder="1" applyAlignment="1">
      <alignment horizontal="right"/>
    </xf>
    <xf numFmtId="165" fontId="25" fillId="0" borderId="0" xfId="1" applyNumberFormat="1" applyFont="1"/>
    <xf numFmtId="44" fontId="0" fillId="0" borderId="0" xfId="0" applyNumberFormat="1"/>
    <xf numFmtId="43" fontId="0" fillId="0" borderId="0" xfId="0" applyNumberFormat="1"/>
    <xf numFmtId="0" fontId="0" fillId="0" borderId="3" xfId="0" applyBorder="1" applyAlignment="1">
      <alignment horizontal="right" wrapText="1"/>
    </xf>
    <xf numFmtId="0" fontId="0" fillId="0" borderId="0" xfId="2" applyNumberFormat="1" applyFont="1"/>
    <xf numFmtId="37" fontId="5" fillId="3" borderId="3" xfId="0" applyNumberFormat="1" applyFont="1" applyFill="1" applyBorder="1" applyAlignment="1">
      <alignment horizontal="center"/>
    </xf>
    <xf numFmtId="37" fontId="5" fillId="3" borderId="3" xfId="0" applyNumberFormat="1" applyFont="1" applyFill="1" applyBorder="1" applyAlignment="1">
      <alignment horizontal="left"/>
    </xf>
    <xf numFmtId="37" fontId="0" fillId="0" borderId="19" xfId="0" applyNumberFormat="1" applyBorder="1" applyAlignment="1"/>
    <xf numFmtId="37" fontId="0" fillId="0" borderId="0" xfId="0" applyNumberFormat="1" applyAlignment="1">
      <alignment horizontal="left"/>
    </xf>
    <xf numFmtId="167" fontId="21" fillId="0" borderId="18" xfId="2" applyNumberFormat="1" applyFont="1" applyBorder="1" applyAlignment="1">
      <alignment horizontal="center" wrapText="1"/>
    </xf>
    <xf numFmtId="167" fontId="0" fillId="0" borderId="2" xfId="2" applyNumberFormat="1" applyFont="1" applyBorder="1"/>
    <xf numFmtId="172" fontId="21" fillId="0" borderId="0" xfId="0" applyNumberFormat="1" applyFont="1"/>
    <xf numFmtId="172" fontId="3" fillId="0" borderId="0" xfId="0" applyNumberFormat="1" applyFont="1"/>
    <xf numFmtId="172" fontId="21" fillId="0" borderId="31" xfId="0" applyNumberFormat="1" applyFont="1" applyBorder="1" applyAlignment="1">
      <alignment horizontal="right" wrapText="1"/>
    </xf>
    <xf numFmtId="172" fontId="0" fillId="0" borderId="0" xfId="0" applyNumberFormat="1"/>
    <xf numFmtId="14" fontId="21" fillId="0" borderId="0" xfId="0" applyNumberFormat="1" applyFont="1"/>
    <xf numFmtId="14" fontId="21" fillId="0" borderId="31" xfId="0" applyNumberFormat="1" applyFont="1" applyBorder="1" applyAlignment="1">
      <alignment horizontal="center"/>
    </xf>
    <xf numFmtId="172" fontId="21" fillId="0" borderId="0" xfId="0" applyNumberFormat="1" applyFont="1" applyAlignment="1">
      <alignment horizontal="center"/>
    </xf>
    <xf numFmtId="172" fontId="21" fillId="0" borderId="13" xfId="0" applyNumberFormat="1" applyFont="1" applyBorder="1" applyAlignment="1">
      <alignment horizontal="center" wrapText="1"/>
    </xf>
    <xf numFmtId="172" fontId="0" fillId="0" borderId="0" xfId="0" applyNumberFormat="1" applyAlignment="1">
      <alignment horizontal="center"/>
    </xf>
    <xf numFmtId="172" fontId="21" fillId="0" borderId="0" xfId="0" applyNumberFormat="1" applyFont="1" applyAlignment="1">
      <alignment horizontal="left"/>
    </xf>
    <xf numFmtId="37" fontId="0" fillId="0" borderId="2" xfId="0" applyNumberFormat="1" applyFill="1" applyBorder="1"/>
    <xf numFmtId="0" fontId="0" fillId="0" borderId="0" xfId="0" applyAlignment="1">
      <alignment horizontal="right"/>
    </xf>
    <xf numFmtId="169" fontId="0" fillId="0" borderId="0" xfId="3" applyNumberFormat="1" applyFont="1" applyAlignment="1">
      <alignment horizontal="left"/>
    </xf>
    <xf numFmtId="165" fontId="0" fillId="0" borderId="3" xfId="1" applyNumberFormat="1" applyFont="1" applyBorder="1"/>
    <xf numFmtId="165" fontId="0" fillId="0" borderId="6" xfId="0" applyNumberFormat="1" applyBorder="1"/>
    <xf numFmtId="44" fontId="0" fillId="0" borderId="3" xfId="2" applyFont="1" applyBorder="1" applyAlignment="1">
      <alignment horizontal="center"/>
    </xf>
    <xf numFmtId="169" fontId="0" fillId="0" borderId="0" xfId="3" applyNumberFormat="1" applyFont="1"/>
    <xf numFmtId="44" fontId="0" fillId="0" borderId="3" xfId="3" applyNumberFormat="1" applyFont="1" applyBorder="1"/>
    <xf numFmtId="37" fontId="3" fillId="0" borderId="3" xfId="0" applyNumberFormat="1" applyFont="1" applyBorder="1"/>
    <xf numFmtId="0" fontId="20" fillId="0" borderId="0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167" fontId="21" fillId="0" borderId="15" xfId="2" applyNumberFormat="1" applyFont="1" applyBorder="1" applyAlignment="1">
      <alignment horizontal="center" wrapText="1"/>
    </xf>
    <xf numFmtId="167" fontId="21" fillId="0" borderId="16" xfId="2" applyNumberFormat="1" applyFont="1" applyBorder="1" applyAlignment="1">
      <alignment horizontal="center" wrapText="1"/>
    </xf>
    <xf numFmtId="179" fontId="21" fillId="0" borderId="15" xfId="2" applyNumberFormat="1" applyFont="1" applyBorder="1" applyAlignment="1">
      <alignment horizontal="center"/>
    </xf>
    <xf numFmtId="179" fontId="21" fillId="0" borderId="16" xfId="2" applyNumberFormat="1" applyFont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37" fontId="4" fillId="0" borderId="13" xfId="0" applyNumberFormat="1" applyFont="1" applyFill="1" applyBorder="1" applyAlignment="1">
      <alignment horizontal="center"/>
    </xf>
    <xf numFmtId="37" fontId="5" fillId="3" borderId="0" xfId="0" applyNumberFormat="1" applyFont="1" applyFill="1" applyBorder="1" applyAlignment="1">
      <alignment horizontal="center"/>
    </xf>
    <xf numFmtId="37" fontId="0" fillId="0" borderId="8" xfId="0" applyNumberFormat="1" applyBorder="1" applyAlignment="1"/>
    <xf numFmtId="37" fontId="4" fillId="0" borderId="13" xfId="0" applyNumberFormat="1" applyFont="1" applyBorder="1" applyAlignment="1">
      <alignment horizontal="center"/>
    </xf>
    <xf numFmtId="37" fontId="5" fillId="3" borderId="3" xfId="0" applyNumberFormat="1" applyFont="1" applyFill="1" applyBorder="1" applyAlignment="1">
      <alignment horizontal="center"/>
    </xf>
    <xf numFmtId="37" fontId="0" fillId="0" borderId="26" xfId="0" applyNumberFormat="1" applyBorder="1" applyAlignment="1"/>
    <xf numFmtId="0" fontId="0" fillId="0" borderId="27" xfId="0" applyBorder="1" applyAlignment="1"/>
    <xf numFmtId="37" fontId="5" fillId="3" borderId="13" xfId="0" applyNumberFormat="1" applyFont="1" applyFill="1" applyBorder="1" applyAlignment="1">
      <alignment horizontal="center"/>
    </xf>
    <xf numFmtId="0" fontId="21" fillId="0" borderId="13" xfId="0" applyFont="1" applyBorder="1" applyAlignment="1">
      <alignment horizontal="center"/>
    </xf>
    <xf numFmtId="37" fontId="4" fillId="0" borderId="0" xfId="0" applyNumberFormat="1" applyFont="1" applyFill="1" applyBorder="1" applyAlignment="1">
      <alignment horizontal="right"/>
    </xf>
    <xf numFmtId="37" fontId="5" fillId="0" borderId="0" xfId="0" applyNumberFormat="1" applyFont="1" applyFill="1" applyBorder="1" applyAlignment="1">
      <alignment horizontal="right"/>
    </xf>
    <xf numFmtId="14" fontId="3" fillId="0" borderId="3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raptor1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PR Raptor"/>
    </sheetNames>
    <sheetDataSet>
      <sheetData sheetId="0">
        <row r="5">
          <cell r="C5">
            <v>36962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25"/>
  <sheetViews>
    <sheetView tabSelected="1" workbookViewId="0">
      <selection activeCell="E21" sqref="E21"/>
    </sheetView>
  </sheetViews>
  <sheetFormatPr defaultRowHeight="15.6" x14ac:dyDescent="0.3"/>
  <cols>
    <col min="2" max="2" width="30.8984375" bestFit="1" customWidth="1"/>
    <col min="3" max="5" width="15.59765625" customWidth="1"/>
  </cols>
  <sheetData>
    <row r="1" spans="1:6" x14ac:dyDescent="0.3">
      <c r="A1" s="53"/>
      <c r="B1" s="54"/>
      <c r="C1" s="54"/>
      <c r="D1" s="54"/>
      <c r="E1" s="54"/>
      <c r="F1" s="55"/>
    </row>
    <row r="2" spans="1:6" ht="17.399999999999999" x14ac:dyDescent="0.3">
      <c r="A2" s="56"/>
      <c r="B2" s="159" t="s">
        <v>193</v>
      </c>
      <c r="C2" s="159"/>
      <c r="D2" s="159"/>
      <c r="E2" s="159"/>
      <c r="F2" s="57"/>
    </row>
    <row r="3" spans="1:6" x14ac:dyDescent="0.3">
      <c r="A3" s="56"/>
      <c r="B3" s="58"/>
      <c r="C3" s="58"/>
      <c r="D3" s="58"/>
      <c r="E3" s="58"/>
      <c r="F3" s="57"/>
    </row>
    <row r="4" spans="1:6" x14ac:dyDescent="0.3">
      <c r="A4" s="56"/>
      <c r="B4" s="69" t="s">
        <v>0</v>
      </c>
      <c r="C4" s="58"/>
      <c r="D4" s="58"/>
      <c r="E4" s="58"/>
      <c r="F4" s="57"/>
    </row>
    <row r="5" spans="1:6" x14ac:dyDescent="0.3">
      <c r="A5" s="56"/>
      <c r="B5" s="58" t="s">
        <v>13</v>
      </c>
      <c r="C5" s="60">
        <f>+[1]Summary!$C$5</f>
        <v>36962</v>
      </c>
      <c r="D5" s="61" t="s">
        <v>16</v>
      </c>
      <c r="E5" s="62">
        <f>+C5-1</f>
        <v>36961</v>
      </c>
      <c r="F5" s="57"/>
    </row>
    <row r="6" spans="1:6" x14ac:dyDescent="0.3">
      <c r="A6" s="56"/>
      <c r="B6" s="58"/>
      <c r="C6" s="58"/>
      <c r="D6" s="58"/>
      <c r="E6" s="58"/>
      <c r="F6" s="57"/>
    </row>
    <row r="7" spans="1:6" x14ac:dyDescent="0.3">
      <c r="A7" s="56"/>
      <c r="B7" s="58"/>
      <c r="C7" s="58"/>
      <c r="D7" s="58"/>
      <c r="E7" s="58"/>
      <c r="F7" s="57"/>
    </row>
    <row r="8" spans="1:6" x14ac:dyDescent="0.3">
      <c r="A8" s="56"/>
      <c r="B8" s="69" t="s">
        <v>112</v>
      </c>
      <c r="C8" s="58"/>
      <c r="D8" s="58"/>
      <c r="E8" s="58"/>
      <c r="F8" s="57"/>
    </row>
    <row r="9" spans="1:6" x14ac:dyDescent="0.3">
      <c r="A9" s="56"/>
      <c r="B9" s="59"/>
      <c r="C9" s="58"/>
      <c r="D9" s="58"/>
      <c r="E9" s="58"/>
      <c r="F9" s="57"/>
    </row>
    <row r="10" spans="1:6" x14ac:dyDescent="0.3">
      <c r="A10" s="56"/>
      <c r="B10" s="58" t="s">
        <v>8</v>
      </c>
      <c r="C10" s="52" t="s">
        <v>7</v>
      </c>
      <c r="D10" s="52" t="s">
        <v>5</v>
      </c>
      <c r="E10" s="52" t="s">
        <v>6</v>
      </c>
      <c r="F10" s="57"/>
    </row>
    <row r="11" spans="1:6" x14ac:dyDescent="0.3">
      <c r="A11" s="56"/>
      <c r="B11" s="58"/>
      <c r="C11" s="63"/>
      <c r="D11" s="63"/>
      <c r="E11" s="63"/>
      <c r="F11" s="57"/>
    </row>
    <row r="12" spans="1:6" x14ac:dyDescent="0.3">
      <c r="A12" s="56"/>
      <c r="B12" s="58" t="s">
        <v>9</v>
      </c>
      <c r="C12" s="64">
        <f>+'Daily Position'!P7</f>
        <v>0</v>
      </c>
      <c r="D12" s="64">
        <f>+'Daily Position'!O7</f>
        <v>0</v>
      </c>
      <c r="E12" s="64">
        <f>+C12-D12</f>
        <v>0</v>
      </c>
      <c r="F12" s="57"/>
    </row>
    <row r="13" spans="1:6" x14ac:dyDescent="0.3">
      <c r="A13" s="56"/>
      <c r="B13" s="58" t="s">
        <v>10</v>
      </c>
      <c r="C13" s="50">
        <f>+C15-C12</f>
        <v>0</v>
      </c>
      <c r="D13" s="50">
        <f>+D15-D12</f>
        <v>0</v>
      </c>
      <c r="E13" s="50">
        <f>+E15-E12</f>
        <v>0</v>
      </c>
      <c r="F13" s="57"/>
    </row>
    <row r="14" spans="1:6" x14ac:dyDescent="0.3">
      <c r="A14" s="56"/>
      <c r="B14" s="58"/>
      <c r="C14" s="64"/>
      <c r="D14" s="64"/>
      <c r="E14" s="64"/>
      <c r="F14" s="57"/>
    </row>
    <row r="15" spans="1:6" ht="16.2" thickBot="1" x14ac:dyDescent="0.35">
      <c r="A15" s="56"/>
      <c r="B15" s="58" t="s">
        <v>11</v>
      </c>
      <c r="C15" s="51">
        <f>+'Daily Position'!N7</f>
        <v>0</v>
      </c>
      <c r="D15" s="51">
        <f>+'Daily Position'!M7</f>
        <v>0</v>
      </c>
      <c r="E15" s="51">
        <f>+C15-D15</f>
        <v>0</v>
      </c>
      <c r="F15" s="57"/>
    </row>
    <row r="16" spans="1:6" ht="16.2" thickTop="1" x14ac:dyDescent="0.3">
      <c r="A16" s="56"/>
      <c r="B16" s="58"/>
      <c r="C16" s="64"/>
      <c r="D16" s="64"/>
      <c r="E16" s="64"/>
      <c r="F16" s="57"/>
    </row>
    <row r="17" spans="1:6" x14ac:dyDescent="0.3">
      <c r="A17" s="56"/>
      <c r="B17" s="58"/>
      <c r="C17" s="58"/>
      <c r="D17" s="58"/>
      <c r="E17" s="58"/>
      <c r="F17" s="57"/>
    </row>
    <row r="18" spans="1:6" x14ac:dyDescent="0.3">
      <c r="A18" s="56"/>
      <c r="B18" s="58" t="s">
        <v>3</v>
      </c>
      <c r="C18" s="64">
        <f>IF(+Financials!P49&lt;0,"No Capacity Available",+Financials!P49)</f>
        <v>522376483.44370854</v>
      </c>
      <c r="D18" s="58"/>
      <c r="E18" s="58"/>
      <c r="F18" s="57"/>
    </row>
    <row r="19" spans="1:6" x14ac:dyDescent="0.3">
      <c r="A19" s="56"/>
      <c r="B19" s="58"/>
      <c r="C19" s="64"/>
      <c r="D19" s="58"/>
      <c r="E19" s="58"/>
      <c r="F19" s="57"/>
    </row>
    <row r="20" spans="1:6" x14ac:dyDescent="0.3">
      <c r="A20" s="56"/>
      <c r="B20" s="58"/>
      <c r="C20" s="64"/>
      <c r="D20" s="58"/>
      <c r="E20" s="58"/>
      <c r="F20" s="57"/>
    </row>
    <row r="21" spans="1:6" x14ac:dyDescent="0.3">
      <c r="A21" s="56"/>
      <c r="B21" s="58" t="s">
        <v>2</v>
      </c>
      <c r="C21" s="64">
        <f>+Financials!I37</f>
        <v>-198640541.98282489</v>
      </c>
      <c r="D21" s="58"/>
      <c r="E21" s="58"/>
      <c r="F21" s="57"/>
    </row>
    <row r="22" spans="1:6" x14ac:dyDescent="0.3">
      <c r="A22" s="56"/>
      <c r="B22" s="58"/>
      <c r="C22" s="64"/>
      <c r="D22" s="126"/>
      <c r="E22" s="58"/>
      <c r="F22" s="57"/>
    </row>
    <row r="23" spans="1:6" x14ac:dyDescent="0.3">
      <c r="A23" s="56"/>
      <c r="B23" s="58"/>
      <c r="C23" s="64"/>
      <c r="D23" s="58"/>
      <c r="E23" s="58"/>
      <c r="F23" s="57"/>
    </row>
    <row r="24" spans="1:6" x14ac:dyDescent="0.3">
      <c r="A24" s="56"/>
      <c r="B24" s="65" t="s">
        <v>117</v>
      </c>
      <c r="C24" s="64">
        <f>1500000000-'Daily Position'!I7</f>
        <v>1500000000</v>
      </c>
      <c r="D24" s="58"/>
      <c r="E24" s="58"/>
      <c r="F24" s="57"/>
    </row>
    <row r="25" spans="1:6" ht="16.2" thickBot="1" x14ac:dyDescent="0.35">
      <c r="A25" s="66"/>
      <c r="B25" s="67"/>
      <c r="C25" s="67"/>
      <c r="D25" s="67"/>
      <c r="E25" s="67"/>
      <c r="F25" s="68"/>
    </row>
  </sheetData>
  <mergeCells count="1">
    <mergeCell ref="B2:E2"/>
  </mergeCells>
  <phoneticPr fontId="0" type="noConversion"/>
  <pageMargins left="0.75" right="0.75" top="1" bottom="1" header="0.5" footer="0.5"/>
  <pageSetup scale="8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T1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0" sqref="E10"/>
    </sheetView>
  </sheetViews>
  <sheetFormatPr defaultRowHeight="15.6" x14ac:dyDescent="0.3"/>
  <cols>
    <col min="1" max="1" width="23.09765625" customWidth="1"/>
    <col min="2" max="2" width="7.8984375" style="148" customWidth="1"/>
    <col min="3" max="3" width="10.8984375" style="148" customWidth="1"/>
    <col min="4" max="4" width="6.5" style="70" customWidth="1"/>
    <col min="5" max="5" width="12.09765625" style="4" bestFit="1" customWidth="1"/>
    <col min="6" max="6" width="5.8984375" style="70" customWidth="1"/>
    <col min="7" max="7" width="11.09765625" style="2" bestFit="1" customWidth="1"/>
    <col min="8" max="8" width="15" style="3" customWidth="1"/>
    <col min="9" max="9" width="15.59765625" style="4" bestFit="1" customWidth="1"/>
    <col min="10" max="10" width="13.09765625" customWidth="1"/>
    <col min="11" max="11" width="7.8984375" style="143" customWidth="1"/>
    <col min="12" max="12" width="14.09765625" customWidth="1"/>
    <col min="13" max="13" width="11.59765625" customWidth="1"/>
    <col min="14" max="14" width="14.5" customWidth="1"/>
    <col min="15" max="15" width="12.59765625" customWidth="1"/>
    <col min="16" max="16" width="13.5" customWidth="1"/>
    <col min="17" max="17" width="13.3984375" customWidth="1"/>
    <col min="18" max="18" width="7.19921875" customWidth="1"/>
    <col min="19" max="19" width="14.59765625" bestFit="1" customWidth="1"/>
    <col min="20" max="20" width="17.59765625" bestFit="1" customWidth="1"/>
  </cols>
  <sheetData>
    <row r="1" spans="1:20" s="72" customFormat="1" x14ac:dyDescent="0.3">
      <c r="A1" s="72" t="s">
        <v>119</v>
      </c>
      <c r="B1" s="146" t="s">
        <v>120</v>
      </c>
      <c r="C1" s="146" t="s">
        <v>121</v>
      </c>
      <c r="D1" s="72" t="s">
        <v>123</v>
      </c>
      <c r="E1" s="74"/>
      <c r="F1" s="72" t="s">
        <v>125</v>
      </c>
      <c r="G1" s="75" t="s">
        <v>126</v>
      </c>
      <c r="H1" s="162" t="s">
        <v>127</v>
      </c>
      <c r="I1" s="163"/>
      <c r="J1" s="72" t="s">
        <v>128</v>
      </c>
      <c r="K1" s="146"/>
      <c r="L1" s="79" t="s">
        <v>130</v>
      </c>
      <c r="M1" s="83" t="s">
        <v>131</v>
      </c>
      <c r="N1" s="80" t="s">
        <v>132</v>
      </c>
      <c r="O1" s="160" t="s">
        <v>133</v>
      </c>
      <c r="P1" s="161"/>
      <c r="Q1" s="79" t="s">
        <v>133</v>
      </c>
      <c r="R1" s="83"/>
      <c r="S1" s="80"/>
    </row>
    <row r="2" spans="1:20" s="73" customFormat="1" ht="15" customHeight="1" thickBot="1" x14ac:dyDescent="0.35">
      <c r="A2" s="76" t="s">
        <v>134</v>
      </c>
      <c r="B2" s="147" t="s">
        <v>1</v>
      </c>
      <c r="C2" s="147" t="s">
        <v>1</v>
      </c>
      <c r="D2" s="76" t="s">
        <v>122</v>
      </c>
      <c r="E2" s="77" t="s">
        <v>17</v>
      </c>
      <c r="F2" s="76" t="s">
        <v>124</v>
      </c>
      <c r="G2" s="78" t="s">
        <v>43</v>
      </c>
      <c r="H2" s="84" t="s">
        <v>153</v>
      </c>
      <c r="I2" s="138" t="s">
        <v>129</v>
      </c>
      <c r="J2" s="76" t="s">
        <v>166</v>
      </c>
      <c r="K2" s="147" t="s">
        <v>118</v>
      </c>
      <c r="L2" s="81" t="s">
        <v>135</v>
      </c>
      <c r="M2" s="76" t="s">
        <v>135</v>
      </c>
      <c r="N2" s="82" t="s">
        <v>135</v>
      </c>
      <c r="O2" s="81" t="s">
        <v>5</v>
      </c>
      <c r="P2" s="82" t="s">
        <v>7</v>
      </c>
      <c r="Q2" s="76" t="s">
        <v>166</v>
      </c>
      <c r="R2" s="76" t="s">
        <v>178</v>
      </c>
      <c r="S2" s="82" t="s">
        <v>155</v>
      </c>
    </row>
    <row r="3" spans="1:20" x14ac:dyDescent="0.3">
      <c r="A3" s="124"/>
      <c r="J3" s="4"/>
      <c r="L3" s="4"/>
      <c r="M3" s="4"/>
      <c r="N3" s="5"/>
      <c r="P3" s="4"/>
      <c r="Q3" s="4"/>
      <c r="R3" s="133"/>
      <c r="S3" s="125"/>
    </row>
    <row r="4" spans="1:20" x14ac:dyDescent="0.3">
      <c r="A4" s="124"/>
      <c r="J4" s="4"/>
      <c r="L4" s="4"/>
      <c r="M4" s="4"/>
      <c r="N4" s="5"/>
      <c r="P4" s="4"/>
      <c r="Q4" s="4"/>
      <c r="R4" s="133"/>
      <c r="S4" s="125"/>
    </row>
    <row r="5" spans="1:20" x14ac:dyDescent="0.3">
      <c r="A5" s="124"/>
      <c r="J5" s="4"/>
      <c r="L5" s="4"/>
      <c r="M5" s="4"/>
      <c r="N5" s="5"/>
      <c r="P5" s="4"/>
      <c r="Q5" s="4"/>
      <c r="R5" s="133"/>
      <c r="S5" s="125"/>
    </row>
    <row r="7" spans="1:20" ht="16.2" thickBot="1" x14ac:dyDescent="0.35">
      <c r="B7" s="149" t="s">
        <v>15</v>
      </c>
      <c r="E7" s="71">
        <f>SUM(E3:E6)</f>
        <v>0</v>
      </c>
      <c r="I7" s="139">
        <f>SUM(I3:I6)</f>
        <v>0</v>
      </c>
      <c r="L7" s="71">
        <f>SUM(L3:L6)</f>
        <v>0</v>
      </c>
      <c r="M7" s="71">
        <f>SUM(M3:M6)</f>
        <v>0</v>
      </c>
      <c r="N7" s="71">
        <f>SUM(N3:N6)</f>
        <v>0</v>
      </c>
      <c r="O7" s="71">
        <f>SUM(O3:O6)</f>
        <v>0</v>
      </c>
      <c r="P7" s="71">
        <f>SUM(P3:P6)</f>
        <v>0</v>
      </c>
      <c r="Q7" s="126"/>
      <c r="R7" s="126"/>
      <c r="S7" s="71">
        <f>SUM(S3:S6)</f>
        <v>0</v>
      </c>
    </row>
    <row r="8" spans="1:20" ht="16.2" thickTop="1" x14ac:dyDescent="0.3"/>
    <row r="9" spans="1:20" x14ac:dyDescent="0.3">
      <c r="S9" s="5">
        <f>+I7+L7</f>
        <v>0</v>
      </c>
    </row>
    <row r="10" spans="1:20" x14ac:dyDescent="0.3">
      <c r="S10" s="130" t="e">
        <f>+S9-'MRP Raptor'!U92+SUM(#REF!)+(+#REF!+#REF!)/0.6*0.3612</f>
        <v>#REF!</v>
      </c>
    </row>
    <row r="11" spans="1:20" x14ac:dyDescent="0.3">
      <c r="S11" s="131" t="e">
        <f>+S10-S7</f>
        <v>#REF!</v>
      </c>
      <c r="T11" t="s">
        <v>177</v>
      </c>
    </row>
  </sheetData>
  <mergeCells count="2">
    <mergeCell ref="O1:P1"/>
    <mergeCell ref="H1:I1"/>
  </mergeCells>
  <phoneticPr fontId="0" type="noConversion"/>
  <pageMargins left="0.75" right="0.75" top="1" bottom="1" header="0.5" footer="0.5"/>
  <pageSetup paperSize="5"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18"/>
  <sheetViews>
    <sheetView workbookViewId="0">
      <pane ySplit="4" topLeftCell="A121" activePane="bottomLeft" state="frozen"/>
      <selection pane="bottomLeft" activeCell="A139" sqref="A139"/>
    </sheetView>
  </sheetViews>
  <sheetFormatPr defaultRowHeight="15.6" x14ac:dyDescent="0.3"/>
  <cols>
    <col min="1" max="1" width="10" style="1" bestFit="1" customWidth="1"/>
    <col min="2" max="2" width="9.69921875" style="121" bestFit="1" customWidth="1"/>
  </cols>
  <sheetData>
    <row r="1" spans="1:2" x14ac:dyDescent="0.3">
      <c r="A1" s="144" t="s">
        <v>148</v>
      </c>
      <c r="B1" s="118"/>
    </row>
    <row r="2" spans="1:2" x14ac:dyDescent="0.3">
      <c r="B2" s="119"/>
    </row>
    <row r="3" spans="1:2" x14ac:dyDescent="0.3">
      <c r="A3" s="164" t="s">
        <v>4</v>
      </c>
      <c r="B3" s="165"/>
    </row>
    <row r="4" spans="1:2" x14ac:dyDescent="0.3">
      <c r="A4" s="145" t="s">
        <v>1</v>
      </c>
      <c r="B4" s="120" t="s">
        <v>12</v>
      </c>
    </row>
    <row r="5" spans="1:2" x14ac:dyDescent="0.3">
      <c r="A5" s="1">
        <v>36769</v>
      </c>
      <c r="B5" s="121">
        <v>84.875</v>
      </c>
    </row>
    <row r="6" spans="1:2" x14ac:dyDescent="0.3">
      <c r="A6" s="1">
        <v>36770</v>
      </c>
      <c r="B6" s="121">
        <v>85.328000000000003</v>
      </c>
    </row>
    <row r="7" spans="1:2" x14ac:dyDescent="0.3">
      <c r="A7" s="1">
        <v>36774</v>
      </c>
      <c r="B7" s="121">
        <v>85</v>
      </c>
    </row>
    <row r="8" spans="1:2" x14ac:dyDescent="0.3">
      <c r="A8" s="1">
        <v>36775</v>
      </c>
      <c r="B8" s="121">
        <v>84.375</v>
      </c>
    </row>
    <row r="9" spans="1:2" x14ac:dyDescent="0.3">
      <c r="A9" s="1">
        <v>36776</v>
      </c>
      <c r="B9" s="121">
        <v>83.875</v>
      </c>
    </row>
    <row r="10" spans="1:2" x14ac:dyDescent="0.3">
      <c r="A10" s="1">
        <v>36777</v>
      </c>
      <c r="B10" s="121">
        <v>84.218999999999994</v>
      </c>
    </row>
    <row r="11" spans="1:2" x14ac:dyDescent="0.3">
      <c r="A11" s="1">
        <v>36780</v>
      </c>
      <c r="B11" s="121">
        <v>86.016000000000005</v>
      </c>
    </row>
    <row r="12" spans="1:2" x14ac:dyDescent="0.3">
      <c r="A12" s="1">
        <v>36781</v>
      </c>
      <c r="B12" s="121">
        <v>86.125</v>
      </c>
    </row>
    <row r="13" spans="1:2" x14ac:dyDescent="0.3">
      <c r="A13" s="1">
        <v>36782</v>
      </c>
      <c r="B13" s="121">
        <v>86.688000000000002</v>
      </c>
    </row>
    <row r="14" spans="1:2" x14ac:dyDescent="0.3">
      <c r="A14" s="1">
        <v>36783</v>
      </c>
      <c r="B14" s="121">
        <v>86.703000000000003</v>
      </c>
    </row>
    <row r="15" spans="1:2" x14ac:dyDescent="0.3">
      <c r="A15" s="1">
        <v>36784</v>
      </c>
      <c r="B15" s="121">
        <v>89.438000000000002</v>
      </c>
    </row>
    <row r="16" spans="1:2" x14ac:dyDescent="0.3">
      <c r="A16" s="1">
        <v>36787</v>
      </c>
      <c r="B16" s="121">
        <v>89.625</v>
      </c>
    </row>
    <row r="17" spans="1:2" x14ac:dyDescent="0.3">
      <c r="A17" s="1">
        <v>36788</v>
      </c>
      <c r="B17" s="121">
        <v>84.875</v>
      </c>
    </row>
    <row r="18" spans="1:2" x14ac:dyDescent="0.3">
      <c r="A18" s="1">
        <v>36789</v>
      </c>
      <c r="B18" s="121">
        <v>82.171999999999997</v>
      </c>
    </row>
    <row r="19" spans="1:2" x14ac:dyDescent="0.3">
      <c r="A19" s="1">
        <v>36790</v>
      </c>
      <c r="B19" s="121">
        <v>80.75</v>
      </c>
    </row>
    <row r="20" spans="1:2" x14ac:dyDescent="0.3">
      <c r="A20" s="1">
        <v>36791</v>
      </c>
      <c r="B20" s="121">
        <v>83</v>
      </c>
    </row>
    <row r="21" spans="1:2" x14ac:dyDescent="0.3">
      <c r="A21" s="1">
        <v>36794</v>
      </c>
      <c r="B21" s="121">
        <v>84.438000000000002</v>
      </c>
    </row>
    <row r="22" spans="1:2" x14ac:dyDescent="0.3">
      <c r="A22" s="1">
        <v>36795</v>
      </c>
      <c r="B22" s="121">
        <v>85.5</v>
      </c>
    </row>
    <row r="23" spans="1:2" x14ac:dyDescent="0.3">
      <c r="A23" s="1">
        <v>36796</v>
      </c>
      <c r="B23" s="121">
        <v>87.453000000000003</v>
      </c>
    </row>
    <row r="24" spans="1:2" x14ac:dyDescent="0.3">
      <c r="A24" s="1">
        <v>36797</v>
      </c>
      <c r="B24" s="121">
        <v>89.25</v>
      </c>
    </row>
    <row r="25" spans="1:2" x14ac:dyDescent="0.3">
      <c r="A25" s="1">
        <v>36798</v>
      </c>
      <c r="B25" s="121">
        <v>87.641000000000005</v>
      </c>
    </row>
    <row r="26" spans="1:2" x14ac:dyDescent="0.3">
      <c r="A26" s="1">
        <v>36801</v>
      </c>
      <c r="B26" s="121">
        <v>86.438000000000002</v>
      </c>
    </row>
    <row r="27" spans="1:2" x14ac:dyDescent="0.3">
      <c r="A27" s="1">
        <v>36802</v>
      </c>
      <c r="B27" s="121">
        <v>85.563000000000002</v>
      </c>
    </row>
    <row r="28" spans="1:2" x14ac:dyDescent="0.3">
      <c r="A28" s="1">
        <v>36803</v>
      </c>
      <c r="B28" s="121">
        <v>83.063000000000002</v>
      </c>
    </row>
    <row r="29" spans="1:2" x14ac:dyDescent="0.3">
      <c r="A29" s="1">
        <v>36804</v>
      </c>
      <c r="B29" s="121">
        <v>83</v>
      </c>
    </row>
    <row r="30" spans="1:2" x14ac:dyDescent="0.3">
      <c r="A30" s="1">
        <v>36805</v>
      </c>
      <c r="B30" s="121">
        <v>81.625</v>
      </c>
    </row>
    <row r="31" spans="1:2" x14ac:dyDescent="0.3">
      <c r="A31" s="1">
        <v>36808</v>
      </c>
      <c r="B31" s="121">
        <v>83</v>
      </c>
    </row>
    <row r="32" spans="1:2" x14ac:dyDescent="0.3">
      <c r="A32" s="1">
        <v>36809</v>
      </c>
      <c r="B32" s="121">
        <v>81.688000000000002</v>
      </c>
    </row>
    <row r="33" spans="1:2" x14ac:dyDescent="0.3">
      <c r="A33" s="1">
        <v>36810</v>
      </c>
      <c r="B33" s="121">
        <v>82.813000000000002</v>
      </c>
    </row>
    <row r="34" spans="1:2" x14ac:dyDescent="0.3">
      <c r="A34" s="1">
        <v>36811</v>
      </c>
      <c r="B34" s="121">
        <v>79.875</v>
      </c>
    </row>
    <row r="35" spans="1:2" x14ac:dyDescent="0.3">
      <c r="A35" s="1">
        <v>36812</v>
      </c>
      <c r="B35" s="121">
        <v>79.5</v>
      </c>
    </row>
    <row r="36" spans="1:2" x14ac:dyDescent="0.3">
      <c r="A36" s="143">
        <v>36815</v>
      </c>
      <c r="B36" s="121">
        <v>80</v>
      </c>
    </row>
    <row r="37" spans="1:2" x14ac:dyDescent="0.3">
      <c r="A37" s="143">
        <v>36816</v>
      </c>
      <c r="B37" s="121">
        <v>79.188000000000002</v>
      </c>
    </row>
    <row r="38" spans="1:2" x14ac:dyDescent="0.3">
      <c r="A38" s="143">
        <v>36817</v>
      </c>
      <c r="B38" s="121">
        <v>78.75</v>
      </c>
    </row>
    <row r="39" spans="1:2" x14ac:dyDescent="0.3">
      <c r="A39" s="143">
        <v>36818</v>
      </c>
      <c r="B39" s="121">
        <v>79</v>
      </c>
    </row>
    <row r="40" spans="1:2" x14ac:dyDescent="0.3">
      <c r="A40" s="143">
        <v>36819</v>
      </c>
      <c r="B40" s="121">
        <v>80.5</v>
      </c>
    </row>
    <row r="41" spans="1:2" x14ac:dyDescent="0.3">
      <c r="A41" s="143">
        <v>36822</v>
      </c>
      <c r="B41" s="121">
        <v>82</v>
      </c>
    </row>
    <row r="42" spans="1:2" x14ac:dyDescent="0.3">
      <c r="A42" s="143">
        <v>36823</v>
      </c>
      <c r="B42" s="121">
        <v>80.1875</v>
      </c>
    </row>
    <row r="43" spans="1:2" x14ac:dyDescent="0.3">
      <c r="A43" s="143">
        <v>36824</v>
      </c>
      <c r="B43" s="121">
        <v>76.125</v>
      </c>
    </row>
    <row r="44" spans="1:2" x14ac:dyDescent="0.3">
      <c r="A44" s="143">
        <v>36825</v>
      </c>
      <c r="B44" s="121">
        <v>77.5</v>
      </c>
    </row>
    <row r="45" spans="1:2" x14ac:dyDescent="0.3">
      <c r="A45" s="143">
        <v>36826</v>
      </c>
      <c r="B45" s="121">
        <v>78.875</v>
      </c>
    </row>
    <row r="46" spans="1:2" x14ac:dyDescent="0.3">
      <c r="A46" s="143">
        <v>36829</v>
      </c>
      <c r="B46" s="121">
        <v>80.688000000000002</v>
      </c>
    </row>
    <row r="47" spans="1:2" x14ac:dyDescent="0.3">
      <c r="A47" s="143">
        <v>36830</v>
      </c>
      <c r="B47" s="121">
        <v>82.063000000000002</v>
      </c>
    </row>
    <row r="48" spans="1:2" x14ac:dyDescent="0.3">
      <c r="A48" s="143">
        <v>36831</v>
      </c>
      <c r="B48" s="121">
        <v>83.25</v>
      </c>
    </row>
    <row r="49" spans="1:2" x14ac:dyDescent="0.3">
      <c r="A49" s="143">
        <v>36832</v>
      </c>
      <c r="B49" s="121">
        <v>81.75</v>
      </c>
    </row>
    <row r="50" spans="1:2" x14ac:dyDescent="0.3">
      <c r="A50" s="143">
        <v>36833</v>
      </c>
      <c r="B50" s="121">
        <v>77.375</v>
      </c>
    </row>
    <row r="51" spans="1:2" x14ac:dyDescent="0.3">
      <c r="A51" s="143">
        <v>36836</v>
      </c>
      <c r="B51" s="121">
        <v>81.563000000000002</v>
      </c>
    </row>
    <row r="52" spans="1:2" x14ac:dyDescent="0.3">
      <c r="A52" s="143">
        <v>36837</v>
      </c>
      <c r="B52" s="121">
        <v>81.813000000000002</v>
      </c>
    </row>
    <row r="53" spans="1:2" x14ac:dyDescent="0.3">
      <c r="A53" s="143">
        <v>36838</v>
      </c>
      <c r="B53" s="121">
        <v>82.125</v>
      </c>
    </row>
    <row r="54" spans="1:2" x14ac:dyDescent="0.3">
      <c r="A54" s="143">
        <v>36839</v>
      </c>
      <c r="B54" s="121">
        <v>82.938000000000002</v>
      </c>
    </row>
    <row r="55" spans="1:2" x14ac:dyDescent="0.3">
      <c r="A55" s="143">
        <v>36840</v>
      </c>
      <c r="B55" s="121">
        <f>82+0.9375</f>
        <v>82.9375</v>
      </c>
    </row>
    <row r="56" spans="1:2" x14ac:dyDescent="0.3">
      <c r="A56" s="143">
        <v>36843</v>
      </c>
      <c r="B56" s="121">
        <v>79.438000000000002</v>
      </c>
    </row>
    <row r="57" spans="1:2" x14ac:dyDescent="0.3">
      <c r="A57" s="143">
        <v>36844</v>
      </c>
      <c r="B57" s="121">
        <v>79.563000000000002</v>
      </c>
    </row>
    <row r="58" spans="1:2" x14ac:dyDescent="0.3">
      <c r="A58" s="143">
        <v>36845</v>
      </c>
      <c r="B58" s="121">
        <v>80.375</v>
      </c>
    </row>
    <row r="59" spans="1:2" x14ac:dyDescent="0.3">
      <c r="A59" s="143">
        <v>36846</v>
      </c>
      <c r="B59" s="121">
        <v>81.25</v>
      </c>
    </row>
    <row r="60" spans="1:2" x14ac:dyDescent="0.3">
      <c r="A60" s="143">
        <v>36847</v>
      </c>
      <c r="B60" s="121">
        <v>81.5</v>
      </c>
    </row>
    <row r="61" spans="1:2" x14ac:dyDescent="0.3">
      <c r="A61" s="143">
        <v>36850</v>
      </c>
      <c r="B61" s="121">
        <v>80.25</v>
      </c>
    </row>
    <row r="62" spans="1:2" x14ac:dyDescent="0.3">
      <c r="A62" s="143">
        <v>36851</v>
      </c>
      <c r="B62" s="121">
        <v>80.375</v>
      </c>
    </row>
    <row r="63" spans="1:2" x14ac:dyDescent="0.3">
      <c r="A63" s="143">
        <v>36852</v>
      </c>
      <c r="B63" s="121">
        <v>75.563000000000002</v>
      </c>
    </row>
    <row r="64" spans="1:2" x14ac:dyDescent="0.3">
      <c r="A64" s="143">
        <v>36854</v>
      </c>
      <c r="B64" s="121">
        <v>77.75</v>
      </c>
    </row>
    <row r="65" spans="1:2" x14ac:dyDescent="0.3">
      <c r="A65" s="143">
        <v>36857</v>
      </c>
      <c r="B65" s="121">
        <v>78.875</v>
      </c>
    </row>
    <row r="66" spans="1:2" x14ac:dyDescent="0.3">
      <c r="A66" s="143">
        <v>36858</v>
      </c>
      <c r="B66" s="121">
        <v>78.438000000000002</v>
      </c>
    </row>
    <row r="67" spans="1:2" x14ac:dyDescent="0.3">
      <c r="A67" s="143">
        <v>36859</v>
      </c>
      <c r="B67" s="121">
        <v>70.25</v>
      </c>
    </row>
    <row r="68" spans="1:2" x14ac:dyDescent="0.3">
      <c r="A68" s="143">
        <v>36860</v>
      </c>
      <c r="B68" s="121">
        <v>64.75</v>
      </c>
    </row>
    <row r="69" spans="1:2" x14ac:dyDescent="0.3">
      <c r="A69" s="143">
        <v>36861</v>
      </c>
      <c r="B69" s="121">
        <v>65.5</v>
      </c>
    </row>
    <row r="70" spans="1:2" x14ac:dyDescent="0.3">
      <c r="A70" s="143">
        <v>36864</v>
      </c>
      <c r="B70" s="121">
        <v>65.938000000000002</v>
      </c>
    </row>
    <row r="71" spans="1:2" x14ac:dyDescent="0.3">
      <c r="A71" s="143">
        <v>36865</v>
      </c>
      <c r="B71" s="121">
        <v>68.25</v>
      </c>
    </row>
    <row r="72" spans="1:2" x14ac:dyDescent="0.3">
      <c r="A72" s="143">
        <v>36866</v>
      </c>
      <c r="B72" s="121">
        <v>71.938000000000002</v>
      </c>
    </row>
    <row r="73" spans="1:2" x14ac:dyDescent="0.3">
      <c r="A73" s="143">
        <v>36867</v>
      </c>
      <c r="B73" s="121">
        <v>72.875</v>
      </c>
    </row>
    <row r="74" spans="1:2" x14ac:dyDescent="0.3">
      <c r="A74" s="143">
        <v>36868</v>
      </c>
      <c r="B74" s="121">
        <v>73.063000000000002</v>
      </c>
    </row>
    <row r="75" spans="1:2" x14ac:dyDescent="0.3">
      <c r="A75" s="143">
        <v>36871</v>
      </c>
      <c r="B75" s="121">
        <v>76.5</v>
      </c>
    </row>
    <row r="76" spans="1:2" x14ac:dyDescent="0.3">
      <c r="A76" s="143">
        <v>36872</v>
      </c>
      <c r="B76" s="121">
        <v>77.188000000000002</v>
      </c>
    </row>
    <row r="77" spans="1:2" x14ac:dyDescent="0.3">
      <c r="A77" s="143">
        <v>36873</v>
      </c>
      <c r="B77" s="121">
        <v>74.5</v>
      </c>
    </row>
    <row r="78" spans="1:2" x14ac:dyDescent="0.3">
      <c r="A78" s="143">
        <v>36874</v>
      </c>
      <c r="B78" s="121">
        <v>76.5</v>
      </c>
    </row>
    <row r="79" spans="1:2" x14ac:dyDescent="0.3">
      <c r="A79" s="143">
        <v>36875</v>
      </c>
      <c r="B79" s="121">
        <v>77.563000000000002</v>
      </c>
    </row>
    <row r="80" spans="1:2" x14ac:dyDescent="0.3">
      <c r="A80" s="143">
        <v>36878</v>
      </c>
      <c r="B80" s="121">
        <v>79.563000000000002</v>
      </c>
    </row>
    <row r="81" spans="1:2" x14ac:dyDescent="0.3">
      <c r="A81" s="143">
        <v>36879</v>
      </c>
      <c r="B81" s="121">
        <v>79.75</v>
      </c>
    </row>
    <row r="82" spans="1:2" x14ac:dyDescent="0.3">
      <c r="A82" s="143">
        <v>36880</v>
      </c>
      <c r="B82" s="121">
        <v>79.75</v>
      </c>
    </row>
    <row r="83" spans="1:2" x14ac:dyDescent="0.3">
      <c r="A83" s="143">
        <v>36881</v>
      </c>
      <c r="B83" s="121">
        <v>79.313000000000002</v>
      </c>
    </row>
    <row r="84" spans="1:2" x14ac:dyDescent="0.3">
      <c r="A84" s="143">
        <v>36882</v>
      </c>
      <c r="B84" s="121">
        <v>81.188000000000002</v>
      </c>
    </row>
    <row r="85" spans="1:2" x14ac:dyDescent="0.3">
      <c r="A85" s="143">
        <v>36886</v>
      </c>
      <c r="B85" s="121">
        <v>83.5</v>
      </c>
    </row>
    <row r="86" spans="1:2" x14ac:dyDescent="0.3">
      <c r="A86" s="143">
        <v>36887</v>
      </c>
      <c r="B86" s="121">
        <v>82.813000000000002</v>
      </c>
    </row>
    <row r="87" spans="1:2" x14ac:dyDescent="0.3">
      <c r="A87" s="143">
        <v>36888</v>
      </c>
      <c r="B87" s="121">
        <v>84.625</v>
      </c>
    </row>
    <row r="88" spans="1:2" x14ac:dyDescent="0.3">
      <c r="A88" s="143">
        <v>36889</v>
      </c>
      <c r="B88" s="121">
        <v>83.125</v>
      </c>
    </row>
    <row r="89" spans="1:2" x14ac:dyDescent="0.3">
      <c r="A89" s="143">
        <v>36893</v>
      </c>
      <c r="B89" s="121">
        <v>79.875</v>
      </c>
    </row>
    <row r="90" spans="1:2" x14ac:dyDescent="0.3">
      <c r="A90" s="143">
        <v>36894</v>
      </c>
      <c r="B90" s="121">
        <v>75.063000000000002</v>
      </c>
    </row>
    <row r="91" spans="1:2" x14ac:dyDescent="0.3">
      <c r="A91" s="143">
        <v>36895</v>
      </c>
      <c r="B91" s="121">
        <v>72</v>
      </c>
    </row>
    <row r="92" spans="1:2" x14ac:dyDescent="0.3">
      <c r="A92" s="143">
        <v>36896</v>
      </c>
      <c r="B92" s="121">
        <v>71.375</v>
      </c>
    </row>
    <row r="93" spans="1:2" x14ac:dyDescent="0.3">
      <c r="A93" s="143">
        <v>36899</v>
      </c>
      <c r="B93" s="121">
        <v>71.25</v>
      </c>
    </row>
    <row r="94" spans="1:2" x14ac:dyDescent="0.3">
      <c r="A94" s="143">
        <v>36900</v>
      </c>
      <c r="B94" s="121">
        <v>68.625</v>
      </c>
    </row>
    <row r="95" spans="1:2" x14ac:dyDescent="0.3">
      <c r="A95" s="143">
        <v>36901</v>
      </c>
      <c r="B95" s="121">
        <v>68.938000000000002</v>
      </c>
    </row>
    <row r="96" spans="1:2" x14ac:dyDescent="0.3">
      <c r="A96" s="143">
        <v>36902</v>
      </c>
      <c r="B96" s="121">
        <v>69.438000000000002</v>
      </c>
    </row>
    <row r="97" spans="1:2" x14ac:dyDescent="0.3">
      <c r="A97" s="143">
        <v>36903</v>
      </c>
      <c r="B97" s="121">
        <v>70.438000000000002</v>
      </c>
    </row>
    <row r="98" spans="1:2" x14ac:dyDescent="0.3">
      <c r="A98" s="143">
        <v>36907</v>
      </c>
      <c r="B98" s="121">
        <v>68.438000000000002</v>
      </c>
    </row>
    <row r="99" spans="1:2" x14ac:dyDescent="0.3">
      <c r="A99" s="143">
        <v>36908</v>
      </c>
      <c r="B99" s="121">
        <v>71.125</v>
      </c>
    </row>
    <row r="100" spans="1:2" x14ac:dyDescent="0.3">
      <c r="A100" s="143">
        <v>36909</v>
      </c>
      <c r="B100" s="121">
        <v>72.063000000000002</v>
      </c>
    </row>
    <row r="101" spans="1:2" x14ac:dyDescent="0.3">
      <c r="A101" s="143">
        <v>36910</v>
      </c>
      <c r="B101" s="121">
        <v>70.875</v>
      </c>
    </row>
    <row r="102" spans="1:2" x14ac:dyDescent="0.3">
      <c r="A102" s="143">
        <v>36913</v>
      </c>
      <c r="B102" s="121">
        <v>75.0625</v>
      </c>
    </row>
    <row r="103" spans="1:2" x14ac:dyDescent="0.3">
      <c r="A103" s="143">
        <v>36914</v>
      </c>
      <c r="B103" s="121">
        <v>78.563000000000002</v>
      </c>
    </row>
    <row r="104" spans="1:2" x14ac:dyDescent="0.3">
      <c r="A104" s="143">
        <v>36915</v>
      </c>
      <c r="B104" s="121">
        <v>79.75</v>
      </c>
    </row>
    <row r="105" spans="1:2" x14ac:dyDescent="0.3">
      <c r="A105" s="143">
        <v>36916</v>
      </c>
      <c r="B105" s="121">
        <v>82</v>
      </c>
    </row>
    <row r="106" spans="1:2" x14ac:dyDescent="0.3">
      <c r="A106" s="143">
        <v>36917</v>
      </c>
      <c r="B106" s="121">
        <v>82</v>
      </c>
    </row>
    <row r="107" spans="1:2" x14ac:dyDescent="0.3">
      <c r="A107" s="143">
        <v>36920</v>
      </c>
      <c r="B107" s="121">
        <v>80.77</v>
      </c>
    </row>
    <row r="108" spans="1:2" x14ac:dyDescent="0.3">
      <c r="A108" s="143">
        <v>36921</v>
      </c>
      <c r="B108" s="121">
        <v>78.5</v>
      </c>
    </row>
    <row r="109" spans="1:2" x14ac:dyDescent="0.3">
      <c r="A109" s="143">
        <v>36922</v>
      </c>
      <c r="B109" s="121">
        <v>80</v>
      </c>
    </row>
    <row r="110" spans="1:2" x14ac:dyDescent="0.3">
      <c r="A110" s="143">
        <v>36923</v>
      </c>
      <c r="B110" s="121">
        <v>78.790000000000006</v>
      </c>
    </row>
    <row r="111" spans="1:2" x14ac:dyDescent="0.3">
      <c r="A111" s="143">
        <v>36924</v>
      </c>
      <c r="B111" s="121">
        <v>79.98</v>
      </c>
    </row>
    <row r="112" spans="1:2" x14ac:dyDescent="0.3">
      <c r="A112" s="143">
        <v>36927</v>
      </c>
      <c r="B112" s="121">
        <v>81.81</v>
      </c>
    </row>
    <row r="113" spans="1:2" x14ac:dyDescent="0.3">
      <c r="A113" s="143">
        <v>36928</v>
      </c>
      <c r="B113" s="121">
        <v>80.150000000000006</v>
      </c>
    </row>
    <row r="114" spans="1:2" x14ac:dyDescent="0.3">
      <c r="A114" s="143">
        <v>36929</v>
      </c>
      <c r="B114" s="121">
        <v>80.349999999999994</v>
      </c>
    </row>
    <row r="115" spans="1:2" x14ac:dyDescent="0.3">
      <c r="A115" s="143">
        <v>36930</v>
      </c>
      <c r="B115" s="121">
        <v>80</v>
      </c>
    </row>
    <row r="116" spans="1:2" x14ac:dyDescent="0.3">
      <c r="A116" s="143">
        <v>36931</v>
      </c>
      <c r="B116" s="121">
        <v>80.2</v>
      </c>
    </row>
    <row r="117" spans="1:2" x14ac:dyDescent="0.3">
      <c r="A117" s="143">
        <v>36934</v>
      </c>
      <c r="B117" s="121">
        <f>79.8</f>
        <v>79.8</v>
      </c>
    </row>
    <row r="118" spans="1:2" x14ac:dyDescent="0.3">
      <c r="A118" s="143">
        <v>36935</v>
      </c>
      <c r="B118" s="121">
        <v>81.150000000000006</v>
      </c>
    </row>
    <row r="119" spans="1:2" x14ac:dyDescent="0.3">
      <c r="A119" s="143">
        <v>36936</v>
      </c>
      <c r="B119" s="121">
        <v>80</v>
      </c>
    </row>
    <row r="120" spans="1:2" x14ac:dyDescent="0.3">
      <c r="A120" s="143">
        <v>36937</v>
      </c>
      <c r="B120" s="121">
        <v>77.900000000000006</v>
      </c>
    </row>
    <row r="121" spans="1:2" x14ac:dyDescent="0.3">
      <c r="A121" s="143">
        <v>36938</v>
      </c>
      <c r="B121" s="121">
        <v>76.19</v>
      </c>
    </row>
    <row r="122" spans="1:2" x14ac:dyDescent="0.3">
      <c r="A122" s="143">
        <v>36942</v>
      </c>
      <c r="B122" s="121">
        <v>75.09</v>
      </c>
    </row>
    <row r="123" spans="1:2" x14ac:dyDescent="0.3">
      <c r="A123" s="143">
        <v>36943</v>
      </c>
      <c r="B123" s="121">
        <v>73.09</v>
      </c>
    </row>
    <row r="124" spans="1:2" x14ac:dyDescent="0.3">
      <c r="A124" s="143">
        <v>36944</v>
      </c>
      <c r="B124" s="121">
        <f>72.15</f>
        <v>72.150000000000006</v>
      </c>
    </row>
    <row r="125" spans="1:2" x14ac:dyDescent="0.3">
      <c r="A125" s="143">
        <v>36945</v>
      </c>
      <c r="B125" s="121">
        <v>71</v>
      </c>
    </row>
    <row r="126" spans="1:2" x14ac:dyDescent="0.3">
      <c r="A126" s="143">
        <v>36948</v>
      </c>
      <c r="B126" s="121">
        <v>70.56</v>
      </c>
    </row>
    <row r="127" spans="1:2" x14ac:dyDescent="0.3">
      <c r="A127" s="143">
        <v>36949</v>
      </c>
      <c r="B127" s="121">
        <v>70.040000000000006</v>
      </c>
    </row>
    <row r="128" spans="1:2" x14ac:dyDescent="0.3">
      <c r="A128" s="143">
        <v>36950</v>
      </c>
      <c r="B128" s="121">
        <v>68.5</v>
      </c>
    </row>
    <row r="129" spans="1:2" x14ac:dyDescent="0.3">
      <c r="A129" s="143">
        <v>36951</v>
      </c>
      <c r="B129" s="121">
        <v>68.680000000000007</v>
      </c>
    </row>
    <row r="130" spans="1:2" x14ac:dyDescent="0.3">
      <c r="A130" s="143">
        <v>36952</v>
      </c>
      <c r="B130" s="121">
        <v>70.19</v>
      </c>
    </row>
    <row r="131" spans="1:2" x14ac:dyDescent="0.3">
      <c r="A131" s="143">
        <v>36955</v>
      </c>
      <c r="B131" s="121">
        <v>70.11</v>
      </c>
    </row>
    <row r="132" spans="1:2" x14ac:dyDescent="0.3">
      <c r="A132" s="143">
        <v>36956</v>
      </c>
      <c r="B132" s="121">
        <v>68.87</v>
      </c>
    </row>
    <row r="133" spans="1:2" x14ac:dyDescent="0.3">
      <c r="A133" s="143">
        <v>36957</v>
      </c>
      <c r="B133" s="121">
        <v>70</v>
      </c>
    </row>
    <row r="134" spans="1:2" x14ac:dyDescent="0.3">
      <c r="A134" s="143">
        <v>36958</v>
      </c>
      <c r="B134" s="121">
        <v>70.59</v>
      </c>
    </row>
    <row r="135" spans="1:2" x14ac:dyDescent="0.3">
      <c r="A135" s="143">
        <v>36959</v>
      </c>
      <c r="B135" s="121">
        <v>68.84</v>
      </c>
    </row>
    <row r="136" spans="1:2" x14ac:dyDescent="0.3">
      <c r="A136" s="143">
        <v>36962</v>
      </c>
      <c r="B136" s="121">
        <v>61.27</v>
      </c>
    </row>
    <row r="258" ht="14.25" customHeight="1" x14ac:dyDescent="0.3"/>
    <row r="375" spans="1:2" x14ac:dyDescent="0.3">
      <c r="A375" s="1" t="s">
        <v>154</v>
      </c>
    </row>
    <row r="378" spans="1:2" x14ac:dyDescent="0.3">
      <c r="B378"/>
    </row>
    <row r="379" spans="1:2" x14ac:dyDescent="0.3">
      <c r="B379"/>
    </row>
    <row r="380" spans="1:2" x14ac:dyDescent="0.3">
      <c r="B380"/>
    </row>
    <row r="381" spans="1:2" x14ac:dyDescent="0.3">
      <c r="B381"/>
    </row>
    <row r="382" spans="1:2" x14ac:dyDescent="0.3">
      <c r="B382"/>
    </row>
    <row r="383" spans="1:2" x14ac:dyDescent="0.3">
      <c r="B383"/>
    </row>
    <row r="384" spans="1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</sheetData>
  <mergeCells count="1">
    <mergeCell ref="A3:B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4"/>
  <sheetViews>
    <sheetView workbookViewId="0">
      <selection activeCell="A5" sqref="A5"/>
    </sheetView>
  </sheetViews>
  <sheetFormatPr defaultRowHeight="15.6" x14ac:dyDescent="0.3"/>
  <cols>
    <col min="1" max="1" width="8.69921875" style="143" customWidth="1"/>
  </cols>
  <sheetData>
    <row r="1" spans="1:1" x14ac:dyDescent="0.3">
      <c r="A1" s="140" t="s">
        <v>148</v>
      </c>
    </row>
    <row r="2" spans="1:1" s="96" customFormat="1" x14ac:dyDescent="0.3">
      <c r="A2" s="141"/>
    </row>
    <row r="3" spans="1:1" s="132" customFormat="1" x14ac:dyDescent="0.3">
      <c r="A3" s="142" t="s">
        <v>1</v>
      </c>
    </row>
    <row r="257" ht="14.25" customHeight="1" x14ac:dyDescent="0.3"/>
    <row r="374" spans="1:1" x14ac:dyDescent="0.3">
      <c r="A374" s="143" t="s">
        <v>154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T61"/>
  <sheetViews>
    <sheetView showGridLines="0" topLeftCell="G3" workbookViewId="0">
      <selection activeCell="H3" sqref="H3:I3"/>
    </sheetView>
  </sheetViews>
  <sheetFormatPr defaultColWidth="9" defaultRowHeight="15.6" x14ac:dyDescent="0.3"/>
  <cols>
    <col min="1" max="1" width="23.5" style="7" customWidth="1"/>
    <col min="2" max="2" width="12.09765625" style="7" bestFit="1" customWidth="1"/>
    <col min="3" max="3" width="3" style="7" customWidth="1"/>
    <col min="4" max="4" width="15.59765625" style="7" customWidth="1"/>
    <col min="5" max="5" width="13.5" style="7" customWidth="1"/>
    <col min="6" max="6" width="1.69921875" style="13" bestFit="1" customWidth="1"/>
    <col min="7" max="7" width="2" style="7" customWidth="1"/>
    <col min="8" max="8" width="41.8984375" style="7" bestFit="1" customWidth="1"/>
    <col min="9" max="9" width="16.59765625" style="14" bestFit="1" customWidth="1"/>
    <col min="10" max="10" width="1.69921875" style="7" bestFit="1" customWidth="1"/>
    <col min="11" max="11" width="1.5" style="13" customWidth="1"/>
    <col min="12" max="12" width="24.19921875" style="7" customWidth="1"/>
    <col min="13" max="13" width="11.5" style="7" bestFit="1" customWidth="1"/>
    <col min="14" max="14" width="3.5" style="7" customWidth="1"/>
    <col min="15" max="15" width="15.3984375" style="7" bestFit="1" customWidth="1"/>
    <col min="16" max="16" width="12.69921875" style="7" customWidth="1"/>
    <col min="17" max="17" width="3.19921875" style="13" bestFit="1" customWidth="1"/>
    <col min="18" max="18" width="12.3984375" style="7" customWidth="1"/>
    <col min="19" max="19" width="10.09765625" style="7" customWidth="1"/>
    <col min="20" max="20" width="10.69921875" style="7" customWidth="1"/>
    <col min="21" max="21" width="10.5" style="7" customWidth="1"/>
    <col min="22" max="22" width="11.09765625" style="7" customWidth="1"/>
    <col min="23" max="23" width="12.5" style="7" customWidth="1"/>
    <col min="24" max="16384" width="9" style="7"/>
  </cols>
  <sheetData>
    <row r="1" spans="1:18" x14ac:dyDescent="0.3">
      <c r="A1" s="6" t="s">
        <v>78</v>
      </c>
    </row>
    <row r="2" spans="1:18" x14ac:dyDescent="0.3">
      <c r="A2" s="7" t="s">
        <v>188</v>
      </c>
      <c r="H2" s="166">
        <f>+Summary!C5</f>
        <v>36962</v>
      </c>
      <c r="I2" s="166"/>
      <c r="J2" s="90"/>
      <c r="L2" s="166">
        <f>H2</f>
        <v>36962</v>
      </c>
      <c r="M2" s="166"/>
      <c r="N2" s="166"/>
      <c r="O2" s="166"/>
      <c r="P2" s="166"/>
    </row>
    <row r="3" spans="1:18" ht="16.2" thickBot="1" x14ac:dyDescent="0.35">
      <c r="A3" s="1">
        <v>36769</v>
      </c>
      <c r="H3" s="167" t="s">
        <v>91</v>
      </c>
      <c r="I3" s="167"/>
      <c r="J3" s="91"/>
      <c r="L3" s="167" t="s">
        <v>91</v>
      </c>
      <c r="M3" s="167"/>
      <c r="N3" s="167"/>
      <c r="O3" s="167"/>
      <c r="P3" s="167"/>
    </row>
    <row r="4" spans="1:18" x14ac:dyDescent="0.3">
      <c r="A4" s="168" t="s">
        <v>190</v>
      </c>
      <c r="B4" s="168"/>
      <c r="C4" s="168"/>
      <c r="D4" s="168"/>
      <c r="E4" s="168"/>
      <c r="F4" s="168"/>
      <c r="H4" s="112" t="s">
        <v>92</v>
      </c>
      <c r="I4" s="113"/>
      <c r="J4" s="13"/>
    </row>
    <row r="5" spans="1:18" ht="16.2" thickBot="1" x14ac:dyDescent="0.35">
      <c r="A5" s="170" t="s">
        <v>28</v>
      </c>
      <c r="B5" s="170"/>
      <c r="D5" s="170" t="s">
        <v>29</v>
      </c>
      <c r="E5" s="170"/>
      <c r="H5" s="114" t="s">
        <v>93</v>
      </c>
      <c r="I5" s="122">
        <f>+VLOOKUP(+Summary!C5,ene,2)</f>
        <v>61.27</v>
      </c>
      <c r="J5" s="13"/>
      <c r="L5" s="168" t="s">
        <v>113</v>
      </c>
      <c r="M5" s="168"/>
      <c r="N5" s="168"/>
      <c r="O5" s="168"/>
      <c r="P5" s="168"/>
      <c r="Q5" s="91"/>
    </row>
    <row r="6" spans="1:18" x14ac:dyDescent="0.3">
      <c r="A6" s="7" t="s">
        <v>30</v>
      </c>
      <c r="B6" s="7">
        <f>E6+E9+E10-B35</f>
        <v>71001000</v>
      </c>
      <c r="D6" s="7" t="s">
        <v>31</v>
      </c>
      <c r="E6" s="7">
        <v>41000000</v>
      </c>
      <c r="F6" s="15" t="s">
        <v>32</v>
      </c>
      <c r="H6" s="114" t="s">
        <v>94</v>
      </c>
      <c r="I6" s="115">
        <f>+'Cash-Int-Trans'!F43</f>
        <v>6.9283333333333322E-2</v>
      </c>
      <c r="J6" s="13"/>
      <c r="L6" s="87" t="s">
        <v>136</v>
      </c>
      <c r="M6" s="92">
        <f>H2</f>
        <v>36962</v>
      </c>
      <c r="N6" s="93"/>
      <c r="O6" s="93"/>
      <c r="P6" s="93"/>
      <c r="Q6" s="94"/>
    </row>
    <row r="7" spans="1:18" ht="16.2" thickBot="1" x14ac:dyDescent="0.35">
      <c r="A7" s="7" t="s">
        <v>33</v>
      </c>
      <c r="B7" s="7">
        <v>50000000</v>
      </c>
      <c r="D7" s="7" t="s">
        <v>34</v>
      </c>
      <c r="E7" s="7">
        <f>B11-E6-E9-E10</f>
        <v>400000000</v>
      </c>
      <c r="H7" s="172" t="s">
        <v>149</v>
      </c>
      <c r="I7" s="173"/>
      <c r="J7" s="13"/>
      <c r="L7" s="170" t="s">
        <v>28</v>
      </c>
      <c r="M7" s="170"/>
      <c r="O7" s="170" t="s">
        <v>29</v>
      </c>
      <c r="P7" s="170"/>
    </row>
    <row r="8" spans="1:18" x14ac:dyDescent="0.3">
      <c r="A8" s="7" t="s">
        <v>36</v>
      </c>
      <c r="B8" s="7">
        <f>B18</f>
        <v>350000000</v>
      </c>
      <c r="C8" s="18" t="s">
        <v>37</v>
      </c>
      <c r="H8" s="116" t="s">
        <v>150</v>
      </c>
      <c r="I8" s="117"/>
      <c r="J8" s="13"/>
      <c r="L8" s="7" t="s">
        <v>35</v>
      </c>
      <c r="M8" s="7">
        <f>+'Cash-Int-Trans'!B35</f>
        <v>35360629.816454068</v>
      </c>
      <c r="O8" s="7" t="s">
        <v>101</v>
      </c>
      <c r="P8" s="7">
        <f>+E6-'Cash-Int-Trans'!B4+'Cash-Int-Trans'!B8</f>
        <v>0</v>
      </c>
      <c r="Q8" s="17"/>
    </row>
    <row r="9" spans="1:18" x14ac:dyDescent="0.3">
      <c r="D9" s="7" t="s">
        <v>38</v>
      </c>
      <c r="E9" s="14">
        <f>30000000</f>
        <v>30000000</v>
      </c>
      <c r="F9" s="19" t="s">
        <v>39</v>
      </c>
      <c r="H9" s="13"/>
      <c r="I9" s="16"/>
      <c r="J9" s="13"/>
      <c r="L9" s="7" t="s">
        <v>33</v>
      </c>
      <c r="M9" s="7">
        <f>+B7-Amort!B24</f>
        <v>50000000</v>
      </c>
      <c r="O9" s="7" t="s">
        <v>111</v>
      </c>
      <c r="P9" s="7">
        <f>IF(I21&gt;0,0,-I21)</f>
        <v>0</v>
      </c>
    </row>
    <row r="10" spans="1:18" x14ac:dyDescent="0.3">
      <c r="D10" s="7" t="s">
        <v>4</v>
      </c>
      <c r="E10" s="7">
        <v>1000</v>
      </c>
      <c r="H10" s="171" t="s">
        <v>95</v>
      </c>
      <c r="I10" s="171"/>
      <c r="J10" s="13"/>
      <c r="L10" s="7" t="s">
        <v>36</v>
      </c>
      <c r="M10" s="7">
        <f>B8+I15+I20</f>
        <v>0</v>
      </c>
      <c r="N10" s="18"/>
      <c r="O10" s="7" t="s">
        <v>222</v>
      </c>
      <c r="P10" s="7">
        <f>IF(I19&lt;0,-I19,0)</f>
        <v>0</v>
      </c>
    </row>
    <row r="11" spans="1:18" ht="16.2" thickBot="1" x14ac:dyDescent="0.35">
      <c r="A11" s="85" t="s">
        <v>7</v>
      </c>
      <c r="B11" s="12">
        <f>SUM(B6:B10)</f>
        <v>471001000</v>
      </c>
      <c r="C11" s="20" t="s">
        <v>41</v>
      </c>
      <c r="D11" s="85" t="s">
        <v>7</v>
      </c>
      <c r="E11" s="12">
        <f>SUM(E6:E10)</f>
        <v>471001000</v>
      </c>
      <c r="F11" s="17"/>
      <c r="H11" s="88" t="s">
        <v>137</v>
      </c>
      <c r="I11" s="89">
        <f>H2</f>
        <v>36962</v>
      </c>
      <c r="J11" s="13"/>
      <c r="L11" s="7" t="s">
        <v>40</v>
      </c>
      <c r="M11" s="7">
        <f>+Amort!B28</f>
        <v>116666.66666666667</v>
      </c>
      <c r="O11" s="7" t="s">
        <v>34</v>
      </c>
      <c r="P11" s="7">
        <f>E7-I16+'Cash-Int-Trans'!B9</f>
        <v>421581796.31594563</v>
      </c>
      <c r="R11" s="3"/>
    </row>
    <row r="12" spans="1:18" ht="16.2" thickTop="1" x14ac:dyDescent="0.3">
      <c r="H12" s="13" t="s">
        <v>107</v>
      </c>
      <c r="I12" s="16">
        <f>+'Cash-Int-Trans'!B6</f>
        <v>34518969</v>
      </c>
      <c r="J12" s="29" t="s">
        <v>81</v>
      </c>
    </row>
    <row r="13" spans="1:18" x14ac:dyDescent="0.3">
      <c r="A13" s="21" t="s">
        <v>42</v>
      </c>
      <c r="D13" s="22" t="s">
        <v>14</v>
      </c>
      <c r="E13" s="22" t="s">
        <v>43</v>
      </c>
      <c r="F13" s="23"/>
      <c r="H13" s="13" t="s">
        <v>108</v>
      </c>
      <c r="I13" s="16">
        <f>+'Cash-Int-Trans'!B38</f>
        <v>3069591.5942318537</v>
      </c>
      <c r="J13" s="29"/>
      <c r="L13" s="7" t="s">
        <v>225</v>
      </c>
      <c r="M13" s="7">
        <f>IF(I19&gt;0,I19,0)</f>
        <v>137464957.84999999</v>
      </c>
      <c r="O13" s="7" t="s">
        <v>38</v>
      </c>
      <c r="P13" s="7">
        <f>IF(+I25+I36+'Cash-Int-Trans'!D70-'Cash-Int-Trans'!D69&gt;'Cash-Int-Trans'!D70,'Cash-Int-Trans'!D70,IF(+I25+I36+'Cash-Int-Trans'!D70&lt;0,0,+I25+I36+'Cash-Int-Trans'!D70-'Cash-Int-Trans'!D69))</f>
        <v>0</v>
      </c>
      <c r="Q13" s="102" t="s">
        <v>143</v>
      </c>
    </row>
    <row r="14" spans="1:18" x14ac:dyDescent="0.3">
      <c r="C14" s="24"/>
      <c r="D14" s="25"/>
      <c r="E14" s="26"/>
      <c r="H14" s="13" t="s">
        <v>181</v>
      </c>
      <c r="I14" s="16">
        <f>+Amort!B29</f>
        <v>1876388.888888889</v>
      </c>
      <c r="J14" s="13"/>
      <c r="L14" s="7" t="s">
        <v>116</v>
      </c>
      <c r="M14" s="7">
        <f>IF(I21&gt;0,I21,0)</f>
        <v>0</v>
      </c>
      <c r="O14" s="7" t="s">
        <v>4</v>
      </c>
      <c r="P14" s="7">
        <f>M15-SUM(P8:P13)</f>
        <v>-198639541.98282489</v>
      </c>
    </row>
    <row r="15" spans="1:18" ht="16.2" thickBot="1" x14ac:dyDescent="0.35">
      <c r="A15" s="7" t="s">
        <v>45</v>
      </c>
      <c r="B15" s="27">
        <f>D15*E15</f>
        <v>536923069.375</v>
      </c>
      <c r="D15" s="28">
        <v>6326045</v>
      </c>
      <c r="E15" s="26">
        <v>84.875</v>
      </c>
      <c r="H15" s="13" t="s">
        <v>180</v>
      </c>
      <c r="I15" s="16">
        <f>-B17*(H2-A3)/(3*365)</f>
        <v>32946257.889840182</v>
      </c>
      <c r="J15" s="32" t="s">
        <v>53</v>
      </c>
      <c r="L15" s="85" t="s">
        <v>7</v>
      </c>
      <c r="M15" s="12">
        <f>SUM(M8:M14)</f>
        <v>222942254.33312073</v>
      </c>
      <c r="N15" s="20"/>
      <c r="O15" s="85" t="s">
        <v>7</v>
      </c>
      <c r="P15" s="12">
        <f>SUM(P8:P14)</f>
        <v>222942254.33312073</v>
      </c>
      <c r="Q15" s="101" t="s">
        <v>142</v>
      </c>
    </row>
    <row r="16" spans="1:18" ht="16.2" thickTop="1" x14ac:dyDescent="0.3">
      <c r="A16" s="7" t="s">
        <v>47</v>
      </c>
      <c r="B16" s="7">
        <f>SUM(B14:B15)</f>
        <v>536923069.375</v>
      </c>
      <c r="H16" s="13" t="s">
        <v>171</v>
      </c>
      <c r="I16" s="39">
        <f>-'Cash-Int-Trans'!B53</f>
        <v>-15100765.315945622</v>
      </c>
      <c r="J16" s="13"/>
      <c r="P16" s="7">
        <f>M15-P15</f>
        <v>0</v>
      </c>
      <c r="Q16" s="17" t="str">
        <f>IF(ROUND(P16,0)=0,"","8/31/00 Balance Sheet does not Balance!")</f>
        <v/>
      </c>
    </row>
    <row r="17" spans="1:20" x14ac:dyDescent="0.3">
      <c r="A17" s="7" t="s">
        <v>49</v>
      </c>
      <c r="B17" s="7">
        <f>350000000-B16</f>
        <v>-186923069.375</v>
      </c>
      <c r="C17" s="31" t="s">
        <v>50</v>
      </c>
      <c r="D17" s="152">
        <f>1-350000000/B16</f>
        <v>0.34813752665272135</v>
      </c>
      <c r="I17" s="7">
        <f>SUM(I12:I16)</f>
        <v>57310442.0570153</v>
      </c>
      <c r="L17" s="135" t="s">
        <v>44</v>
      </c>
      <c r="M17" s="134"/>
      <c r="N17" s="134"/>
      <c r="O17" s="134"/>
      <c r="P17" s="134"/>
      <c r="Q17" s="16"/>
    </row>
    <row r="18" spans="1:20" ht="16.2" thickBot="1" x14ac:dyDescent="0.35">
      <c r="A18" s="7" t="s">
        <v>52</v>
      </c>
      <c r="B18" s="12">
        <f>B16+B17</f>
        <v>350000000</v>
      </c>
      <c r="C18" s="18" t="s">
        <v>37</v>
      </c>
      <c r="I18" s="7"/>
      <c r="L18" s="136" t="s">
        <v>46</v>
      </c>
      <c r="M18" s="136"/>
      <c r="P18" s="7">
        <f>M15</f>
        <v>222942254.33312073</v>
      </c>
      <c r="Q18" s="101" t="s">
        <v>142</v>
      </c>
    </row>
    <row r="19" spans="1:20" ht="16.2" thickTop="1" x14ac:dyDescent="0.3">
      <c r="H19" s="7" t="s">
        <v>221</v>
      </c>
      <c r="I19" s="7">
        <f>IF(I5&lt;83,(83-I5)*(D14+D15),IF(I5&gt;112.418,(112.418-I5)*(+D14+D15),0))</f>
        <v>137464957.84999999</v>
      </c>
      <c r="L19" s="7" t="s">
        <v>192</v>
      </c>
      <c r="P19" s="7">
        <v>1000000</v>
      </c>
      <c r="T19" s="137"/>
    </row>
    <row r="20" spans="1:20" ht="16.2" thickBot="1" x14ac:dyDescent="0.35">
      <c r="A20" s="174" t="s">
        <v>56</v>
      </c>
      <c r="B20" s="174"/>
      <c r="C20" s="174"/>
      <c r="D20" s="174"/>
      <c r="E20" s="174"/>
      <c r="H20" s="7" t="s">
        <v>211</v>
      </c>
      <c r="I20" s="14">
        <f>-Shares!D30</f>
        <v>-382946257.88984019</v>
      </c>
      <c r="J20" s="13"/>
      <c r="L20" s="7" t="s">
        <v>179</v>
      </c>
      <c r="M20" s="86">
        <f>IF(P8=0,0,+D23*D24)</f>
        <v>0</v>
      </c>
      <c r="N20" s="86"/>
      <c r="O20" s="86">
        <f>-P8</f>
        <v>0</v>
      </c>
      <c r="P20" s="7">
        <f>+M20+O20</f>
        <v>0</v>
      </c>
    </row>
    <row r="21" spans="1:20" x14ac:dyDescent="0.3">
      <c r="A21" s="169" t="s">
        <v>46</v>
      </c>
      <c r="B21" s="169"/>
      <c r="E21" s="7">
        <f>B11</f>
        <v>471001000</v>
      </c>
      <c r="F21" s="33" t="s">
        <v>41</v>
      </c>
      <c r="H21" s="7" t="s">
        <v>109</v>
      </c>
      <c r="I21" s="7">
        <f>+'Daily Position'!L7</f>
        <v>0</v>
      </c>
      <c r="K21" s="7"/>
      <c r="L21" s="7" t="s">
        <v>141</v>
      </c>
      <c r="M21" s="86"/>
      <c r="N21" s="86"/>
      <c r="O21" s="86"/>
      <c r="P21" s="27">
        <f>+M21+O21</f>
        <v>0</v>
      </c>
    </row>
    <row r="22" spans="1:20" x14ac:dyDescent="0.3">
      <c r="A22" s="7" t="s">
        <v>189</v>
      </c>
      <c r="E22" s="7">
        <v>1000000</v>
      </c>
      <c r="H22" s="7" t="s">
        <v>110</v>
      </c>
      <c r="I22" s="27">
        <f>+'Daily Position'!M7</f>
        <v>0</v>
      </c>
      <c r="J22" s="13"/>
      <c r="K22" s="7"/>
      <c r="L22" s="7" t="s">
        <v>140</v>
      </c>
      <c r="P22" s="7">
        <f>SUM(P18:P21)</f>
        <v>223942254.33312073</v>
      </c>
    </row>
    <row r="23" spans="1:20" x14ac:dyDescent="0.3">
      <c r="A23" s="7" t="s">
        <v>58</v>
      </c>
      <c r="B23" s="7" t="s">
        <v>14</v>
      </c>
      <c r="D23" s="7">
        <v>7120901</v>
      </c>
      <c r="H23"/>
      <c r="I23" s="35">
        <f>SUM(I19:I22)</f>
        <v>-245481300.03984019</v>
      </c>
      <c r="J23" s="13"/>
      <c r="L23" s="7" t="s">
        <v>48</v>
      </c>
      <c r="P23" s="30">
        <f>E28</f>
        <v>3.0200000000000001E-2</v>
      </c>
    </row>
    <row r="24" spans="1:20" x14ac:dyDescent="0.3">
      <c r="A24" s="7" t="s">
        <v>61</v>
      </c>
      <c r="B24" s="7" t="s">
        <v>62</v>
      </c>
      <c r="D24" s="26">
        <f>78+0.6953125</f>
        <v>78.6953125</v>
      </c>
      <c r="E24" s="27">
        <f>D23*D24</f>
        <v>560381529.4765625</v>
      </c>
      <c r="H24" s="98"/>
      <c r="I24" s="99"/>
      <c r="J24" s="38" t="s">
        <v>60</v>
      </c>
      <c r="L24" s="7" t="s">
        <v>51</v>
      </c>
      <c r="P24" s="7">
        <f>P22*P23</f>
        <v>6763056.080860246</v>
      </c>
    </row>
    <row r="25" spans="1:20" ht="16.2" thickBot="1" x14ac:dyDescent="0.35">
      <c r="A25" s="7" t="s">
        <v>64</v>
      </c>
      <c r="E25" s="3">
        <f>SUM(E21:E24)</f>
        <v>1032382529.4765625</v>
      </c>
      <c r="H25" s="36" t="s">
        <v>59</v>
      </c>
      <c r="I25" s="95">
        <f>I23+I17</f>
        <v>-188170857.98282489</v>
      </c>
      <c r="J25" s="13"/>
      <c r="L25" s="7" t="s">
        <v>54</v>
      </c>
      <c r="P25" s="7">
        <f>P13</f>
        <v>0</v>
      </c>
      <c r="Q25" s="102" t="s">
        <v>143</v>
      </c>
    </row>
    <row r="26" spans="1:20" ht="16.2" thickTop="1" x14ac:dyDescent="0.3">
      <c r="A26" s="7" t="s">
        <v>65</v>
      </c>
      <c r="E26" s="27">
        <f>E6</f>
        <v>41000000</v>
      </c>
      <c r="F26" s="15" t="s">
        <v>32</v>
      </c>
      <c r="H26" s="134" t="s">
        <v>96</v>
      </c>
      <c r="I26" s="134"/>
      <c r="J26" s="13"/>
      <c r="K26" s="7"/>
      <c r="L26" s="34" t="s">
        <v>55</v>
      </c>
      <c r="M26" s="35"/>
      <c r="N26" s="35"/>
      <c r="O26" s="35"/>
      <c r="P26" s="103" t="str">
        <f>IF(P25&gt;=P24,"Test Passed","Test Failed")</f>
        <v>Test Failed</v>
      </c>
      <c r="Q26" s="102"/>
    </row>
    <row r="27" spans="1:20" x14ac:dyDescent="0.3">
      <c r="E27" s="7">
        <f>E25-E26</f>
        <v>991382529.4765625</v>
      </c>
      <c r="H27" s="13" t="s">
        <v>66</v>
      </c>
      <c r="I27" s="16"/>
      <c r="J27" s="19" t="s">
        <v>39</v>
      </c>
      <c r="L27" s="13" t="s">
        <v>57</v>
      </c>
      <c r="M27" s="13"/>
      <c r="N27" s="13"/>
      <c r="O27" s="13"/>
      <c r="P27" s="13">
        <f>P25-P24</f>
        <v>-6763056.080860246</v>
      </c>
    </row>
    <row r="28" spans="1:20" x14ac:dyDescent="0.3">
      <c r="A28" s="7" t="s">
        <v>48</v>
      </c>
      <c r="E28" s="30">
        <v>3.0200000000000001E-2</v>
      </c>
      <c r="H28" s="13" t="s">
        <v>68</v>
      </c>
      <c r="I28" s="16">
        <f>E9</f>
        <v>30000000</v>
      </c>
      <c r="J28" s="40" t="s">
        <v>50</v>
      </c>
      <c r="L28" s="36" t="s">
        <v>106</v>
      </c>
      <c r="M28" s="36"/>
      <c r="N28" s="36"/>
      <c r="O28" s="36"/>
      <c r="P28" s="36">
        <f>IF(P27&lt;0,0,P27/P23)</f>
        <v>0</v>
      </c>
    </row>
    <row r="29" spans="1:20" x14ac:dyDescent="0.3">
      <c r="A29" s="7" t="s">
        <v>51</v>
      </c>
      <c r="E29" s="7">
        <f>E27*E28</f>
        <v>29939752.390192188</v>
      </c>
      <c r="H29" s="13" t="s">
        <v>70</v>
      </c>
      <c r="I29" s="39">
        <f>-B17</f>
        <v>186923069.375</v>
      </c>
      <c r="J29" s="13"/>
    </row>
    <row r="30" spans="1:20" x14ac:dyDescent="0.3">
      <c r="A30" s="7" t="s">
        <v>54</v>
      </c>
      <c r="E30" s="7">
        <f>E9</f>
        <v>30000000</v>
      </c>
      <c r="F30" s="19" t="s">
        <v>39</v>
      </c>
      <c r="H30" s="13" t="s">
        <v>71</v>
      </c>
      <c r="I30" s="16">
        <f>SUM(I28:I29)</f>
        <v>216923069.375</v>
      </c>
      <c r="J30" s="13"/>
      <c r="L30" s="49" t="s">
        <v>63</v>
      </c>
      <c r="M30" s="49"/>
    </row>
    <row r="31" spans="1:20" x14ac:dyDescent="0.3">
      <c r="A31" s="34" t="s">
        <v>55</v>
      </c>
      <c r="B31" s="35"/>
      <c r="C31" s="35"/>
      <c r="D31" s="35"/>
      <c r="E31" s="103" t="str">
        <f>IF(E30&gt;=E29,"Test Passed","Test Failed")</f>
        <v>Test Passed</v>
      </c>
      <c r="H31" s="13"/>
      <c r="I31" s="16"/>
      <c r="J31" s="38" t="s">
        <v>60</v>
      </c>
      <c r="L31" s="7" t="s">
        <v>152</v>
      </c>
    </row>
    <row r="32" spans="1:20" x14ac:dyDescent="0.3">
      <c r="H32" s="13" t="s">
        <v>223</v>
      </c>
      <c r="I32" s="16">
        <f>I25</f>
        <v>-188170857.98282489</v>
      </c>
      <c r="J32" s="38"/>
      <c r="L32" s="7" t="s">
        <v>67</v>
      </c>
      <c r="M32" s="7">
        <f>E9+'Cash-Int-Trans'!B13</f>
        <v>30000000</v>
      </c>
    </row>
    <row r="33" spans="1:16" x14ac:dyDescent="0.3">
      <c r="A33"/>
      <c r="B33"/>
      <c r="C33"/>
      <c r="E33"/>
      <c r="H33" s="13" t="s">
        <v>191</v>
      </c>
      <c r="I33" s="16">
        <f>(+D15-Shares!B30)*(I5-E15)</f>
        <v>0</v>
      </c>
      <c r="L33" s="7" t="s">
        <v>69</v>
      </c>
      <c r="M33" s="27">
        <f>E10</f>
        <v>1000</v>
      </c>
    </row>
    <row r="34" spans="1:16" x14ac:dyDescent="0.3">
      <c r="A34"/>
      <c r="B34"/>
      <c r="C34"/>
      <c r="D34"/>
      <c r="E34"/>
      <c r="H34" s="7" t="s">
        <v>151</v>
      </c>
      <c r="I34" s="14">
        <f>+'Cash-Int-Trans'!B13</f>
        <v>0</v>
      </c>
      <c r="J34" s="32" t="s">
        <v>53</v>
      </c>
      <c r="M34" s="7">
        <f>SUM(M32:M33)</f>
        <v>30001000</v>
      </c>
    </row>
    <row r="35" spans="1:16" x14ac:dyDescent="0.3">
      <c r="A35"/>
      <c r="B35"/>
      <c r="C35"/>
      <c r="D35"/>
      <c r="E35"/>
      <c r="H35" s="13" t="s">
        <v>138</v>
      </c>
      <c r="I35" s="16">
        <f>-I29-Shares!D24-Shares!D26</f>
        <v>-186923069.375</v>
      </c>
      <c r="J35" s="41"/>
      <c r="L35" s="7" t="s">
        <v>72</v>
      </c>
      <c r="M35" s="7">
        <f>I25</f>
        <v>-188170857.98282489</v>
      </c>
    </row>
    <row r="36" spans="1:16" x14ac:dyDescent="0.3">
      <c r="A36"/>
      <c r="B36"/>
      <c r="C36"/>
      <c r="D36"/>
      <c r="E36"/>
      <c r="H36" s="13" t="s">
        <v>139</v>
      </c>
      <c r="I36" s="16">
        <f>+'Cash-Int-Trans'!B12</f>
        <v>-40469684</v>
      </c>
      <c r="J36" s="13"/>
      <c r="L36" s="7" t="s">
        <v>73</v>
      </c>
      <c r="M36" s="27">
        <f>I36</f>
        <v>-40469684</v>
      </c>
    </row>
    <row r="37" spans="1:16" ht="16.5" customHeight="1" thickBot="1" x14ac:dyDescent="0.35">
      <c r="A37"/>
      <c r="B37"/>
      <c r="C37"/>
      <c r="D37"/>
      <c r="E37"/>
      <c r="H37" s="36" t="s">
        <v>97</v>
      </c>
      <c r="I37" s="37">
        <f>SUM(I30:I36)</f>
        <v>-198640541.98282489</v>
      </c>
      <c r="K37" s="7"/>
      <c r="L37" s="7" t="s">
        <v>74</v>
      </c>
      <c r="M37" s="7">
        <f>SUM(M34:M36)</f>
        <v>-198639541.98282489</v>
      </c>
    </row>
    <row r="38" spans="1:16" ht="15.75" customHeight="1" thickTop="1" x14ac:dyDescent="0.3">
      <c r="A38"/>
      <c r="B38"/>
      <c r="C38"/>
      <c r="D38"/>
      <c r="E38"/>
      <c r="H38" s="7" t="s">
        <v>224</v>
      </c>
      <c r="I38" s="3"/>
      <c r="K38" s="7"/>
      <c r="L38" s="7" t="s">
        <v>144</v>
      </c>
      <c r="M38" s="7">
        <f>P13</f>
        <v>0</v>
      </c>
    </row>
    <row r="39" spans="1:16" ht="15.75" customHeight="1" x14ac:dyDescent="0.3">
      <c r="A39"/>
      <c r="B39"/>
      <c r="C39"/>
      <c r="D39"/>
      <c r="E39"/>
      <c r="H39"/>
      <c r="I39" s="131"/>
      <c r="K39" s="7"/>
      <c r="L39" s="7" t="s">
        <v>145</v>
      </c>
      <c r="M39" s="27">
        <f>P14</f>
        <v>-198639541.98282489</v>
      </c>
    </row>
    <row r="40" spans="1:16" ht="16.5" customHeight="1" x14ac:dyDescent="0.3">
      <c r="A40"/>
      <c r="B40"/>
      <c r="C40"/>
      <c r="D40"/>
      <c r="E40"/>
      <c r="H40"/>
      <c r="I40" s="125"/>
      <c r="M40" s="7">
        <f>M37-M38-M39</f>
        <v>0</v>
      </c>
      <c r="N40" s="42" t="str">
        <f>IF(ROUND(M40,0)=0,"OK","Not OK")</f>
        <v>OK</v>
      </c>
    </row>
    <row r="41" spans="1:16" x14ac:dyDescent="0.3">
      <c r="A41"/>
      <c r="B41"/>
      <c r="C41"/>
      <c r="D41"/>
      <c r="E41"/>
      <c r="I41" s="7"/>
    </row>
    <row r="42" spans="1:16" x14ac:dyDescent="0.3">
      <c r="A42"/>
      <c r="B42"/>
      <c r="C42"/>
      <c r="D42"/>
      <c r="E42"/>
      <c r="I42" s="7"/>
      <c r="L42" s="135" t="s">
        <v>44</v>
      </c>
      <c r="M42" s="134"/>
      <c r="N42" s="134"/>
      <c r="O42" s="134"/>
      <c r="P42" s="134"/>
    </row>
    <row r="43" spans="1:16" x14ac:dyDescent="0.3">
      <c r="A43"/>
      <c r="B43"/>
      <c r="C43"/>
      <c r="D43"/>
      <c r="E43"/>
      <c r="I43" s="7"/>
      <c r="L43" s="136" t="s">
        <v>212</v>
      </c>
      <c r="M43" s="7">
        <f>+E9+I34</f>
        <v>30000000</v>
      </c>
      <c r="N43" s="7" t="s">
        <v>213</v>
      </c>
      <c r="P43" s="7">
        <f>+M43/0.0302</f>
        <v>993377483.44370854</v>
      </c>
    </row>
    <row r="44" spans="1:16" x14ac:dyDescent="0.3">
      <c r="A44"/>
      <c r="B44"/>
      <c r="C44"/>
      <c r="D44"/>
      <c r="E44"/>
      <c r="F44" s="7"/>
      <c r="H44" s="8"/>
      <c r="M44" s="86"/>
      <c r="N44" s="97" t="s">
        <v>214</v>
      </c>
      <c r="O44" s="86"/>
      <c r="P44" s="27">
        <f>-B11</f>
        <v>-471001000</v>
      </c>
    </row>
    <row r="45" spans="1:16" x14ac:dyDescent="0.3">
      <c r="A45"/>
      <c r="B45"/>
      <c r="C45"/>
      <c r="D45"/>
      <c r="E45"/>
      <c r="F45" s="7"/>
      <c r="I45" s="7"/>
      <c r="M45" s="86"/>
      <c r="N45" s="97" t="s">
        <v>215</v>
      </c>
      <c r="O45" s="86"/>
      <c r="P45" s="13">
        <f>+P43+P44</f>
        <v>522376483.44370854</v>
      </c>
    </row>
    <row r="46" spans="1:16" x14ac:dyDescent="0.3">
      <c r="A46"/>
      <c r="B46"/>
      <c r="C46"/>
      <c r="D46"/>
      <c r="E46"/>
      <c r="F46" s="7"/>
      <c r="I46" s="7"/>
      <c r="N46" s="7" t="s">
        <v>216</v>
      </c>
      <c r="P46" s="7">
        <f>+'Daily Position'!I7</f>
        <v>0</v>
      </c>
    </row>
    <row r="47" spans="1:16" x14ac:dyDescent="0.3">
      <c r="A47"/>
      <c r="B47"/>
      <c r="C47"/>
      <c r="D47"/>
      <c r="E47"/>
      <c r="F47" s="7"/>
      <c r="I47" s="7"/>
      <c r="N47" s="7" t="s">
        <v>217</v>
      </c>
      <c r="P47" s="157">
        <v>0</v>
      </c>
    </row>
    <row r="48" spans="1:16" x14ac:dyDescent="0.3">
      <c r="A48"/>
      <c r="B48"/>
      <c r="C48"/>
      <c r="D48"/>
      <c r="E48"/>
      <c r="F48" s="7"/>
      <c r="I48" s="7"/>
      <c r="P48" s="13"/>
    </row>
    <row r="49" spans="1:16" x14ac:dyDescent="0.3">
      <c r="A49"/>
      <c r="B49"/>
      <c r="C49"/>
      <c r="D49"/>
      <c r="E49"/>
      <c r="F49" s="7"/>
      <c r="I49" s="7"/>
      <c r="N49" s="7" t="s">
        <v>218</v>
      </c>
      <c r="P49" s="7">
        <f>+P45+P46+P47</f>
        <v>522376483.44370854</v>
      </c>
    </row>
    <row r="50" spans="1:16" x14ac:dyDescent="0.3">
      <c r="A50"/>
      <c r="B50"/>
      <c r="C50"/>
      <c r="D50"/>
      <c r="E50"/>
      <c r="F50" s="7"/>
      <c r="I50" s="7"/>
    </row>
    <row r="51" spans="1:16" x14ac:dyDescent="0.3">
      <c r="A51"/>
      <c r="B51"/>
      <c r="C51"/>
      <c r="D51"/>
      <c r="E51"/>
      <c r="F51" s="7"/>
      <c r="I51" s="7"/>
    </row>
    <row r="52" spans="1:16" x14ac:dyDescent="0.3">
      <c r="A52"/>
      <c r="B52"/>
      <c r="C52"/>
      <c r="D52"/>
      <c r="E52"/>
      <c r="F52" s="7"/>
      <c r="I52" s="7"/>
    </row>
    <row r="53" spans="1:16" x14ac:dyDescent="0.3">
      <c r="A53"/>
      <c r="B53"/>
      <c r="C53"/>
      <c r="D53"/>
      <c r="E53"/>
      <c r="F53" s="7"/>
      <c r="I53" s="7"/>
    </row>
    <row r="54" spans="1:16" x14ac:dyDescent="0.3">
      <c r="A54"/>
      <c r="B54"/>
      <c r="C54"/>
      <c r="D54"/>
      <c r="E54"/>
      <c r="F54" s="7"/>
      <c r="I54" s="7"/>
    </row>
    <row r="55" spans="1:16" x14ac:dyDescent="0.3">
      <c r="A55"/>
      <c r="B55"/>
      <c r="C55"/>
      <c r="D55"/>
      <c r="E55"/>
      <c r="I55" s="7"/>
    </row>
    <row r="56" spans="1:16" x14ac:dyDescent="0.3">
      <c r="A56"/>
      <c r="B56"/>
      <c r="C56"/>
      <c r="D56"/>
      <c r="E56"/>
    </row>
    <row r="57" spans="1:16" x14ac:dyDescent="0.3">
      <c r="A57"/>
      <c r="B57"/>
      <c r="C57"/>
      <c r="D57"/>
      <c r="E57"/>
    </row>
    <row r="58" spans="1:16" x14ac:dyDescent="0.3">
      <c r="A58"/>
      <c r="B58"/>
      <c r="C58"/>
      <c r="D58"/>
      <c r="E58"/>
    </row>
    <row r="59" spans="1:16" x14ac:dyDescent="0.3">
      <c r="A59"/>
      <c r="B59"/>
      <c r="C59"/>
      <c r="D59"/>
      <c r="E59"/>
    </row>
    <row r="60" spans="1:16" x14ac:dyDescent="0.3">
      <c r="A60"/>
      <c r="B60"/>
      <c r="C60"/>
      <c r="D60"/>
      <c r="E60"/>
    </row>
    <row r="61" spans="1:16" x14ac:dyDescent="0.3">
      <c r="A61"/>
      <c r="B61"/>
      <c r="C61"/>
    </row>
  </sheetData>
  <mergeCells count="14">
    <mergeCell ref="A4:F4"/>
    <mergeCell ref="A5:B5"/>
    <mergeCell ref="D5:E5"/>
    <mergeCell ref="A20:E20"/>
    <mergeCell ref="H2:I2"/>
    <mergeCell ref="H3:I3"/>
    <mergeCell ref="L5:P5"/>
    <mergeCell ref="L2:P2"/>
    <mergeCell ref="L3:P3"/>
    <mergeCell ref="A21:B21"/>
    <mergeCell ref="L7:M7"/>
    <mergeCell ref="O7:P7"/>
    <mergeCell ref="H10:I10"/>
    <mergeCell ref="H7:I7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  <colBreaks count="1" manualBreakCount="1">
    <brk id="10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H70"/>
  <sheetViews>
    <sheetView showGridLines="0" workbookViewId="0">
      <selection activeCell="E1" sqref="E1"/>
    </sheetView>
  </sheetViews>
  <sheetFormatPr defaultRowHeight="15.6" x14ac:dyDescent="0.3"/>
  <cols>
    <col min="1" max="1" width="32.69921875" customWidth="1"/>
    <col min="2" max="2" width="12.59765625" bestFit="1" customWidth="1"/>
    <col min="3" max="3" width="1.69921875" bestFit="1" customWidth="1"/>
    <col min="4" max="4" width="14.59765625" bestFit="1" customWidth="1"/>
    <col min="5" max="5" width="10.5" bestFit="1" customWidth="1"/>
    <col min="6" max="6" width="12.5" customWidth="1"/>
    <col min="7" max="7" width="9.59765625" customWidth="1"/>
    <col min="8" max="8" width="9.8984375" bestFit="1" customWidth="1"/>
  </cols>
  <sheetData>
    <row r="1" spans="1:8" ht="16.2" thickBot="1" x14ac:dyDescent="0.35">
      <c r="A1" s="175" t="s">
        <v>103</v>
      </c>
      <c r="B1" s="175"/>
    </row>
    <row r="3" spans="1:8" x14ac:dyDescent="0.3">
      <c r="A3" s="13" t="s">
        <v>115</v>
      </c>
      <c r="B3" s="14"/>
      <c r="C3" s="7"/>
      <c r="E3" s="151"/>
      <c r="F3" s="151"/>
      <c r="G3" s="151"/>
    </row>
    <row r="4" spans="1:8" x14ac:dyDescent="0.3">
      <c r="A4" s="8" t="s">
        <v>79</v>
      </c>
      <c r="B4" s="16">
        <f>41000000-6481031</f>
        <v>34518969</v>
      </c>
      <c r="C4" s="7"/>
      <c r="D4" s="1">
        <v>36917</v>
      </c>
      <c r="H4" s="1"/>
    </row>
    <row r="5" spans="1:8" x14ac:dyDescent="0.3">
      <c r="A5" s="7"/>
      <c r="B5" s="14"/>
      <c r="C5" s="7"/>
      <c r="H5" s="1"/>
    </row>
    <row r="6" spans="1:8" ht="16.2" thickBot="1" x14ac:dyDescent="0.35">
      <c r="A6" s="7" t="s">
        <v>80</v>
      </c>
      <c r="B6" s="150">
        <f>SUM(B3:B5)</f>
        <v>34518969</v>
      </c>
      <c r="C6" s="29" t="s">
        <v>81</v>
      </c>
      <c r="F6" s="7"/>
    </row>
    <row r="7" spans="1:8" ht="16.2" thickTop="1" x14ac:dyDescent="0.3">
      <c r="A7" s="7"/>
      <c r="B7" s="14"/>
      <c r="C7" s="7"/>
      <c r="F7" s="3"/>
    </row>
    <row r="8" spans="1:8" x14ac:dyDescent="0.3">
      <c r="A8" s="7" t="s">
        <v>89</v>
      </c>
      <c r="B8" s="14">
        <f>IF(Summary!C5&lt;'Cash-Int-Trans'!D8,0,-Financials!E6+'Cash-Int-Trans'!B4)</f>
        <v>-6481031</v>
      </c>
      <c r="C8" s="7"/>
      <c r="D8" s="1">
        <f>+D4</f>
        <v>36917</v>
      </c>
    </row>
    <row r="9" spans="1:8" x14ac:dyDescent="0.3">
      <c r="A9" s="7" t="s">
        <v>182</v>
      </c>
      <c r="B9" s="14">
        <f>-B8</f>
        <v>6481031</v>
      </c>
      <c r="C9" s="7"/>
      <c r="D9" s="1">
        <f>+D8</f>
        <v>36917</v>
      </c>
    </row>
    <row r="10" spans="1:8" x14ac:dyDescent="0.3">
      <c r="A10" s="7"/>
      <c r="B10" s="7"/>
      <c r="C10" s="7"/>
    </row>
    <row r="11" spans="1:8" x14ac:dyDescent="0.3">
      <c r="A11" s="7" t="s">
        <v>90</v>
      </c>
      <c r="B11" s="14"/>
      <c r="C11" s="7"/>
    </row>
    <row r="12" spans="1:8" x14ac:dyDescent="0.3">
      <c r="A12" s="7" t="s">
        <v>183</v>
      </c>
      <c r="B12" s="14">
        <v>-40469684</v>
      </c>
      <c r="C12" s="7"/>
      <c r="D12" s="1">
        <f>+D8</f>
        <v>36917</v>
      </c>
    </row>
    <row r="13" spans="1:8" x14ac:dyDescent="0.3">
      <c r="A13" s="7" t="s">
        <v>184</v>
      </c>
      <c r="B13" s="14">
        <f>IF(Summary!$C$5&lt;'Cash-Int-Trans'!D13,0,0)</f>
        <v>0</v>
      </c>
      <c r="C13" s="7"/>
      <c r="D13" s="1">
        <f>+D12</f>
        <v>36917</v>
      </c>
    </row>
    <row r="14" spans="1:8" x14ac:dyDescent="0.3">
      <c r="A14" s="7"/>
      <c r="B14" s="14"/>
      <c r="C14" s="7"/>
      <c r="D14" s="1"/>
    </row>
    <row r="15" spans="1:8" x14ac:dyDescent="0.3">
      <c r="A15" s="7" t="s">
        <v>187</v>
      </c>
      <c r="B15" s="14">
        <f>IF(Summary!$C$5&lt;'Cash-Int-Trans'!D15,0,-Amort!D11)</f>
        <v>-1759722.2222222222</v>
      </c>
      <c r="C15" s="7"/>
      <c r="D15" s="1">
        <v>36961</v>
      </c>
    </row>
    <row r="16" spans="1:8" x14ac:dyDescent="0.3">
      <c r="A16" s="7" t="s">
        <v>186</v>
      </c>
      <c r="B16" s="14">
        <f>-B15</f>
        <v>1759722.2222222222</v>
      </c>
      <c r="C16" s="7"/>
      <c r="D16" s="1">
        <f>+D15</f>
        <v>36961</v>
      </c>
    </row>
    <row r="17" spans="1:5" x14ac:dyDescent="0.3">
      <c r="A17" s="7"/>
      <c r="B17" s="14"/>
      <c r="C17" s="7"/>
    </row>
    <row r="18" spans="1:5" ht="16.2" thickBot="1" x14ac:dyDescent="0.35">
      <c r="A18" s="175" t="s">
        <v>98</v>
      </c>
      <c r="B18" s="175"/>
    </row>
    <row r="20" spans="1:5" x14ac:dyDescent="0.3">
      <c r="A20" t="s">
        <v>23</v>
      </c>
      <c r="B20" s="7">
        <f>+Financials!B6</f>
        <v>71001000</v>
      </c>
      <c r="D20" s="1">
        <v>36769</v>
      </c>
    </row>
    <row r="22" spans="1:5" x14ac:dyDescent="0.3">
      <c r="A22" t="s">
        <v>99</v>
      </c>
      <c r="B22" s="7">
        <f>+Financials!I25</f>
        <v>-188170857.98282489</v>
      </c>
    </row>
    <row r="23" spans="1:5" x14ac:dyDescent="0.3">
      <c r="A23" t="s">
        <v>100</v>
      </c>
      <c r="B23" s="7">
        <f>-Financials!I15</f>
        <v>-32946257.889840182</v>
      </c>
    </row>
    <row r="24" spans="1:5" x14ac:dyDescent="0.3">
      <c r="A24" s="7" t="str">
        <f>+Financials!H21</f>
        <v>Unrealized Gains / (Losses)</v>
      </c>
      <c r="B24" s="7">
        <f>-Financials!I21-Financials!I20-Financials!I19</f>
        <v>245481300.03984019</v>
      </c>
    </row>
    <row r="26" spans="1:5" x14ac:dyDescent="0.3">
      <c r="A26" t="s">
        <v>102</v>
      </c>
    </row>
    <row r="27" spans="1:5" x14ac:dyDescent="0.3">
      <c r="A27" t="s">
        <v>104</v>
      </c>
      <c r="B27" s="7">
        <f>+Financials!B7-Financials!M9</f>
        <v>0</v>
      </c>
    </row>
    <row r="28" spans="1:5" x14ac:dyDescent="0.3">
      <c r="A28" t="s">
        <v>40</v>
      </c>
      <c r="B28" s="7">
        <f>0-Financials!M11</f>
        <v>-116666.66666666667</v>
      </c>
    </row>
    <row r="29" spans="1:5" x14ac:dyDescent="0.3">
      <c r="A29" t="s">
        <v>105</v>
      </c>
      <c r="B29" s="7">
        <f>-Financials!E7+Financials!P11</f>
        <v>21581796.315945625</v>
      </c>
    </row>
    <row r="30" spans="1:5" x14ac:dyDescent="0.3">
      <c r="A30" t="s">
        <v>185</v>
      </c>
      <c r="B30" s="7">
        <f>-Financials!E6+Financials!P8</f>
        <v>-41000000</v>
      </c>
      <c r="E30" s="7"/>
    </row>
    <row r="32" spans="1:5" x14ac:dyDescent="0.3">
      <c r="A32" t="s">
        <v>90</v>
      </c>
      <c r="B32" s="7">
        <f>+B12</f>
        <v>-40469684</v>
      </c>
    </row>
    <row r="33" spans="1:8" x14ac:dyDescent="0.3">
      <c r="A33" t="s">
        <v>114</v>
      </c>
      <c r="B33" s="7">
        <f>+B13</f>
        <v>0</v>
      </c>
    </row>
    <row r="35" spans="1:8" ht="16.2" thickBot="1" x14ac:dyDescent="0.35">
      <c r="A35" t="s">
        <v>25</v>
      </c>
      <c r="B35" s="12">
        <f>SUM(B20:B34)</f>
        <v>35360629.816454068</v>
      </c>
      <c r="D35" s="7">
        <f>+B20+B12+B13+B38+B16</f>
        <v>35360629.816454075</v>
      </c>
    </row>
    <row r="36" spans="1:8" ht="16.2" thickTop="1" x14ac:dyDescent="0.3"/>
    <row r="37" spans="1:8" ht="16.2" thickBot="1" x14ac:dyDescent="0.35">
      <c r="A37" s="175" t="s">
        <v>146</v>
      </c>
      <c r="B37" s="175"/>
      <c r="C37" s="175"/>
      <c r="D37" s="175"/>
      <c r="E37" s="175"/>
      <c r="F37" s="175"/>
    </row>
    <row r="38" spans="1:8" x14ac:dyDescent="0.3">
      <c r="A38" s="104" t="s">
        <v>108</v>
      </c>
      <c r="B38" s="105">
        <f>+B44+B50</f>
        <v>3069591.5942318537</v>
      </c>
    </row>
    <row r="39" spans="1:8" x14ac:dyDescent="0.3">
      <c r="A39" s="47"/>
      <c r="E39" s="127" t="s">
        <v>76</v>
      </c>
      <c r="F39" s="128"/>
    </row>
    <row r="40" spans="1:8" x14ac:dyDescent="0.3">
      <c r="A40" t="s">
        <v>1</v>
      </c>
      <c r="B40" s="1">
        <v>36769</v>
      </c>
      <c r="E40" s="1">
        <v>36753</v>
      </c>
      <c r="F40" s="44">
        <v>7.2400000000000006E-2</v>
      </c>
      <c r="G40" s="1">
        <v>36845</v>
      </c>
      <c r="H40" s="44">
        <v>7.1300000000000002E-2</v>
      </c>
    </row>
    <row r="41" spans="1:8" x14ac:dyDescent="0.3">
      <c r="A41" t="s">
        <v>23</v>
      </c>
      <c r="B41" s="7">
        <v>71001000</v>
      </c>
      <c r="E41" s="1">
        <v>36784</v>
      </c>
      <c r="F41" s="44">
        <v>7.1999999999999995E-2</v>
      </c>
      <c r="G41" s="1">
        <v>36875</v>
      </c>
      <c r="H41" s="44">
        <v>6.88E-2</v>
      </c>
    </row>
    <row r="42" spans="1:8" x14ac:dyDescent="0.3">
      <c r="A42" t="s">
        <v>1</v>
      </c>
      <c r="B42" s="1">
        <f>IF(Summary!$C$5&lt;'Cash-Int-Trans'!B40,+'Cash-Int-Trans'!B40,Summary!$C$5)</f>
        <v>36962</v>
      </c>
      <c r="E42" s="1">
        <v>36814</v>
      </c>
      <c r="F42" s="44">
        <v>7.1800000000000003E-2</v>
      </c>
      <c r="G42" s="1">
        <v>36906</v>
      </c>
      <c r="H42" s="44">
        <v>5.9400000000000001E-2</v>
      </c>
    </row>
    <row r="43" spans="1:8" x14ac:dyDescent="0.3">
      <c r="A43" t="s">
        <v>75</v>
      </c>
      <c r="B43" s="3">
        <f>+B42-B40</f>
        <v>193</v>
      </c>
      <c r="E43" s="45" t="s">
        <v>77</v>
      </c>
      <c r="F43" s="46">
        <f>AVERAGE(F40:F42,H40:H42)</f>
        <v>6.9283333333333322E-2</v>
      </c>
    </row>
    <row r="44" spans="1:8" x14ac:dyDescent="0.3">
      <c r="A44" t="s">
        <v>24</v>
      </c>
      <c r="B44" s="48">
        <f>+B41*(F43+0.0045)/360*B43</f>
        <v>2808520.1579166665</v>
      </c>
    </row>
    <row r="45" spans="1:8" x14ac:dyDescent="0.3">
      <c r="B45" s="48"/>
    </row>
    <row r="46" spans="1:8" x14ac:dyDescent="0.3">
      <c r="A46" t="s">
        <v>1</v>
      </c>
      <c r="B46" s="1">
        <f>+D8</f>
        <v>36917</v>
      </c>
      <c r="E46" s="1">
        <v>36906</v>
      </c>
      <c r="F46" s="44">
        <v>5.9400000000000001E-2</v>
      </c>
      <c r="G46" s="1">
        <v>36996</v>
      </c>
      <c r="H46" s="44"/>
    </row>
    <row r="47" spans="1:8" x14ac:dyDescent="0.3">
      <c r="A47" t="s">
        <v>23</v>
      </c>
      <c r="B47" s="7">
        <v>32684999.851666659</v>
      </c>
      <c r="E47" s="1">
        <v>36937</v>
      </c>
      <c r="F47" s="44"/>
      <c r="G47" s="1">
        <v>37026</v>
      </c>
      <c r="H47" s="44"/>
    </row>
    <row r="48" spans="1:8" x14ac:dyDescent="0.3">
      <c r="A48" t="s">
        <v>1</v>
      </c>
      <c r="B48" s="1">
        <f>IF(Summary!$C$5&lt;'Cash-Int-Trans'!B46,+'Cash-Int-Trans'!B46,Summary!$C$5)</f>
        <v>36962</v>
      </c>
      <c r="E48" s="1">
        <v>36965</v>
      </c>
      <c r="F48" s="44"/>
      <c r="G48" s="1">
        <v>37057</v>
      </c>
      <c r="H48" s="44"/>
    </row>
    <row r="49" spans="1:6" x14ac:dyDescent="0.3">
      <c r="A49" t="s">
        <v>75</v>
      </c>
      <c r="B49" s="3">
        <f>+B48-B46</f>
        <v>45</v>
      </c>
      <c r="E49" s="45" t="s">
        <v>77</v>
      </c>
      <c r="F49" s="46">
        <f>AVERAGE(F46:F48,H46:H48)</f>
        <v>5.9400000000000001E-2</v>
      </c>
    </row>
    <row r="50" spans="1:6" x14ac:dyDescent="0.3">
      <c r="A50" t="s">
        <v>24</v>
      </c>
      <c r="B50" s="48">
        <f>+B47*(F49+0.0045)/360*B49</f>
        <v>261071.43631518743</v>
      </c>
    </row>
    <row r="52" spans="1:6" ht="16.2" thickBot="1" x14ac:dyDescent="0.35">
      <c r="A52" s="175" t="s">
        <v>162</v>
      </c>
      <c r="B52" s="175"/>
      <c r="C52" s="175"/>
      <c r="D52" s="175"/>
      <c r="E52" s="175"/>
      <c r="F52" s="175"/>
    </row>
    <row r="53" spans="1:6" x14ac:dyDescent="0.3">
      <c r="A53" s="104" t="s">
        <v>159</v>
      </c>
      <c r="B53" s="105">
        <f>+B55+B62</f>
        <v>15100765.315945622</v>
      </c>
    </row>
    <row r="54" spans="1:6" x14ac:dyDescent="0.3">
      <c r="A54" s="47"/>
    </row>
    <row r="55" spans="1:6" x14ac:dyDescent="0.3">
      <c r="A55" t="s">
        <v>163</v>
      </c>
      <c r="B55" s="3">
        <f>+Amort!B61</f>
        <v>15059178.700362287</v>
      </c>
      <c r="E55" s="176"/>
      <c r="F55" s="177"/>
    </row>
    <row r="56" spans="1:6" x14ac:dyDescent="0.3">
      <c r="B56" s="3"/>
      <c r="E56" s="127"/>
      <c r="F56" s="128"/>
    </row>
    <row r="57" spans="1:6" x14ac:dyDescent="0.3">
      <c r="A57" t="s">
        <v>169</v>
      </c>
      <c r="B57" s="7"/>
      <c r="E57" s="43"/>
      <c r="F57" s="44"/>
    </row>
    <row r="58" spans="1:6" x14ac:dyDescent="0.3">
      <c r="A58" t="s">
        <v>164</v>
      </c>
      <c r="B58" s="1">
        <f>+D9</f>
        <v>36917</v>
      </c>
      <c r="E58" s="43"/>
      <c r="F58" s="44"/>
    </row>
    <row r="59" spans="1:6" x14ac:dyDescent="0.3">
      <c r="A59" t="s">
        <v>165</v>
      </c>
      <c r="B59" s="3">
        <f>+B9</f>
        <v>6481031</v>
      </c>
      <c r="E59" s="43"/>
      <c r="F59" s="44"/>
    </row>
    <row r="60" spans="1:6" x14ac:dyDescent="0.3">
      <c r="A60" t="s">
        <v>1</v>
      </c>
      <c r="B60" s="1">
        <f>IF(Summary!C5&gt;Amort!A43,Amort!A43,Summary!C5)</f>
        <v>36950</v>
      </c>
    </row>
    <row r="61" spans="1:6" x14ac:dyDescent="0.3">
      <c r="A61" t="s">
        <v>75</v>
      </c>
      <c r="B61" s="3">
        <f>+B60-B58</f>
        <v>33</v>
      </c>
    </row>
    <row r="62" spans="1:6" x14ac:dyDescent="0.3">
      <c r="A62" t="s">
        <v>168</v>
      </c>
      <c r="B62" s="48">
        <f>+B59*0.07/360*B61</f>
        <v>41586.615583333332</v>
      </c>
    </row>
    <row r="64" spans="1:6" ht="16.2" thickBot="1" x14ac:dyDescent="0.35">
      <c r="A64" s="175" t="s">
        <v>172</v>
      </c>
      <c r="B64" s="175"/>
      <c r="C64" s="175"/>
      <c r="D64" s="175"/>
      <c r="E64" s="175"/>
      <c r="F64" s="175"/>
    </row>
    <row r="66" spans="1:4" x14ac:dyDescent="0.3">
      <c r="A66" t="s">
        <v>118</v>
      </c>
      <c r="B66" s="1">
        <f>+Summary!C5</f>
        <v>36962</v>
      </c>
    </row>
    <row r="67" spans="1:4" x14ac:dyDescent="0.3">
      <c r="A67" t="s">
        <v>173</v>
      </c>
      <c r="B67" s="1">
        <v>36769</v>
      </c>
      <c r="D67" s="4">
        <f>IF(B66&gt;(B67-1),30000000,0)</f>
        <v>30000000</v>
      </c>
    </row>
    <row r="68" spans="1:4" x14ac:dyDescent="0.3">
      <c r="A68" t="s">
        <v>174</v>
      </c>
      <c r="B68" s="1"/>
      <c r="D68" s="4">
        <f>IF(B66&gt;(B68-1),0,0)</f>
        <v>0</v>
      </c>
    </row>
    <row r="69" spans="1:4" ht="17.399999999999999" x14ac:dyDescent="0.45">
      <c r="A69" t="s">
        <v>175</v>
      </c>
      <c r="B69" s="1">
        <f>+Summary!C5</f>
        <v>36962</v>
      </c>
      <c r="D69" s="129">
        <f>IF(B69&gt;B68,+(+B69-B68)/365*0.12*D68,0)</f>
        <v>0</v>
      </c>
    </row>
    <row r="70" spans="1:4" x14ac:dyDescent="0.3">
      <c r="A70" t="s">
        <v>176</v>
      </c>
      <c r="D70" s="5">
        <f>SUM(D67:D69)</f>
        <v>30000000</v>
      </c>
    </row>
  </sheetData>
  <mergeCells count="6">
    <mergeCell ref="A64:F64"/>
    <mergeCell ref="A1:B1"/>
    <mergeCell ref="A37:F37"/>
    <mergeCell ref="A52:F52"/>
    <mergeCell ref="E55:F55"/>
    <mergeCell ref="A18:B18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  <rowBreaks count="2" manualBreakCount="2">
    <brk id="17" max="16383" man="1"/>
    <brk id="35" max="16383" man="1"/>
  </row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68"/>
  <sheetViews>
    <sheetView workbookViewId="0">
      <selection activeCell="D1" sqref="D1"/>
    </sheetView>
  </sheetViews>
  <sheetFormatPr defaultColWidth="9" defaultRowHeight="15.6" x14ac:dyDescent="0.3"/>
  <cols>
    <col min="1" max="1" width="17.09765625" style="7" customWidth="1"/>
    <col min="2" max="3" width="11.5" style="7" bestFit="1" customWidth="1"/>
    <col min="4" max="4" width="12.5" style="7" customWidth="1"/>
    <col min="5" max="5" width="12.09765625" style="7" bestFit="1" customWidth="1"/>
    <col min="6" max="8" width="11.5" style="7" bestFit="1" customWidth="1"/>
    <col min="9" max="16384" width="9" style="7"/>
  </cols>
  <sheetData>
    <row r="1" spans="1:9" x14ac:dyDescent="0.3">
      <c r="A1" s="6" t="s">
        <v>156</v>
      </c>
      <c r="B1" s="6"/>
      <c r="G1" s="8"/>
      <c r="H1" s="8"/>
    </row>
    <row r="2" spans="1:9" x14ac:dyDescent="0.3">
      <c r="B2" s="106" t="s">
        <v>147</v>
      </c>
    </row>
    <row r="3" spans="1:9" x14ac:dyDescent="0.3">
      <c r="A3" s="7" t="s">
        <v>18</v>
      </c>
      <c r="B3" s="107">
        <v>50000000</v>
      </c>
    </row>
    <row r="4" spans="1:9" x14ac:dyDescent="0.3">
      <c r="A4" s="7" t="s">
        <v>19</v>
      </c>
      <c r="B4" s="108">
        <v>7.0000000000000007E-2</v>
      </c>
    </row>
    <row r="5" spans="1:9" x14ac:dyDescent="0.3">
      <c r="A5" s="7" t="s">
        <v>20</v>
      </c>
      <c r="B5" s="109">
        <f>5*12</f>
        <v>60</v>
      </c>
    </row>
    <row r="6" spans="1:9" x14ac:dyDescent="0.3">
      <c r="A6" s="7" t="s">
        <v>21</v>
      </c>
      <c r="B6" s="110">
        <v>2</v>
      </c>
    </row>
    <row r="7" spans="1:9" x14ac:dyDescent="0.3">
      <c r="A7" s="7" t="s">
        <v>22</v>
      </c>
      <c r="B7" s="7">
        <v>0</v>
      </c>
    </row>
    <row r="9" spans="1:9" s="9" customFormat="1" ht="26.4" x14ac:dyDescent="0.25">
      <c r="B9" s="11" t="s">
        <v>85</v>
      </c>
      <c r="C9" s="10" t="s">
        <v>23</v>
      </c>
      <c r="D9" s="10" t="s">
        <v>22</v>
      </c>
      <c r="E9" s="10" t="s">
        <v>18</v>
      </c>
      <c r="F9" s="10" t="s">
        <v>24</v>
      </c>
      <c r="G9" s="10" t="s">
        <v>25</v>
      </c>
      <c r="H9" s="10" t="s">
        <v>160</v>
      </c>
    </row>
    <row r="10" spans="1:9" x14ac:dyDescent="0.3">
      <c r="A10" s="1">
        <f>+A42</f>
        <v>36769</v>
      </c>
      <c r="B10" s="100">
        <v>0</v>
      </c>
      <c r="C10" s="7">
        <f>B3</f>
        <v>50000000</v>
      </c>
      <c r="D10" s="7">
        <v>0</v>
      </c>
      <c r="E10" s="7">
        <f t="shared" ref="E10:E15" si="0">D10-F10</f>
        <v>0</v>
      </c>
      <c r="F10" s="7">
        <v>0</v>
      </c>
      <c r="G10" s="7">
        <f t="shared" ref="G10:G15" si="1">C10-E10</f>
        <v>50000000</v>
      </c>
      <c r="H10" s="7">
        <f>+F10</f>
        <v>0</v>
      </c>
      <c r="I10" s="1">
        <f t="shared" ref="I10:I20" si="2">+A10</f>
        <v>36769</v>
      </c>
    </row>
    <row r="11" spans="1:9" x14ac:dyDescent="0.3">
      <c r="A11" s="1">
        <f t="shared" ref="A11:A20" si="3">+A43</f>
        <v>36950</v>
      </c>
      <c r="B11" s="100">
        <f t="shared" ref="B11:B20" si="4">+B10+1</f>
        <v>1</v>
      </c>
      <c r="C11" s="7">
        <f t="shared" ref="C11:C20" si="5">G10</f>
        <v>50000000</v>
      </c>
      <c r="D11" s="7">
        <f>+F11</f>
        <v>1759722.2222222222</v>
      </c>
      <c r="E11" s="7">
        <f t="shared" si="0"/>
        <v>0</v>
      </c>
      <c r="F11" s="7">
        <f>C11*$B$4/360*(A11-A10)</f>
        <v>1759722.2222222222</v>
      </c>
      <c r="G11" s="7">
        <f t="shared" si="1"/>
        <v>50000000</v>
      </c>
      <c r="H11" s="7">
        <f t="shared" ref="H11:H20" si="6">+H10+F11</f>
        <v>1759722.2222222222</v>
      </c>
      <c r="I11" s="1">
        <f t="shared" si="2"/>
        <v>36950</v>
      </c>
    </row>
    <row r="12" spans="1:9" x14ac:dyDescent="0.3">
      <c r="A12" s="1">
        <f t="shared" si="3"/>
        <v>37134</v>
      </c>
      <c r="B12" s="100">
        <f t="shared" si="4"/>
        <v>2</v>
      </c>
      <c r="C12" s="7">
        <f t="shared" si="5"/>
        <v>50000000</v>
      </c>
      <c r="D12" s="7">
        <f t="shared" ref="D12:D20" si="7">+F12</f>
        <v>1788888.888888889</v>
      </c>
      <c r="E12" s="7">
        <f t="shared" si="0"/>
        <v>0</v>
      </c>
      <c r="F12" s="7">
        <f t="shared" ref="F12:F20" si="8">C12*$B$4/360*(A12-A11)</f>
        <v>1788888.888888889</v>
      </c>
      <c r="G12" s="7">
        <f t="shared" si="1"/>
        <v>50000000</v>
      </c>
      <c r="H12" s="7">
        <f t="shared" si="6"/>
        <v>3548611.111111111</v>
      </c>
      <c r="I12" s="1">
        <f t="shared" si="2"/>
        <v>37134</v>
      </c>
    </row>
    <row r="13" spans="1:9" x14ac:dyDescent="0.3">
      <c r="A13" s="1">
        <f t="shared" si="3"/>
        <v>37315</v>
      </c>
      <c r="B13" s="100">
        <f t="shared" si="4"/>
        <v>3</v>
      </c>
      <c r="C13" s="7">
        <f t="shared" si="5"/>
        <v>50000000</v>
      </c>
      <c r="D13" s="7">
        <f t="shared" si="7"/>
        <v>1759722.2222222222</v>
      </c>
      <c r="E13" s="7">
        <f t="shared" si="0"/>
        <v>0</v>
      </c>
      <c r="F13" s="7">
        <f t="shared" si="8"/>
        <v>1759722.2222222222</v>
      </c>
      <c r="G13" s="7">
        <f t="shared" si="1"/>
        <v>50000000</v>
      </c>
      <c r="H13" s="7">
        <f t="shared" si="6"/>
        <v>5308333.333333333</v>
      </c>
      <c r="I13" s="1">
        <f t="shared" si="2"/>
        <v>37315</v>
      </c>
    </row>
    <row r="14" spans="1:9" x14ac:dyDescent="0.3">
      <c r="A14" s="1">
        <f t="shared" si="3"/>
        <v>37499</v>
      </c>
      <c r="B14" s="100">
        <f t="shared" si="4"/>
        <v>4</v>
      </c>
      <c r="C14" s="7">
        <f t="shared" si="5"/>
        <v>50000000</v>
      </c>
      <c r="D14" s="7">
        <f t="shared" si="7"/>
        <v>1788888.888888889</v>
      </c>
      <c r="E14" s="7">
        <f t="shared" si="0"/>
        <v>0</v>
      </c>
      <c r="F14" s="7">
        <f t="shared" si="8"/>
        <v>1788888.888888889</v>
      </c>
      <c r="G14" s="7">
        <f t="shared" si="1"/>
        <v>50000000</v>
      </c>
      <c r="H14" s="7">
        <f t="shared" si="6"/>
        <v>7097222.222222222</v>
      </c>
      <c r="I14" s="1">
        <f t="shared" si="2"/>
        <v>37499</v>
      </c>
    </row>
    <row r="15" spans="1:9" x14ac:dyDescent="0.3">
      <c r="A15" s="1">
        <f t="shared" si="3"/>
        <v>37680</v>
      </c>
      <c r="B15" s="100">
        <f t="shared" si="4"/>
        <v>5</v>
      </c>
      <c r="C15" s="7">
        <f t="shared" si="5"/>
        <v>50000000</v>
      </c>
      <c r="D15" s="7">
        <f t="shared" si="7"/>
        <v>1759722.2222222222</v>
      </c>
      <c r="E15" s="7">
        <f t="shared" si="0"/>
        <v>0</v>
      </c>
      <c r="F15" s="7">
        <f t="shared" si="8"/>
        <v>1759722.2222222222</v>
      </c>
      <c r="G15" s="7">
        <f t="shared" si="1"/>
        <v>50000000</v>
      </c>
      <c r="H15" s="7">
        <f t="shared" si="6"/>
        <v>8856944.444444444</v>
      </c>
      <c r="I15" s="1">
        <f t="shared" si="2"/>
        <v>37680</v>
      </c>
    </row>
    <row r="16" spans="1:9" x14ac:dyDescent="0.3">
      <c r="A16" s="1">
        <f t="shared" si="3"/>
        <v>37864</v>
      </c>
      <c r="B16" s="100">
        <f t="shared" si="4"/>
        <v>6</v>
      </c>
      <c r="C16" s="7">
        <f t="shared" si="5"/>
        <v>50000000</v>
      </c>
      <c r="D16" s="7">
        <f t="shared" si="7"/>
        <v>1788888.888888889</v>
      </c>
      <c r="E16" s="7">
        <f>D16-F16</f>
        <v>0</v>
      </c>
      <c r="F16" s="7">
        <f t="shared" si="8"/>
        <v>1788888.888888889</v>
      </c>
      <c r="G16" s="7">
        <f>C16-E16</f>
        <v>50000000</v>
      </c>
      <c r="H16" s="7">
        <f t="shared" si="6"/>
        <v>10645833.333333332</v>
      </c>
      <c r="I16" s="1">
        <f t="shared" si="2"/>
        <v>37864</v>
      </c>
    </row>
    <row r="17" spans="1:9" x14ac:dyDescent="0.3">
      <c r="A17" s="1">
        <f t="shared" si="3"/>
        <v>38046</v>
      </c>
      <c r="B17" s="100">
        <f t="shared" si="4"/>
        <v>7</v>
      </c>
      <c r="C17" s="7">
        <f t="shared" si="5"/>
        <v>50000000</v>
      </c>
      <c r="D17" s="7">
        <f t="shared" si="7"/>
        <v>1769444.4444444445</v>
      </c>
      <c r="E17" s="7">
        <f>D17-F17</f>
        <v>0</v>
      </c>
      <c r="F17" s="7">
        <f t="shared" si="8"/>
        <v>1769444.4444444445</v>
      </c>
      <c r="G17" s="7">
        <f>C17-E17</f>
        <v>50000000</v>
      </c>
      <c r="H17" s="7">
        <f t="shared" si="6"/>
        <v>12415277.777777776</v>
      </c>
      <c r="I17" s="1">
        <f t="shared" si="2"/>
        <v>38046</v>
      </c>
    </row>
    <row r="18" spans="1:9" x14ac:dyDescent="0.3">
      <c r="A18" s="1">
        <f t="shared" si="3"/>
        <v>38230</v>
      </c>
      <c r="B18" s="100">
        <f t="shared" si="4"/>
        <v>8</v>
      </c>
      <c r="C18" s="7">
        <f t="shared" si="5"/>
        <v>50000000</v>
      </c>
      <c r="D18" s="7">
        <f t="shared" si="7"/>
        <v>1788888.888888889</v>
      </c>
      <c r="E18" s="7">
        <f>D18-F18</f>
        <v>0</v>
      </c>
      <c r="F18" s="7">
        <f t="shared" si="8"/>
        <v>1788888.888888889</v>
      </c>
      <c r="G18" s="7">
        <f>C18-E18</f>
        <v>50000000</v>
      </c>
      <c r="H18" s="7">
        <f t="shared" si="6"/>
        <v>14204166.666666664</v>
      </c>
      <c r="I18" s="1">
        <f t="shared" si="2"/>
        <v>38230</v>
      </c>
    </row>
    <row r="19" spans="1:9" x14ac:dyDescent="0.3">
      <c r="A19" s="1">
        <f t="shared" si="3"/>
        <v>38411</v>
      </c>
      <c r="B19" s="100">
        <f t="shared" si="4"/>
        <v>9</v>
      </c>
      <c r="C19" s="7">
        <f t="shared" si="5"/>
        <v>50000000</v>
      </c>
      <c r="D19" s="7">
        <f t="shared" si="7"/>
        <v>1759722.2222222222</v>
      </c>
      <c r="E19" s="7">
        <f>D19-F19</f>
        <v>0</v>
      </c>
      <c r="F19" s="7">
        <f t="shared" si="8"/>
        <v>1759722.2222222222</v>
      </c>
      <c r="G19" s="7">
        <f>C19-E19</f>
        <v>50000000</v>
      </c>
      <c r="H19" s="7">
        <f t="shared" si="6"/>
        <v>15963888.888888886</v>
      </c>
      <c r="I19" s="1">
        <f t="shared" si="2"/>
        <v>38411</v>
      </c>
    </row>
    <row r="20" spans="1:9" x14ac:dyDescent="0.3">
      <c r="A20" s="1">
        <f t="shared" si="3"/>
        <v>38595</v>
      </c>
      <c r="B20" s="100">
        <f t="shared" si="4"/>
        <v>10</v>
      </c>
      <c r="C20" s="7">
        <f t="shared" si="5"/>
        <v>50000000</v>
      </c>
      <c r="D20" s="7">
        <f t="shared" si="7"/>
        <v>1788888.888888889</v>
      </c>
      <c r="E20" s="7">
        <f>D20-F20</f>
        <v>0</v>
      </c>
      <c r="F20" s="7">
        <f t="shared" si="8"/>
        <v>1788888.888888889</v>
      </c>
      <c r="G20" s="7">
        <f>C20-E20</f>
        <v>50000000</v>
      </c>
      <c r="H20" s="7">
        <f t="shared" si="6"/>
        <v>17752777.777777776</v>
      </c>
      <c r="I20" s="1">
        <f t="shared" si="2"/>
        <v>38595</v>
      </c>
    </row>
    <row r="21" spans="1:9" ht="16.2" thickBot="1" x14ac:dyDescent="0.35">
      <c r="A21" s="1"/>
      <c r="B21" s="1"/>
      <c r="D21" s="12">
        <f>SUM(D11:D20)</f>
        <v>17752777.777777776</v>
      </c>
      <c r="E21" s="12">
        <f>SUM(E11:E20)</f>
        <v>0</v>
      </c>
      <c r="F21" s="12">
        <f>SUM(F11:F20)</f>
        <v>17752777.777777776</v>
      </c>
    </row>
    <row r="22" spans="1:9" s="97" customFormat="1" ht="16.2" thickTop="1" x14ac:dyDescent="0.3">
      <c r="A22" s="111"/>
      <c r="B22" s="111"/>
    </row>
    <row r="23" spans="1:9" s="97" customFormat="1" x14ac:dyDescent="0.3">
      <c r="A23" s="178">
        <f>+Summary!C5</f>
        <v>36962</v>
      </c>
      <c r="B23" s="178"/>
      <c r="E23" s="97" t="s">
        <v>85</v>
      </c>
      <c r="F23" s="97">
        <f>VLOOKUP(+A23,Amort,2)</f>
        <v>1</v>
      </c>
    </row>
    <row r="24" spans="1:9" s="97" customFormat="1" x14ac:dyDescent="0.3">
      <c r="A24" s="97" t="s">
        <v>82</v>
      </c>
      <c r="B24" s="97">
        <v>0</v>
      </c>
      <c r="E24" s="97" t="s">
        <v>1</v>
      </c>
      <c r="F24" s="111">
        <f>VLOOKUP(+A23,Amort,1)</f>
        <v>36950</v>
      </c>
    </row>
    <row r="25" spans="1:9" s="97" customFormat="1" x14ac:dyDescent="0.3">
      <c r="A25" s="97" t="s">
        <v>83</v>
      </c>
      <c r="B25" s="123">
        <f>VLOOKUP(+A23,Note,8)</f>
        <v>1759722.2222222222</v>
      </c>
      <c r="E25" s="97" t="s">
        <v>86</v>
      </c>
      <c r="F25" s="97">
        <f>VLOOKUP(+F23+1,NotePeriod,5)</f>
        <v>1788888.888888889</v>
      </c>
    </row>
    <row r="26" spans="1:9" s="97" customFormat="1" x14ac:dyDescent="0.3">
      <c r="A26" s="111" t="s">
        <v>84</v>
      </c>
      <c r="B26" s="97">
        <f>+B24+B25</f>
        <v>1759722.2222222222</v>
      </c>
      <c r="E26" s="97" t="s">
        <v>87</v>
      </c>
      <c r="F26" s="111">
        <f>VLOOKUP(+F23+1,NotePeriod,8)</f>
        <v>37134</v>
      </c>
    </row>
    <row r="27" spans="1:9" s="97" customFormat="1" x14ac:dyDescent="0.3">
      <c r="A27" s="111" t="s">
        <v>88</v>
      </c>
      <c r="B27" s="97">
        <f>A23-F24</f>
        <v>12</v>
      </c>
      <c r="E27" s="111"/>
    </row>
    <row r="28" spans="1:9" s="97" customFormat="1" x14ac:dyDescent="0.3">
      <c r="A28" s="111" t="s">
        <v>26</v>
      </c>
      <c r="B28" s="97">
        <f>F25*B27/(F26-F24)</f>
        <v>116666.66666666667</v>
      </c>
    </row>
    <row r="29" spans="1:9" s="97" customFormat="1" x14ac:dyDescent="0.3">
      <c r="A29" s="111" t="s">
        <v>27</v>
      </c>
      <c r="B29" s="97">
        <f>+B25+B28</f>
        <v>1876388.888888889</v>
      </c>
    </row>
    <row r="30" spans="1:9" s="97" customFormat="1" x14ac:dyDescent="0.3"/>
    <row r="31" spans="1:9" s="97" customFormat="1" x14ac:dyDescent="0.3"/>
    <row r="32" spans="1:9" s="97" customFormat="1" x14ac:dyDescent="0.3"/>
    <row r="33" spans="1:9" s="97" customFormat="1" x14ac:dyDescent="0.3"/>
    <row r="34" spans="1:9" s="97" customFormat="1" x14ac:dyDescent="0.3"/>
    <row r="35" spans="1:9" s="97" customFormat="1" x14ac:dyDescent="0.3">
      <c r="A35" s="6" t="s">
        <v>157</v>
      </c>
      <c r="B35" s="6"/>
      <c r="C35" s="7"/>
      <c r="D35" s="7"/>
      <c r="E35" s="7"/>
      <c r="F35" s="7"/>
      <c r="G35" s="8"/>
      <c r="H35" s="96"/>
    </row>
    <row r="36" spans="1:9" s="97" customFormat="1" x14ac:dyDescent="0.3">
      <c r="A36" s="7"/>
      <c r="B36" s="106" t="s">
        <v>147</v>
      </c>
      <c r="C36" s="7"/>
      <c r="D36" s="7"/>
      <c r="E36" s="7"/>
      <c r="F36" s="7"/>
      <c r="G36" s="7"/>
      <c r="H36" s="96"/>
    </row>
    <row r="37" spans="1:9" s="97" customFormat="1" x14ac:dyDescent="0.3">
      <c r="A37" s="7" t="s">
        <v>18</v>
      </c>
      <c r="B37" s="107">
        <v>400000000</v>
      </c>
      <c r="C37" s="7"/>
      <c r="D37" s="7"/>
      <c r="E37" s="7"/>
      <c r="F37" s="7"/>
      <c r="G37" s="7"/>
      <c r="H37" s="96"/>
    </row>
    <row r="38" spans="1:9" s="97" customFormat="1" x14ac:dyDescent="0.3">
      <c r="A38" s="7" t="s">
        <v>19</v>
      </c>
      <c r="B38" s="108">
        <v>7.0000000000000007E-2</v>
      </c>
      <c r="C38" s="7"/>
      <c r="D38" s="7"/>
      <c r="E38" s="7"/>
      <c r="F38" s="7"/>
      <c r="G38" s="7"/>
      <c r="H38" s="96"/>
    </row>
    <row r="39" spans="1:9" s="97" customFormat="1" x14ac:dyDescent="0.3">
      <c r="A39" s="7" t="s">
        <v>21</v>
      </c>
      <c r="B39" s="110">
        <v>2</v>
      </c>
      <c r="C39" s="7"/>
      <c r="D39" s="7"/>
      <c r="E39" s="7"/>
      <c r="F39" s="7"/>
      <c r="G39" s="7"/>
      <c r="H39" s="96"/>
    </row>
    <row r="40" spans="1:9" s="97" customFormat="1" x14ac:dyDescent="0.3">
      <c r="A40" s="7"/>
      <c r="B40" s="7"/>
      <c r="C40" s="7"/>
      <c r="D40" s="7"/>
      <c r="E40" s="7"/>
      <c r="F40" s="7"/>
      <c r="G40" s="7"/>
      <c r="H40" s="96"/>
    </row>
    <row r="41" spans="1:9" s="97" customFormat="1" ht="27" x14ac:dyDescent="0.3">
      <c r="A41" s="9"/>
      <c r="B41" s="11" t="s">
        <v>85</v>
      </c>
      <c r="C41" s="10" t="s">
        <v>23</v>
      </c>
      <c r="D41" s="10" t="s">
        <v>167</v>
      </c>
      <c r="E41" s="10" t="s">
        <v>18</v>
      </c>
      <c r="F41" s="10" t="s">
        <v>24</v>
      </c>
      <c r="G41" s="10" t="s">
        <v>25</v>
      </c>
      <c r="H41" s="10" t="s">
        <v>160</v>
      </c>
    </row>
    <row r="42" spans="1:9" s="97" customFormat="1" x14ac:dyDescent="0.3">
      <c r="A42" s="1">
        <v>36769</v>
      </c>
      <c r="B42" s="100">
        <v>0</v>
      </c>
      <c r="C42" s="7">
        <f>B37</f>
        <v>400000000</v>
      </c>
      <c r="D42" s="7">
        <v>0</v>
      </c>
      <c r="E42" s="7">
        <v>0</v>
      </c>
      <c r="F42" s="7">
        <v>0</v>
      </c>
      <c r="G42" s="7">
        <f>+C42+D42+E42+F42</f>
        <v>400000000</v>
      </c>
      <c r="H42" s="7">
        <f>+F42</f>
        <v>0</v>
      </c>
      <c r="I42" s="1">
        <f t="shared" ref="I42:I52" si="9">+A42</f>
        <v>36769</v>
      </c>
    </row>
    <row r="43" spans="1:9" s="97" customFormat="1" x14ac:dyDescent="0.3">
      <c r="A43" s="1">
        <f>+A42+181</f>
        <v>36950</v>
      </c>
      <c r="B43" s="100">
        <f t="shared" ref="B43:B52" si="10">+B42+1</f>
        <v>1</v>
      </c>
      <c r="C43" s="7">
        <f t="shared" ref="C43:C52" si="11">G42</f>
        <v>400000000</v>
      </c>
      <c r="D43" s="7">
        <f>+E66</f>
        <v>6522617.6155833332</v>
      </c>
      <c r="E43" s="7">
        <v>0</v>
      </c>
      <c r="F43" s="7">
        <f>C43*$B$38/360*(A43-A42)</f>
        <v>14077777.777777778</v>
      </c>
      <c r="G43" s="7">
        <f>+C43+D43+E43+F43</f>
        <v>420600395.39336115</v>
      </c>
      <c r="H43" s="7">
        <f t="shared" ref="H43:H52" si="12">+H42+F43</f>
        <v>14077777.777777778</v>
      </c>
      <c r="I43" s="1">
        <f t="shared" si="9"/>
        <v>36950</v>
      </c>
    </row>
    <row r="44" spans="1:9" s="97" customFormat="1" x14ac:dyDescent="0.3">
      <c r="A44" s="1">
        <f>+A43+184</f>
        <v>37134</v>
      </c>
      <c r="B44" s="100">
        <f t="shared" si="10"/>
        <v>2</v>
      </c>
      <c r="C44" s="7">
        <f t="shared" si="11"/>
        <v>420600395.39336115</v>
      </c>
      <c r="D44" s="7">
        <v>0</v>
      </c>
      <c r="E44" s="7">
        <v>0</v>
      </c>
      <c r="F44" s="7">
        <f t="shared" ref="F44:F52" si="13">C44*$B$38/360*(A44-A43)</f>
        <v>15048147.479629144</v>
      </c>
      <c r="G44" s="7">
        <f t="shared" ref="G44:G52" si="14">+C44+D44+E44+F44</f>
        <v>435648542.87299031</v>
      </c>
      <c r="H44" s="7">
        <f t="shared" si="12"/>
        <v>29125925.25740692</v>
      </c>
      <c r="I44" s="1">
        <f t="shared" si="9"/>
        <v>37134</v>
      </c>
    </row>
    <row r="45" spans="1:9" s="97" customFormat="1" x14ac:dyDescent="0.3">
      <c r="A45" s="1">
        <f>+A44+181</f>
        <v>37315</v>
      </c>
      <c r="B45" s="100">
        <f t="shared" si="10"/>
        <v>3</v>
      </c>
      <c r="C45" s="7">
        <f t="shared" si="11"/>
        <v>435648542.87299031</v>
      </c>
      <c r="D45" s="7">
        <v>0</v>
      </c>
      <c r="E45" s="7">
        <v>0</v>
      </c>
      <c r="F45" s="7">
        <f t="shared" si="13"/>
        <v>15332408.439446634</v>
      </c>
      <c r="G45" s="7">
        <f t="shared" si="14"/>
        <v>450980951.31243694</v>
      </c>
      <c r="H45" s="7">
        <f t="shared" si="12"/>
        <v>44458333.696853556</v>
      </c>
      <c r="I45" s="1">
        <f t="shared" si="9"/>
        <v>37315</v>
      </c>
    </row>
    <row r="46" spans="1:9" s="97" customFormat="1" x14ac:dyDescent="0.3">
      <c r="A46" s="1">
        <f>+A45+184</f>
        <v>37499</v>
      </c>
      <c r="B46" s="100">
        <f t="shared" si="10"/>
        <v>4</v>
      </c>
      <c r="C46" s="7">
        <f t="shared" si="11"/>
        <v>450980951.31243694</v>
      </c>
      <c r="D46" s="7">
        <v>0</v>
      </c>
      <c r="E46" s="7">
        <v>0</v>
      </c>
      <c r="F46" s="7">
        <f t="shared" si="13"/>
        <v>16135096.258067189</v>
      </c>
      <c r="G46" s="7">
        <f t="shared" si="14"/>
        <v>467116047.57050413</v>
      </c>
      <c r="H46" s="7">
        <f t="shared" si="12"/>
        <v>60593429.954920746</v>
      </c>
      <c r="I46" s="1">
        <f t="shared" si="9"/>
        <v>37499</v>
      </c>
    </row>
    <row r="47" spans="1:9" s="97" customFormat="1" x14ac:dyDescent="0.3">
      <c r="A47" s="1">
        <f>+A46+181</f>
        <v>37680</v>
      </c>
      <c r="B47" s="100">
        <f t="shared" si="10"/>
        <v>5</v>
      </c>
      <c r="C47" s="7">
        <f t="shared" si="11"/>
        <v>467116047.57050413</v>
      </c>
      <c r="D47" s="7">
        <v>0</v>
      </c>
      <c r="E47" s="7">
        <v>0</v>
      </c>
      <c r="F47" s="7">
        <f t="shared" si="13"/>
        <v>16439889.785328578</v>
      </c>
      <c r="G47" s="7">
        <f t="shared" si="14"/>
        <v>483555937.3558327</v>
      </c>
      <c r="H47" s="7">
        <f t="shared" si="12"/>
        <v>77033319.740249321</v>
      </c>
      <c r="I47" s="1">
        <f t="shared" si="9"/>
        <v>37680</v>
      </c>
    </row>
    <row r="48" spans="1:9" s="97" customFormat="1" x14ac:dyDescent="0.3">
      <c r="A48" s="1">
        <f>+A47+184</f>
        <v>37864</v>
      </c>
      <c r="B48" s="100">
        <f t="shared" si="10"/>
        <v>6</v>
      </c>
      <c r="C48" s="7">
        <f t="shared" si="11"/>
        <v>483555937.3558327</v>
      </c>
      <c r="D48" s="7">
        <v>0</v>
      </c>
      <c r="E48" s="7">
        <v>0</v>
      </c>
      <c r="F48" s="7">
        <f t="shared" si="13"/>
        <v>17300556.869842015</v>
      </c>
      <c r="G48" s="7">
        <f t="shared" si="14"/>
        <v>500856494.22567469</v>
      </c>
      <c r="H48" s="7">
        <f t="shared" si="12"/>
        <v>94333876.610091329</v>
      </c>
      <c r="I48" s="1">
        <f t="shared" si="9"/>
        <v>37864</v>
      </c>
    </row>
    <row r="49" spans="1:9" s="97" customFormat="1" x14ac:dyDescent="0.3">
      <c r="A49" s="1">
        <f>+A48+182</f>
        <v>38046</v>
      </c>
      <c r="B49" s="100">
        <f t="shared" si="10"/>
        <v>7</v>
      </c>
      <c r="C49" s="7">
        <f t="shared" si="11"/>
        <v>500856494.22567469</v>
      </c>
      <c r="D49" s="7">
        <v>0</v>
      </c>
      <c r="E49" s="7">
        <v>0</v>
      </c>
      <c r="F49" s="7">
        <f t="shared" si="13"/>
        <v>17724754.823430821</v>
      </c>
      <c r="G49" s="7">
        <f t="shared" si="14"/>
        <v>518581249.04910553</v>
      </c>
      <c r="H49" s="7">
        <f t="shared" si="12"/>
        <v>112058631.43352215</v>
      </c>
      <c r="I49" s="1">
        <f t="shared" si="9"/>
        <v>38046</v>
      </c>
    </row>
    <row r="50" spans="1:9" s="97" customFormat="1" x14ac:dyDescent="0.3">
      <c r="A50" s="1">
        <f>+A49+184</f>
        <v>38230</v>
      </c>
      <c r="B50" s="100">
        <f t="shared" si="10"/>
        <v>8</v>
      </c>
      <c r="C50" s="7">
        <f t="shared" si="11"/>
        <v>518581249.04910553</v>
      </c>
      <c r="D50" s="7">
        <v>0</v>
      </c>
      <c r="E50" s="7">
        <v>0</v>
      </c>
      <c r="F50" s="7">
        <f t="shared" si="13"/>
        <v>18553684.688201334</v>
      </c>
      <c r="G50" s="7">
        <f t="shared" si="14"/>
        <v>537134933.73730683</v>
      </c>
      <c r="H50" s="7">
        <f t="shared" si="12"/>
        <v>130612316.12172349</v>
      </c>
      <c r="I50" s="1">
        <f t="shared" si="9"/>
        <v>38230</v>
      </c>
    </row>
    <row r="51" spans="1:9" s="97" customFormat="1" x14ac:dyDescent="0.3">
      <c r="A51" s="1">
        <f>+A50+181</f>
        <v>38411</v>
      </c>
      <c r="B51" s="100">
        <f t="shared" si="10"/>
        <v>9</v>
      </c>
      <c r="C51" s="7">
        <f t="shared" si="11"/>
        <v>537134933.73730683</v>
      </c>
      <c r="D51" s="7">
        <v>0</v>
      </c>
      <c r="E51" s="7">
        <v>0</v>
      </c>
      <c r="F51" s="7">
        <f t="shared" si="13"/>
        <v>18904165.584587999</v>
      </c>
      <c r="G51" s="7">
        <f t="shared" si="14"/>
        <v>556039099.32189488</v>
      </c>
      <c r="H51" s="7">
        <f t="shared" si="12"/>
        <v>149516481.70631149</v>
      </c>
      <c r="I51" s="1">
        <f t="shared" si="9"/>
        <v>38411</v>
      </c>
    </row>
    <row r="52" spans="1:9" s="97" customFormat="1" x14ac:dyDescent="0.3">
      <c r="A52" s="1">
        <f>+A51+184</f>
        <v>38595</v>
      </c>
      <c r="B52" s="100">
        <f t="shared" si="10"/>
        <v>10</v>
      </c>
      <c r="C52" s="7">
        <f t="shared" si="11"/>
        <v>556039099.32189488</v>
      </c>
      <c r="D52" s="7">
        <v>0</v>
      </c>
      <c r="E52" s="7">
        <v>0</v>
      </c>
      <c r="F52" s="7">
        <f t="shared" si="13"/>
        <v>19893843.331294466</v>
      </c>
      <c r="G52" s="7">
        <f t="shared" si="14"/>
        <v>575932942.6531893</v>
      </c>
      <c r="H52" s="7">
        <f t="shared" si="12"/>
        <v>169410325.03760597</v>
      </c>
      <c r="I52" s="1">
        <f t="shared" si="9"/>
        <v>38595</v>
      </c>
    </row>
    <row r="53" spans="1:9" s="97" customFormat="1" ht="16.2" thickBot="1" x14ac:dyDescent="0.35">
      <c r="A53" s="1"/>
      <c r="B53" s="1"/>
      <c r="C53" s="7"/>
      <c r="D53" s="12">
        <f>SUM(D43:D52)</f>
        <v>6522617.6155833332</v>
      </c>
      <c r="E53" s="12">
        <f>SUM(E43:E52)</f>
        <v>0</v>
      </c>
      <c r="F53" s="12">
        <f>SUM(F43:F52)</f>
        <v>169410325.03760597</v>
      </c>
      <c r="G53" s="7"/>
      <c r="H53" s="13"/>
    </row>
    <row r="54" spans="1:9" s="97" customFormat="1" ht="16.2" thickTop="1" x14ac:dyDescent="0.3">
      <c r="A54" s="111"/>
      <c r="B54" s="111"/>
    </row>
    <row r="55" spans="1:9" s="97" customFormat="1" x14ac:dyDescent="0.3">
      <c r="A55" s="178">
        <f>+Summary!C5</f>
        <v>36962</v>
      </c>
      <c r="B55" s="178"/>
      <c r="E55" s="97" t="s">
        <v>85</v>
      </c>
      <c r="F55" s="97">
        <f>VLOOKUP(+A55,Note,2)</f>
        <v>1</v>
      </c>
    </row>
    <row r="56" spans="1:9" x14ac:dyDescent="0.3">
      <c r="A56" s="97"/>
      <c r="B56" s="97"/>
      <c r="C56" s="97"/>
      <c r="D56" s="97"/>
      <c r="E56" s="97" t="s">
        <v>1</v>
      </c>
      <c r="F56" s="111">
        <f>VLOOKUP(+A55,Note,1)</f>
        <v>36950</v>
      </c>
      <c r="G56" s="97"/>
    </row>
    <row r="57" spans="1:9" x14ac:dyDescent="0.3">
      <c r="A57" s="97" t="s">
        <v>161</v>
      </c>
      <c r="B57" s="123">
        <f>VLOOKUP(+A55,Loan,8)</f>
        <v>14077777.777777778</v>
      </c>
      <c r="C57" s="97"/>
      <c r="D57" s="97"/>
      <c r="E57" s="97" t="s">
        <v>86</v>
      </c>
      <c r="F57" s="97">
        <f>VLOOKUP(+F55+1,LoanPeriod,5)</f>
        <v>15048147.479629144</v>
      </c>
      <c r="G57" s="97"/>
    </row>
    <row r="58" spans="1:9" x14ac:dyDescent="0.3">
      <c r="A58" s="111" t="s">
        <v>7</v>
      </c>
      <c r="B58" s="97">
        <f>+B56+B57</f>
        <v>14077777.777777778</v>
      </c>
      <c r="C58" s="97"/>
      <c r="D58" s="97"/>
      <c r="E58" s="97" t="s">
        <v>87</v>
      </c>
      <c r="F58" s="111">
        <f>VLOOKUP(+F55+1,NotePeriod,8)</f>
        <v>37134</v>
      </c>
      <c r="G58" s="97"/>
    </row>
    <row r="59" spans="1:9" x14ac:dyDescent="0.3">
      <c r="A59" s="111" t="s">
        <v>88</v>
      </c>
      <c r="B59" s="97">
        <f>A55-F56</f>
        <v>12</v>
      </c>
      <c r="C59" s="97"/>
      <c r="D59" s="97"/>
      <c r="E59" s="111"/>
      <c r="F59" s="97"/>
      <c r="G59" s="97"/>
    </row>
    <row r="60" spans="1:9" x14ac:dyDescent="0.3">
      <c r="A60" s="111" t="s">
        <v>158</v>
      </c>
      <c r="B60" s="97">
        <f>F57*B59/(F58-F56)</f>
        <v>981400.92258450936</v>
      </c>
      <c r="C60" s="97"/>
      <c r="D60" s="97"/>
      <c r="E60" s="97"/>
      <c r="F60" s="97"/>
      <c r="G60" s="97"/>
    </row>
    <row r="61" spans="1:9" x14ac:dyDescent="0.3">
      <c r="A61" s="111" t="s">
        <v>159</v>
      </c>
      <c r="B61" s="97">
        <f>+B57+B60</f>
        <v>15059178.700362287</v>
      </c>
      <c r="C61" s="97"/>
      <c r="D61" s="97"/>
      <c r="E61" s="97"/>
      <c r="F61" s="97"/>
      <c r="G61" s="97"/>
    </row>
    <row r="63" spans="1:9" x14ac:dyDescent="0.3">
      <c r="A63" s="7" t="s">
        <v>170</v>
      </c>
    </row>
    <row r="64" spans="1:9" x14ac:dyDescent="0.3">
      <c r="A64" s="1">
        <f>+'Cash-Int-Trans'!B58</f>
        <v>36917</v>
      </c>
      <c r="B64" s="7" t="s">
        <v>219</v>
      </c>
      <c r="E64" s="7">
        <f>+'Cash-Int-Trans'!B59</f>
        <v>6481031</v>
      </c>
    </row>
    <row r="65" spans="1:5" x14ac:dyDescent="0.3">
      <c r="A65" s="1">
        <f>+A64</f>
        <v>36917</v>
      </c>
      <c r="B65" s="7" t="s">
        <v>220</v>
      </c>
      <c r="C65" s="1"/>
      <c r="D65" s="1">
        <f>+'Cash-Int-Trans'!B60</f>
        <v>36950</v>
      </c>
      <c r="E65" s="158">
        <f>+'Cash-Int-Trans'!B62</f>
        <v>41586.615583333332</v>
      </c>
    </row>
    <row r="66" spans="1:5" x14ac:dyDescent="0.3">
      <c r="E66" s="7">
        <f>SUM(E64:E65)</f>
        <v>6522617.6155833332</v>
      </c>
    </row>
    <row r="68" spans="1:5" x14ac:dyDescent="0.3">
      <c r="A68" s="1"/>
      <c r="D68" s="1"/>
    </row>
  </sheetData>
  <mergeCells count="2">
    <mergeCell ref="A23:B23"/>
    <mergeCell ref="A55:B55"/>
  </mergeCells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34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"/>
  <sheetViews>
    <sheetView workbookViewId="0">
      <selection activeCell="E14" sqref="E14"/>
    </sheetView>
  </sheetViews>
  <sheetFormatPr defaultRowHeight="15.6" x14ac:dyDescent="0.3"/>
  <cols>
    <col min="1" max="1" width="25" customWidth="1"/>
    <col min="2" max="2" width="11.09765625" style="3" bestFit="1" customWidth="1"/>
    <col min="4" max="4" width="14.69921875" bestFit="1" customWidth="1"/>
    <col min="5" max="5" width="15.3984375" bestFit="1" customWidth="1"/>
    <col min="6" max="6" width="14.5" customWidth="1"/>
  </cols>
  <sheetData>
    <row r="1" spans="1:6" x14ac:dyDescent="0.3">
      <c r="D1" s="155" t="s">
        <v>194</v>
      </c>
      <c r="E1" s="52" t="s">
        <v>195</v>
      </c>
    </row>
    <row r="2" spans="1:6" x14ac:dyDescent="0.3">
      <c r="A2" s="58" t="s">
        <v>203</v>
      </c>
      <c r="C2" s="130"/>
      <c r="D2" s="2">
        <f>+Financials!I5</f>
        <v>61.27</v>
      </c>
    </row>
    <row r="3" spans="1:6" x14ac:dyDescent="0.3">
      <c r="A3" t="s">
        <v>196</v>
      </c>
      <c r="B3" s="3">
        <v>50000000</v>
      </c>
      <c r="D3" s="5">
        <f>B3*D2</f>
        <v>3063500000</v>
      </c>
      <c r="E3" s="3">
        <f>ROUND(D3/D2+0.49,0)</f>
        <v>50000000</v>
      </c>
    </row>
    <row r="4" spans="1:6" x14ac:dyDescent="0.3">
      <c r="A4" t="s">
        <v>197</v>
      </c>
      <c r="D4" s="50">
        <f>1400000000+1027000000+500000</f>
        <v>2427500000</v>
      </c>
      <c r="E4" s="153">
        <f>ROUND(D4/D2+0.49,0)</f>
        <v>39619717</v>
      </c>
    </row>
    <row r="5" spans="1:6" x14ac:dyDescent="0.3">
      <c r="A5" t="s">
        <v>198</v>
      </c>
      <c r="D5" s="4">
        <f>D3-D4</f>
        <v>636000000</v>
      </c>
      <c r="E5" s="48">
        <f>E3-E4</f>
        <v>10380283</v>
      </c>
    </row>
    <row r="6" spans="1:6" x14ac:dyDescent="0.3">
      <c r="A6" t="s">
        <v>199</v>
      </c>
      <c r="D6" s="2"/>
    </row>
    <row r="7" spans="1:6" x14ac:dyDescent="0.3">
      <c r="A7" t="s">
        <v>200</v>
      </c>
      <c r="B7" s="3">
        <v>3876755</v>
      </c>
      <c r="D7" s="4">
        <f>+B7*D2</f>
        <v>237528778.85000002</v>
      </c>
      <c r="E7" s="3">
        <v>3876755</v>
      </c>
    </row>
    <row r="8" spans="1:6" x14ac:dyDescent="0.3">
      <c r="A8" t="s">
        <v>201</v>
      </c>
      <c r="B8" s="3">
        <v>7809790</v>
      </c>
      <c r="D8" s="4">
        <f>+B8*D2</f>
        <v>478505833.30000001</v>
      </c>
      <c r="E8" s="3">
        <v>7809790</v>
      </c>
    </row>
    <row r="9" spans="1:6" x14ac:dyDescent="0.3">
      <c r="A9" t="s">
        <v>202</v>
      </c>
      <c r="B9" s="3">
        <v>6326045</v>
      </c>
      <c r="D9" s="50">
        <f>+B9*D2</f>
        <v>387596777.15000004</v>
      </c>
      <c r="E9" s="153">
        <v>6326045</v>
      </c>
    </row>
    <row r="10" spans="1:6" x14ac:dyDescent="0.3">
      <c r="B10" s="3">
        <f>+B7+B8+B9</f>
        <v>18012590</v>
      </c>
      <c r="D10" s="2"/>
    </row>
    <row r="11" spans="1:6" ht="16.2" thickBot="1" x14ac:dyDescent="0.35">
      <c r="A11" t="s">
        <v>25</v>
      </c>
      <c r="D11" s="51">
        <f>D5-SUM(D7:D9)</f>
        <v>-467631389.30000019</v>
      </c>
      <c r="E11" s="154">
        <f>E5-SUM(E7:E9)</f>
        <v>-7632307</v>
      </c>
    </row>
    <row r="12" spans="1:6" ht="16.2" thickTop="1" x14ac:dyDescent="0.3">
      <c r="A12" s="3" t="s">
        <v>226</v>
      </c>
      <c r="D12" s="131">
        <f>+D11/(B3-SUM(B7:B9))</f>
        <v>-14.619232669978601</v>
      </c>
      <c r="E12" s="48"/>
      <c r="F12" s="3"/>
    </row>
    <row r="13" spans="1:6" x14ac:dyDescent="0.3">
      <c r="D13" s="5"/>
      <c r="E13" s="130"/>
      <c r="F13" s="3"/>
    </row>
    <row r="14" spans="1:6" x14ac:dyDescent="0.3">
      <c r="A14" t="s">
        <v>204</v>
      </c>
      <c r="B14" s="3">
        <f>IF(E11&gt;0,B9,IF(B9+E11&gt;0,+B9+E11,0))</f>
        <v>0</v>
      </c>
      <c r="D14" s="5"/>
      <c r="F14" s="3"/>
    </row>
    <row r="17" spans="1:6" x14ac:dyDescent="0.3">
      <c r="A17" t="s">
        <v>205</v>
      </c>
      <c r="B17" s="3">
        <f>+Financials!D15</f>
        <v>6326045</v>
      </c>
      <c r="C17" s="2">
        <f>+Financials!E15</f>
        <v>84.875</v>
      </c>
      <c r="D17" s="4">
        <f>+Financials!B15</f>
        <v>536923069.375</v>
      </c>
    </row>
    <row r="18" spans="1:6" x14ac:dyDescent="0.3">
      <c r="A18" t="s">
        <v>206</v>
      </c>
      <c r="D18" s="4">
        <f>+Financials!B17</f>
        <v>-186923069.375</v>
      </c>
      <c r="E18" s="156">
        <f>-D18/D17</f>
        <v>0.3481375266527213</v>
      </c>
    </row>
    <row r="19" spans="1:6" x14ac:dyDescent="0.3">
      <c r="D19" s="4">
        <f>+D17+D18</f>
        <v>350000000</v>
      </c>
    </row>
    <row r="20" spans="1:6" x14ac:dyDescent="0.3">
      <c r="A20" t="s">
        <v>207</v>
      </c>
      <c r="D20" s="4">
        <f>+Financials!I15</f>
        <v>32946257.889840182</v>
      </c>
      <c r="E20" s="156">
        <f>(+Financials!H2-Financials!A3)/(3*365)</f>
        <v>0.17625570776255708</v>
      </c>
      <c r="F20">
        <f>+D18*E20+D20</f>
        <v>0</v>
      </c>
    </row>
    <row r="21" spans="1:6" x14ac:dyDescent="0.3">
      <c r="A21" t="s">
        <v>209</v>
      </c>
      <c r="D21" s="4">
        <f>+D19+D20</f>
        <v>382946257.88984019</v>
      </c>
      <c r="E21" s="156">
        <f>+D21/D17</f>
        <v>0.71322369950616016</v>
      </c>
    </row>
    <row r="22" spans="1:6" x14ac:dyDescent="0.3">
      <c r="D22" s="4"/>
    </row>
    <row r="23" spans="1:6" x14ac:dyDescent="0.3">
      <c r="A23" t="s">
        <v>210</v>
      </c>
      <c r="B23" s="3">
        <f>+B14</f>
        <v>0</v>
      </c>
      <c r="C23" s="2">
        <f>+C17</f>
        <v>84.875</v>
      </c>
      <c r="D23" s="4">
        <f>+B23*C23</f>
        <v>0</v>
      </c>
    </row>
    <row r="24" spans="1:6" x14ac:dyDescent="0.3">
      <c r="A24" t="s">
        <v>206</v>
      </c>
      <c r="D24" s="4">
        <f>D18/D17*D23</f>
        <v>0</v>
      </c>
      <c r="E24" s="156" t="e">
        <f>-D24/D23</f>
        <v>#DIV/0!</v>
      </c>
    </row>
    <row r="25" spans="1:6" x14ac:dyDescent="0.3">
      <c r="D25" s="4">
        <f>+D23+D24</f>
        <v>0</v>
      </c>
    </row>
    <row r="26" spans="1:6" x14ac:dyDescent="0.3">
      <c r="A26" t="s">
        <v>207</v>
      </c>
      <c r="D26" s="4">
        <f>-D24*E20</f>
        <v>0</v>
      </c>
      <c r="E26" s="156">
        <f>+E20</f>
        <v>0.17625570776255708</v>
      </c>
      <c r="F26">
        <f>+D24*E26+D26</f>
        <v>0</v>
      </c>
    </row>
    <row r="27" spans="1:6" x14ac:dyDescent="0.3">
      <c r="A27" t="s">
        <v>208</v>
      </c>
      <c r="D27" s="4">
        <f>+D25+D26</f>
        <v>0</v>
      </c>
      <c r="E27" s="156" t="e">
        <f>+D27/D23</f>
        <v>#DIV/0!</v>
      </c>
    </row>
    <row r="28" spans="1:6" x14ac:dyDescent="0.3">
      <c r="A28" t="s">
        <v>155</v>
      </c>
      <c r="D28" s="4">
        <f>+Financials!M10-D27</f>
        <v>0</v>
      </c>
      <c r="E28" s="156"/>
    </row>
    <row r="29" spans="1:6" x14ac:dyDescent="0.3">
      <c r="D29" s="4"/>
    </row>
    <row r="30" spans="1:6" x14ac:dyDescent="0.3">
      <c r="A30" t="s">
        <v>211</v>
      </c>
      <c r="B30" s="3">
        <f>+B17-B23</f>
        <v>6326045</v>
      </c>
      <c r="D30" s="4">
        <f>+D21-D27</f>
        <v>382946257.88984019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D4:CL92"/>
  <sheetViews>
    <sheetView topLeftCell="E1" workbookViewId="0">
      <pane xSplit="5" topLeftCell="J1" activePane="topRight" state="frozen"/>
      <selection activeCell="E1" sqref="E1"/>
      <selection pane="topRight"/>
    </sheetView>
  </sheetViews>
  <sheetFormatPr defaultRowHeight="15.6" outlineLevelRow="3" x14ac:dyDescent="0.3"/>
  <cols>
    <col min="1" max="1" width="46" bestFit="1" customWidth="1"/>
    <col min="2" max="2" width="36.19921875" bestFit="1" customWidth="1"/>
    <col min="3" max="3" width="13.19921875" bestFit="1" customWidth="1"/>
    <col min="4" max="4" width="20.8984375" hidden="1" customWidth="1"/>
    <col min="5" max="5" width="35.69921875" bestFit="1" customWidth="1"/>
    <col min="6" max="6" width="8.59765625" bestFit="1" customWidth="1"/>
    <col min="7" max="7" width="24.5" bestFit="1" customWidth="1"/>
    <col min="8" max="8" width="8.69921875" hidden="1" customWidth="1"/>
    <col min="9" max="9" width="15.69921875" hidden="1" customWidth="1"/>
    <col min="10" max="10" width="11.69921875" bestFit="1" customWidth="1"/>
    <col min="11" max="11" width="13" hidden="1" customWidth="1"/>
    <col min="12" max="13" width="7.09765625" hidden="1" customWidth="1"/>
    <col min="14" max="14" width="6.09765625" bestFit="1" customWidth="1"/>
    <col min="15" max="15" width="13" hidden="1" customWidth="1"/>
    <col min="16" max="16" width="12.09765625" hidden="1" customWidth="1"/>
    <col min="17" max="17" width="11" hidden="1" customWidth="1"/>
    <col min="18" max="18" width="12.19921875" hidden="1" customWidth="1"/>
    <col min="19" max="20" width="11.5" hidden="1" customWidth="1"/>
    <col min="21" max="21" width="14.3984375" bestFit="1" customWidth="1"/>
    <col min="22" max="22" width="15.3984375" hidden="1" customWidth="1"/>
    <col min="23" max="23" width="13.5" hidden="1" customWidth="1"/>
    <col min="24" max="24" width="6" hidden="1" customWidth="1"/>
    <col min="25" max="25" width="13.5" hidden="1" customWidth="1"/>
    <col min="26" max="26" width="12.59765625" hidden="1" customWidth="1"/>
    <col min="27" max="27" width="6" hidden="1" customWidth="1"/>
    <col min="28" max="28" width="12.59765625" hidden="1" customWidth="1"/>
    <col min="29" max="29" width="14.3984375" bestFit="1" customWidth="1"/>
    <col min="30" max="30" width="13.09765625" bestFit="1" customWidth="1"/>
    <col min="31" max="31" width="10.59765625" bestFit="1" customWidth="1"/>
    <col min="32" max="32" width="12.69921875" bestFit="1" customWidth="1"/>
    <col min="33" max="33" width="13.09765625" bestFit="1" customWidth="1"/>
    <col min="34" max="34" width="14" bestFit="1" customWidth="1"/>
    <col min="35" max="35" width="10.59765625" bestFit="1" customWidth="1"/>
    <col min="36" max="36" width="12.69921875" bestFit="1" customWidth="1"/>
    <col min="37" max="37" width="14" bestFit="1" customWidth="1"/>
    <col min="38" max="38" width="11.09765625" hidden="1" customWidth="1"/>
    <col min="39" max="39" width="14.3984375" bestFit="1" customWidth="1"/>
    <col min="40" max="40" width="4.59765625" hidden="1" customWidth="1"/>
    <col min="41" max="41" width="7.19921875" hidden="1" customWidth="1"/>
    <col min="42" max="42" width="14.3984375" hidden="1" customWidth="1"/>
    <col min="43" max="43" width="12.69921875" hidden="1" customWidth="1"/>
    <col min="44" max="44" width="13.8984375" hidden="1" customWidth="1"/>
    <col min="45" max="45" width="16.59765625" hidden="1" customWidth="1"/>
    <col min="46" max="46" width="14" hidden="1" customWidth="1"/>
    <col min="47" max="47" width="10.59765625" hidden="1" customWidth="1"/>
    <col min="48" max="48" width="12.69921875" hidden="1" customWidth="1"/>
    <col min="49" max="49" width="14" hidden="1" customWidth="1"/>
    <col min="50" max="50" width="14.8984375" hidden="1" customWidth="1"/>
    <col min="51" max="51" width="10.59765625" hidden="1" customWidth="1"/>
    <col min="52" max="52" width="12.69921875" hidden="1" customWidth="1"/>
    <col min="53" max="53" width="14.8984375" hidden="1" customWidth="1"/>
    <col min="54" max="54" width="8.8984375" bestFit="1" customWidth="1"/>
    <col min="55" max="55" width="12" bestFit="1" customWidth="1"/>
    <col min="56" max="56" width="13.5" hidden="1" customWidth="1"/>
    <col min="57" max="57" width="10.59765625" hidden="1" customWidth="1"/>
    <col min="58" max="58" width="12.69921875" hidden="1" customWidth="1"/>
    <col min="59" max="60" width="13.5" hidden="1" customWidth="1"/>
    <col min="61" max="61" width="10.59765625" hidden="1" customWidth="1"/>
    <col min="62" max="62" width="12.69921875" hidden="1" customWidth="1"/>
    <col min="63" max="63" width="13.5" hidden="1" customWidth="1"/>
    <col min="64" max="64" width="13.8984375" hidden="1" customWidth="1"/>
    <col min="65" max="65" width="9.8984375" hidden="1" customWidth="1"/>
    <col min="66" max="66" width="15.59765625" hidden="1" customWidth="1"/>
    <col min="67" max="67" width="11.8984375" hidden="1" customWidth="1"/>
    <col min="68" max="68" width="12.69921875" hidden="1" customWidth="1"/>
    <col min="69" max="69" width="9.3984375" hidden="1" customWidth="1"/>
    <col min="70" max="70" width="12.09765625" hidden="1" customWidth="1"/>
    <col min="71" max="71" width="9.09765625" hidden="1" customWidth="1"/>
    <col min="72" max="72" width="9" hidden="1" customWidth="1"/>
    <col min="73" max="73" width="15.5" bestFit="1" customWidth="1"/>
    <col min="74" max="74" width="9.59765625" hidden="1" customWidth="1"/>
    <col min="75" max="76" width="9.19921875" hidden="1" customWidth="1"/>
    <col min="77" max="77" width="7.09765625" hidden="1" customWidth="1"/>
    <col min="78" max="78" width="12.59765625" hidden="1" customWidth="1"/>
    <col min="79" max="79" width="13.09765625" bestFit="1" customWidth="1"/>
    <col min="80" max="80" width="13.8984375" hidden="1" customWidth="1"/>
    <col min="81" max="84" width="11.5" hidden="1" customWidth="1"/>
    <col min="85" max="85" width="13.5" hidden="1" customWidth="1"/>
    <col min="86" max="86" width="10.59765625" hidden="1" customWidth="1"/>
    <col min="87" max="87" width="12.69921875" hidden="1" customWidth="1"/>
    <col min="88" max="88" width="13.5" hidden="1" customWidth="1"/>
    <col min="89" max="89" width="9.69921875" hidden="1" customWidth="1"/>
    <col min="90" max="90" width="10" hidden="1" customWidth="1"/>
  </cols>
  <sheetData>
    <row r="4" outlineLevel="3" x14ac:dyDescent="0.3"/>
    <row r="5" ht="20.100000000000001" customHeight="1" outlineLevel="2" x14ac:dyDescent="0.3"/>
    <row r="6" outlineLevel="3" x14ac:dyDescent="0.3"/>
    <row r="7" outlineLevel="3" x14ac:dyDescent="0.3"/>
    <row r="8" ht="20.100000000000001" customHeight="1" outlineLevel="2" x14ac:dyDescent="0.3"/>
    <row r="9" ht="30" customHeight="1" outlineLevel="1" x14ac:dyDescent="0.3"/>
    <row r="10" outlineLevel="3" x14ac:dyDescent="0.3"/>
    <row r="11" ht="20.100000000000001" customHeight="1" outlineLevel="2" x14ac:dyDescent="0.3"/>
    <row r="12" ht="30" customHeight="1" outlineLevel="1" x14ac:dyDescent="0.3"/>
    <row r="13" outlineLevel="3" x14ac:dyDescent="0.3"/>
    <row r="14" outlineLevel="3" x14ac:dyDescent="0.3"/>
    <row r="15" outlineLevel="3" x14ac:dyDescent="0.3"/>
    <row r="16" outlineLevel="3" x14ac:dyDescent="0.3"/>
    <row r="17" outlineLevel="3" x14ac:dyDescent="0.3"/>
    <row r="18" outlineLevel="3" x14ac:dyDescent="0.3"/>
    <row r="19" outlineLevel="3" x14ac:dyDescent="0.3"/>
    <row r="20" ht="20.100000000000001" customHeight="1" outlineLevel="2" x14ac:dyDescent="0.3"/>
    <row r="21" ht="30" customHeight="1" outlineLevel="1" x14ac:dyDescent="0.3"/>
    <row r="22" outlineLevel="3" x14ac:dyDescent="0.3"/>
    <row r="23" ht="20.100000000000001" customHeight="1" outlineLevel="2" x14ac:dyDescent="0.3"/>
    <row r="24" ht="30" customHeight="1" outlineLevel="1" x14ac:dyDescent="0.3"/>
    <row r="25" outlineLevel="3" x14ac:dyDescent="0.3"/>
    <row r="26" outlineLevel="3" x14ac:dyDescent="0.3"/>
    <row r="27" ht="20.100000000000001" customHeight="1" outlineLevel="2" x14ac:dyDescent="0.3"/>
    <row r="28" ht="30" customHeight="1" outlineLevel="1" x14ac:dyDescent="0.3"/>
    <row r="29" outlineLevel="3" x14ac:dyDescent="0.3"/>
    <row r="30" outlineLevel="3" x14ac:dyDescent="0.3"/>
    <row r="31" ht="20.100000000000001" customHeight="1" outlineLevel="2" x14ac:dyDescent="0.3"/>
    <row r="32" ht="30" customHeight="1" outlineLevel="1" x14ac:dyDescent="0.3"/>
    <row r="33" outlineLevel="3" x14ac:dyDescent="0.3"/>
    <row r="34" ht="20.100000000000001" customHeight="1" outlineLevel="2" x14ac:dyDescent="0.3"/>
    <row r="35" ht="30" customHeight="1" outlineLevel="1" x14ac:dyDescent="0.3"/>
    <row r="36" outlineLevel="3" x14ac:dyDescent="0.3"/>
    <row r="37" outlineLevel="3" x14ac:dyDescent="0.3"/>
    <row r="38" ht="20.100000000000001" customHeight="1" outlineLevel="2" x14ac:dyDescent="0.3"/>
    <row r="39" outlineLevel="3" x14ac:dyDescent="0.3"/>
    <row r="40" ht="20.100000000000001" customHeight="1" outlineLevel="2" x14ac:dyDescent="0.3"/>
    <row r="41" outlineLevel="3" x14ac:dyDescent="0.3"/>
    <row r="42" outlineLevel="3" x14ac:dyDescent="0.3"/>
    <row r="43" ht="20.100000000000001" customHeight="1" outlineLevel="2" x14ac:dyDescent="0.3"/>
    <row r="44" outlineLevel="3" x14ac:dyDescent="0.3"/>
    <row r="45" ht="20.100000000000001" customHeight="1" outlineLevel="2" x14ac:dyDescent="0.3"/>
    <row r="46" ht="30" customHeight="1" outlineLevel="1" x14ac:dyDescent="0.3"/>
    <row r="47" outlineLevel="3" x14ac:dyDescent="0.3"/>
    <row r="48" ht="20.100000000000001" customHeight="1" outlineLevel="2" x14ac:dyDescent="0.3"/>
    <row r="49" outlineLevel="3" x14ac:dyDescent="0.3"/>
    <row r="50" outlineLevel="3" x14ac:dyDescent="0.3"/>
    <row r="51" ht="20.100000000000001" customHeight="1" outlineLevel="2" x14ac:dyDescent="0.3"/>
    <row r="52" outlineLevel="3" x14ac:dyDescent="0.3"/>
    <row r="53" outlineLevel="3" x14ac:dyDescent="0.3"/>
    <row r="54" outlineLevel="3" x14ac:dyDescent="0.3"/>
    <row r="55" ht="20.100000000000001" customHeight="1" outlineLevel="2" x14ac:dyDescent="0.3"/>
    <row r="56" outlineLevel="3" x14ac:dyDescent="0.3"/>
    <row r="57" outlineLevel="3" x14ac:dyDescent="0.3"/>
    <row r="58" outlineLevel="3" x14ac:dyDescent="0.3"/>
    <row r="59" outlineLevel="3" x14ac:dyDescent="0.3"/>
    <row r="60" outlineLevel="3" x14ac:dyDescent="0.3"/>
    <row r="61" ht="20.100000000000001" customHeight="1" outlineLevel="2" x14ac:dyDescent="0.3"/>
    <row r="62" outlineLevel="3" x14ac:dyDescent="0.3"/>
    <row r="63" ht="20.100000000000001" customHeight="1" outlineLevel="2" x14ac:dyDescent="0.3"/>
    <row r="64" outlineLevel="3" x14ac:dyDescent="0.3"/>
    <row r="65" outlineLevel="3" x14ac:dyDescent="0.3"/>
    <row r="66" outlineLevel="3" x14ac:dyDescent="0.3"/>
    <row r="67" ht="20.100000000000001" customHeight="1" outlineLevel="2" x14ac:dyDescent="0.3"/>
    <row r="68" ht="30" customHeight="1" outlineLevel="1" x14ac:dyDescent="0.3"/>
    <row r="69" outlineLevel="3" x14ac:dyDescent="0.3"/>
    <row r="70" ht="20.100000000000001" customHeight="1" outlineLevel="2" x14ac:dyDescent="0.3"/>
    <row r="71" outlineLevel="3" x14ac:dyDescent="0.3"/>
    <row r="72" outlineLevel="3" x14ac:dyDescent="0.3"/>
    <row r="73" outlineLevel="3" x14ac:dyDescent="0.3"/>
    <row r="74" outlineLevel="3" x14ac:dyDescent="0.3"/>
    <row r="75" outlineLevel="3" x14ac:dyDescent="0.3"/>
    <row r="76" ht="20.100000000000001" customHeight="1" outlineLevel="2" x14ac:dyDescent="0.3"/>
    <row r="77" outlineLevel="3" x14ac:dyDescent="0.3"/>
    <row r="78" outlineLevel="3" x14ac:dyDescent="0.3"/>
    <row r="79" ht="20.100000000000001" customHeight="1" outlineLevel="2" x14ac:dyDescent="0.3"/>
    <row r="80" outlineLevel="3" x14ac:dyDescent="0.3"/>
    <row r="81" outlineLevel="3" x14ac:dyDescent="0.3"/>
    <row r="82" outlineLevel="3" x14ac:dyDescent="0.3"/>
    <row r="83" outlineLevel="3" x14ac:dyDescent="0.3"/>
    <row r="84" ht="20.100000000000001" customHeight="1" outlineLevel="2" x14ac:dyDescent="0.3"/>
    <row r="85" outlineLevel="3" x14ac:dyDescent="0.3"/>
    <row r="86" ht="20.100000000000001" customHeight="1" outlineLevel="2" x14ac:dyDescent="0.3"/>
    <row r="87" outlineLevel="3" x14ac:dyDescent="0.3"/>
    <row r="88" outlineLevel="3" x14ac:dyDescent="0.3"/>
    <row r="89" ht="20.100000000000001" customHeight="1" outlineLevel="2" x14ac:dyDescent="0.3"/>
    <row r="90" ht="30" customHeight="1" outlineLevel="1" x14ac:dyDescent="0.3"/>
    <row r="91" ht="20.100000000000001" hidden="1" customHeight="1" x14ac:dyDescent="0.3"/>
    <row r="92" ht="30" customHeight="1" x14ac:dyDescent="0.3"/>
  </sheetData>
  <phoneticPr fontId="0" type="noConversion"/>
  <pageMargins left="0.75" right="0.75" top="1" bottom="1" header="0.5" footer="0.5"/>
  <pageSetup paperSize="5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Summary</vt:lpstr>
      <vt:lpstr>Daily Position</vt:lpstr>
      <vt:lpstr>Stock Prices</vt:lpstr>
      <vt:lpstr>Private Values</vt:lpstr>
      <vt:lpstr>Financials</vt:lpstr>
      <vt:lpstr>Cash-Int-Trans</vt:lpstr>
      <vt:lpstr>Amort</vt:lpstr>
      <vt:lpstr>Shares</vt:lpstr>
      <vt:lpstr>MRP Raptor</vt:lpstr>
      <vt:lpstr>Amort</vt:lpstr>
      <vt:lpstr>ene</vt:lpstr>
      <vt:lpstr>Loan</vt:lpstr>
      <vt:lpstr>LoanPeriod</vt:lpstr>
      <vt:lpstr>MPRR</vt:lpstr>
      <vt:lpstr>Note</vt:lpstr>
      <vt:lpstr>NotePeriod</vt:lpstr>
      <vt:lpstr>Summary!Print_Area</vt:lpstr>
      <vt:lpstr>Privates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FXHistory</dc:title>
  <dc:creator>Gordon McKillop</dc:creator>
  <cp:lastModifiedBy>Havlíček Jan</cp:lastModifiedBy>
  <cp:lastPrinted>2000-09-06T13:49:45Z</cp:lastPrinted>
  <dcterms:created xsi:type="dcterms:W3CDTF">2000-08-10T21:11:42Z</dcterms:created>
  <dcterms:modified xsi:type="dcterms:W3CDTF">2023-09-10T16:00:41Z</dcterms:modified>
</cp:coreProperties>
</file>