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12" windowHeight="4572" tabRatio="602" firstSheet="1" activeTab="6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OPM Approach" sheetId="9" r:id="rId7"/>
    <sheet name="RoR" sheetId="11" r:id="rId8"/>
    <sheet name="Scratch" sheetId="10" r:id="rId9"/>
    <sheet name="Sheet4" sheetId="4" state="hidden" r:id="rId10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5+107</definedName>
    <definedName name="ZA0T" localSheetId="1">786654919+0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3" localSheetId="1">'Input and Calc'!$B$64+"R1 Assets minus Liabilities"+""+33+33+473+57+18+342+477+4+3+"-"+"+"+2.6+50+2+4+95+4004505.04479494+5</definedName>
    <definedName name="_ZF104" localSheetId="1">'Input and Calc'!$B$74+"R2 Assets minus Liabilities"+""+33+33+473+72+40+357+499+4+3+"-"+"+"+2.6+50+2+4+95+2119373.37760413+5</definedName>
    <definedName name="_ZF105" localSheetId="1">'Input and Calc'!$B$81+"R3 Assets minus Liabilities"+""+33+33+473+87+62+372+521+4+3+"-"+"+"+2.6+50+2+4+95+19735031.6326224+5</definedName>
    <definedName name="_ZF106" localSheetId="1">'Input and Calc'!$B$89+"R4 Assets minus Liabilities"+""+33+33+473+102+84+387+543+4+3+"-"+"+"+2.6+50+2+4+95+6580450.03316173+5</definedName>
    <definedName name="_ZF107" localSheetId="1">'Input and Calc'!$B$93+"Total"+""+33+33+473+117+106+402+565+4+3+"-"+"+"+2.6+50+2+4+95+19278460.0218597+5</definedName>
  </definedNames>
  <calcPr calcId="92512"/>
</workbook>
</file>

<file path=xl/calcChain.xml><?xml version="1.0" encoding="utf-8"?>
<calcChain xmlns="http://schemas.openxmlformats.org/spreadsheetml/2006/main">
  <c r="G5" i="8" l="1"/>
  <c r="B6" i="8"/>
  <c r="C6" i="8"/>
  <c r="G6" i="8"/>
  <c r="O6" i="8"/>
  <c r="B8" i="8"/>
  <c r="C8" i="8"/>
  <c r="D8" i="8"/>
  <c r="E8" i="8"/>
  <c r="F8" i="8"/>
  <c r="G8" i="8"/>
  <c r="D9" i="8"/>
  <c r="C10" i="8"/>
  <c r="D10" i="8"/>
  <c r="O11" i="8"/>
  <c r="Q11" i="8"/>
  <c r="B12" i="8"/>
  <c r="C12" i="8"/>
  <c r="D12" i="8"/>
  <c r="E12" i="8"/>
  <c r="F12" i="8"/>
  <c r="G12" i="8"/>
  <c r="O12" i="8"/>
  <c r="O13" i="8"/>
  <c r="Q13" i="8"/>
  <c r="O14" i="8"/>
  <c r="B16" i="8"/>
  <c r="M16" i="8"/>
  <c r="B18" i="8"/>
  <c r="C18" i="8"/>
  <c r="B20" i="8"/>
  <c r="C20" i="8"/>
  <c r="E20" i="8"/>
  <c r="N20" i="8"/>
  <c r="P20" i="8"/>
  <c r="Q20" i="8"/>
  <c r="N21" i="8"/>
  <c r="N22" i="8"/>
  <c r="B23" i="8"/>
  <c r="B23" i="8" a="1"/>
  <c r="C23" i="8"/>
  <c r="D23" i="8"/>
  <c r="E23" i="8"/>
  <c r="F23" i="8"/>
  <c r="G23" i="8"/>
  <c r="N23" i="8"/>
  <c r="R23" i="8"/>
  <c r="B24" i="8"/>
  <c r="C24" i="8"/>
  <c r="D24" i="8"/>
  <c r="E24" i="8"/>
  <c r="F24" i="8"/>
  <c r="G24" i="8"/>
  <c r="R24" i="8"/>
  <c r="B25" i="8"/>
  <c r="C25" i="8"/>
  <c r="D25" i="8"/>
  <c r="E25" i="8"/>
  <c r="F25" i="8"/>
  <c r="G25" i="8"/>
  <c r="R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M28" i="8"/>
  <c r="M29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P49" i="8"/>
  <c r="B50" i="8"/>
  <c r="C50" i="8"/>
  <c r="D50" i="8"/>
  <c r="E50" i="8"/>
  <c r="F50" i="8"/>
  <c r="G50" i="8"/>
  <c r="N50" i="8"/>
  <c r="O50" i="8"/>
  <c r="P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P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I54" i="8"/>
  <c r="J54" i="8"/>
  <c r="B55" i="8"/>
  <c r="C55" i="8"/>
  <c r="D55" i="8"/>
  <c r="E55" i="8"/>
  <c r="F55" i="8"/>
  <c r="G55" i="8"/>
  <c r="I55" i="8"/>
  <c r="J55" i="8"/>
  <c r="B59" i="8"/>
  <c r="B60" i="8"/>
  <c r="B61" i="8"/>
  <c r="B62" i="8"/>
  <c r="B64" i="8"/>
  <c r="B65" i="8"/>
  <c r="C65" i="8"/>
  <c r="B68" i="8"/>
  <c r="B69" i="8"/>
  <c r="B70" i="8"/>
  <c r="E72" i="8"/>
  <c r="M72" i="8"/>
  <c r="B74" i="8"/>
  <c r="M74" i="8"/>
  <c r="N74" i="8"/>
  <c r="O74" i="8"/>
  <c r="P74" i="8"/>
  <c r="Q74" i="8"/>
  <c r="B75" i="8"/>
  <c r="C75" i="8"/>
  <c r="M75" i="8"/>
  <c r="N75" i="8"/>
  <c r="O75" i="8"/>
  <c r="P75" i="8"/>
  <c r="Q75" i="8"/>
  <c r="M76" i="8"/>
  <c r="N76" i="8"/>
  <c r="O76" i="8"/>
  <c r="P76" i="8"/>
  <c r="Q76" i="8"/>
  <c r="Q77" i="8"/>
  <c r="B78" i="8"/>
  <c r="M78" i="8"/>
  <c r="O79" i="8"/>
  <c r="B80" i="8"/>
  <c r="O80" i="8"/>
  <c r="B81" i="8"/>
  <c r="B82" i="8"/>
  <c r="C82" i="8"/>
  <c r="M82" i="8"/>
  <c r="M84" i="8"/>
  <c r="B85" i="8"/>
  <c r="B86" i="8"/>
  <c r="B87" i="8"/>
  <c r="B89" i="8"/>
  <c r="B90" i="8"/>
  <c r="C90" i="8"/>
  <c r="B91" i="8"/>
  <c r="C91" i="8"/>
  <c r="B93" i="8"/>
  <c r="K8" i="9"/>
  <c r="K9" i="9"/>
  <c r="C10" i="9"/>
  <c r="F10" i="9"/>
  <c r="K10" i="9"/>
  <c r="K11" i="9"/>
  <c r="C12" i="9"/>
  <c r="C13" i="9"/>
  <c r="K14" i="9"/>
  <c r="D20" i="9"/>
  <c r="F20" i="9"/>
  <c r="H20" i="9"/>
  <c r="I20" i="9"/>
  <c r="D21" i="9"/>
  <c r="F21" i="9"/>
  <c r="H21" i="9"/>
  <c r="I21" i="9"/>
  <c r="D22" i="9"/>
  <c r="F22" i="9"/>
  <c r="H22" i="9"/>
  <c r="I22" i="9"/>
  <c r="F23" i="9"/>
  <c r="H23" i="9"/>
  <c r="I23" i="9"/>
  <c r="J24" i="9"/>
  <c r="F26" i="9"/>
  <c r="I26" i="9"/>
  <c r="J26" i="9"/>
  <c r="D29" i="9"/>
  <c r="F29" i="9"/>
  <c r="H29" i="9"/>
  <c r="I29" i="9"/>
  <c r="D30" i="9"/>
  <c r="F30" i="9"/>
  <c r="H30" i="9"/>
  <c r="I30" i="9"/>
  <c r="J31" i="9"/>
  <c r="D34" i="9"/>
  <c r="I34" i="9"/>
  <c r="D35" i="9"/>
  <c r="F35" i="9"/>
  <c r="I35" i="9"/>
  <c r="D36" i="9"/>
  <c r="I36" i="9"/>
  <c r="I37" i="9"/>
  <c r="H40" i="9"/>
  <c r="I40" i="9"/>
  <c r="J43" i="9"/>
  <c r="C48" i="9"/>
  <c r="H48" i="9"/>
  <c r="C49" i="9"/>
  <c r="F49" i="9"/>
  <c r="D53" i="9"/>
  <c r="F53" i="9"/>
  <c r="H53" i="9"/>
  <c r="I53" i="9"/>
  <c r="D54" i="9"/>
  <c r="F54" i="9"/>
  <c r="H54" i="9"/>
  <c r="I54" i="9"/>
  <c r="D55" i="9"/>
  <c r="F55" i="9"/>
  <c r="H55" i="9"/>
  <c r="I55" i="9"/>
  <c r="J56" i="9"/>
  <c r="D59" i="9"/>
  <c r="F59" i="9"/>
  <c r="H59" i="9"/>
  <c r="I59" i="9"/>
  <c r="D60" i="9"/>
  <c r="F60" i="9"/>
  <c r="H60" i="9"/>
  <c r="I60" i="9"/>
  <c r="J61" i="9"/>
  <c r="D63" i="9"/>
  <c r="F63" i="9"/>
  <c r="H63" i="9"/>
  <c r="I63" i="9"/>
  <c r="D64" i="9"/>
  <c r="F64" i="9"/>
  <c r="H64" i="9"/>
  <c r="I64" i="9"/>
  <c r="J65" i="9"/>
  <c r="F67" i="9"/>
  <c r="I67" i="9"/>
  <c r="D70" i="9"/>
  <c r="F70" i="9"/>
  <c r="H70" i="9"/>
  <c r="I70" i="9"/>
  <c r="D71" i="9"/>
  <c r="F71" i="9"/>
  <c r="H71" i="9"/>
  <c r="I71" i="9"/>
  <c r="D72" i="9"/>
  <c r="F72" i="9"/>
  <c r="H72" i="9"/>
  <c r="I72" i="9"/>
  <c r="J73" i="9"/>
  <c r="J77" i="9"/>
  <c r="C81" i="9"/>
  <c r="H81" i="9"/>
  <c r="C82" i="9"/>
  <c r="F82" i="9"/>
  <c r="D86" i="9"/>
  <c r="F86" i="9"/>
  <c r="H86" i="9"/>
  <c r="I86" i="9"/>
  <c r="D87" i="9"/>
  <c r="F87" i="9"/>
  <c r="H87" i="9"/>
  <c r="I87" i="9"/>
  <c r="D88" i="9"/>
  <c r="F88" i="9"/>
  <c r="H88" i="9"/>
  <c r="I88" i="9"/>
  <c r="J89" i="9"/>
  <c r="D92" i="9"/>
  <c r="F92" i="9"/>
  <c r="H92" i="9"/>
  <c r="I92" i="9"/>
  <c r="D93" i="9"/>
  <c r="F93" i="9"/>
  <c r="H93" i="9"/>
  <c r="I93" i="9"/>
  <c r="J94" i="9"/>
  <c r="D96" i="9"/>
  <c r="F96" i="9"/>
  <c r="H96" i="9"/>
  <c r="I96" i="9"/>
  <c r="D97" i="9"/>
  <c r="F97" i="9"/>
  <c r="H97" i="9"/>
  <c r="I97" i="9"/>
  <c r="J98" i="9"/>
  <c r="F100" i="9"/>
  <c r="I100" i="9"/>
  <c r="J100" i="9"/>
  <c r="E103" i="9"/>
  <c r="F103" i="9"/>
  <c r="H103" i="9"/>
  <c r="I103" i="9"/>
  <c r="D104" i="9"/>
  <c r="F104" i="9"/>
  <c r="H104" i="9"/>
  <c r="I104" i="9"/>
  <c r="F105" i="9"/>
  <c r="H105" i="9"/>
  <c r="I105" i="9"/>
  <c r="H106" i="9"/>
  <c r="I106" i="9"/>
  <c r="J107" i="9"/>
  <c r="D109" i="9"/>
  <c r="F109" i="9"/>
  <c r="H109" i="9"/>
  <c r="I109" i="9"/>
  <c r="D110" i="9"/>
  <c r="F110" i="9"/>
  <c r="H110" i="9"/>
  <c r="I110" i="9"/>
  <c r="D111" i="9"/>
  <c r="F111" i="9"/>
  <c r="H111" i="9"/>
  <c r="I111" i="9"/>
  <c r="J112" i="9"/>
  <c r="C8" i="3"/>
  <c r="H15" i="3"/>
  <c r="I15" i="3"/>
  <c r="C16" i="3"/>
  <c r="H16" i="3"/>
  <c r="I16" i="3"/>
  <c r="H18" i="3"/>
  <c r="I18" i="3"/>
  <c r="I24" i="3"/>
  <c r="I28" i="3"/>
  <c r="I42" i="3"/>
  <c r="I43" i="3"/>
  <c r="I44" i="3"/>
  <c r="I45" i="3"/>
  <c r="I46" i="3"/>
  <c r="I50" i="3"/>
  <c r="I51" i="3"/>
  <c r="I55" i="3"/>
  <c r="I56" i="3"/>
  <c r="I65" i="3"/>
  <c r="I67" i="3"/>
  <c r="I15" i="5"/>
  <c r="E12" i="6"/>
  <c r="E13" i="6"/>
  <c r="E14" i="6"/>
  <c r="C15" i="6"/>
  <c r="E15" i="6"/>
  <c r="G15" i="6"/>
  <c r="K15" i="6"/>
  <c r="C17" i="6"/>
  <c r="C18" i="6"/>
  <c r="C19" i="6"/>
  <c r="E2" i="11"/>
  <c r="F2" i="11"/>
  <c r="H2" i="11"/>
  <c r="J2" i="11"/>
  <c r="E3" i="11"/>
  <c r="F3" i="11"/>
  <c r="H3" i="11"/>
  <c r="J3" i="11"/>
  <c r="B5" i="11"/>
  <c r="C5" i="11"/>
  <c r="E5" i="11"/>
  <c r="G5" i="11"/>
  <c r="E6" i="11"/>
  <c r="G6" i="11"/>
  <c r="G8" i="11"/>
  <c r="H16" i="11"/>
  <c r="I16" i="11"/>
  <c r="J16" i="11"/>
  <c r="K16" i="11"/>
  <c r="M16" i="11"/>
  <c r="O16" i="11"/>
  <c r="AE16" i="11"/>
  <c r="AF16" i="11"/>
  <c r="AS16" i="11"/>
  <c r="H17" i="11"/>
  <c r="I17" i="11"/>
  <c r="J17" i="11"/>
  <c r="K17" i="11"/>
  <c r="M17" i="11"/>
  <c r="O17" i="11"/>
  <c r="AE17" i="11"/>
  <c r="AF17" i="11"/>
  <c r="AS17" i="11"/>
  <c r="H18" i="11"/>
  <c r="I18" i="11"/>
  <c r="J18" i="11"/>
  <c r="K18" i="11"/>
  <c r="M18" i="11"/>
  <c r="O18" i="11"/>
  <c r="AE18" i="11"/>
  <c r="AF18" i="11"/>
  <c r="AS18" i="11"/>
  <c r="H19" i="11"/>
  <c r="I19" i="11"/>
  <c r="J19" i="11"/>
  <c r="K19" i="11"/>
  <c r="M19" i="11"/>
  <c r="O19" i="11"/>
  <c r="AE19" i="11"/>
  <c r="AF19" i="11"/>
  <c r="AS19" i="11"/>
  <c r="H20" i="11"/>
  <c r="I20" i="11"/>
  <c r="J20" i="11"/>
  <c r="K20" i="11"/>
  <c r="M20" i="11"/>
  <c r="O20" i="11"/>
  <c r="AE20" i="11"/>
  <c r="AF20" i="11"/>
  <c r="AS20" i="11"/>
  <c r="H21" i="11"/>
  <c r="I21" i="11"/>
  <c r="J21" i="11"/>
  <c r="K21" i="11"/>
  <c r="M21" i="11"/>
  <c r="O21" i="11"/>
  <c r="AE21" i="11"/>
  <c r="AF21" i="11"/>
  <c r="AS21" i="11"/>
  <c r="H22" i="11"/>
  <c r="I22" i="11"/>
  <c r="J22" i="11"/>
  <c r="K22" i="11"/>
  <c r="M22" i="11"/>
  <c r="O22" i="11"/>
  <c r="AE22" i="11"/>
  <c r="AF22" i="11"/>
  <c r="AS22" i="11"/>
  <c r="H23" i="11"/>
  <c r="I23" i="11"/>
  <c r="J23" i="11"/>
  <c r="K23" i="11"/>
  <c r="M23" i="11"/>
  <c r="O23" i="11"/>
  <c r="AE23" i="11"/>
  <c r="AF23" i="11"/>
  <c r="AS23" i="11"/>
  <c r="H24" i="11"/>
  <c r="I24" i="11"/>
  <c r="J24" i="11"/>
  <c r="K24" i="11"/>
  <c r="M24" i="11"/>
  <c r="O24" i="11"/>
  <c r="AE24" i="11"/>
  <c r="AF24" i="11"/>
  <c r="AS24" i="11"/>
  <c r="H25" i="11"/>
  <c r="I25" i="11"/>
  <c r="J25" i="11"/>
  <c r="K25" i="11"/>
  <c r="M25" i="11"/>
  <c r="O25" i="11"/>
  <c r="AE25" i="11"/>
  <c r="AF25" i="11"/>
  <c r="AS25" i="11"/>
  <c r="H26" i="11"/>
  <c r="I26" i="11"/>
  <c r="J26" i="11"/>
  <c r="K26" i="11"/>
  <c r="M26" i="11"/>
  <c r="O26" i="11"/>
  <c r="AE26" i="11"/>
  <c r="AF26" i="11"/>
  <c r="AS26" i="11"/>
  <c r="H27" i="11"/>
  <c r="I27" i="11"/>
  <c r="J27" i="11"/>
  <c r="K27" i="11"/>
  <c r="M27" i="11"/>
  <c r="O27" i="11"/>
  <c r="AE27" i="11"/>
  <c r="AF27" i="11"/>
  <c r="AS27" i="11"/>
  <c r="H28" i="11"/>
  <c r="I28" i="11"/>
  <c r="J28" i="11"/>
  <c r="K28" i="11"/>
  <c r="M28" i="11"/>
  <c r="O28" i="11"/>
  <c r="AE28" i="11"/>
  <c r="AF28" i="11"/>
  <c r="AS28" i="11"/>
  <c r="H29" i="11"/>
  <c r="I29" i="11"/>
  <c r="J29" i="11"/>
  <c r="K29" i="11"/>
  <c r="M29" i="11"/>
  <c r="O29" i="11"/>
  <c r="AE29" i="11"/>
  <c r="AF29" i="11"/>
  <c r="AS29" i="11"/>
  <c r="H30" i="11"/>
  <c r="I30" i="11"/>
  <c r="J30" i="11"/>
  <c r="K30" i="11"/>
  <c r="M30" i="11"/>
  <c r="O30" i="11"/>
  <c r="AE30" i="11"/>
  <c r="AF30" i="11"/>
  <c r="AS30" i="11"/>
  <c r="H31" i="11"/>
  <c r="I31" i="11"/>
  <c r="J31" i="11"/>
  <c r="K31" i="11"/>
  <c r="M31" i="11"/>
  <c r="O31" i="11"/>
  <c r="AE31" i="11"/>
  <c r="AF31" i="11"/>
  <c r="AK31" i="11"/>
  <c r="AS31" i="11"/>
  <c r="AX31" i="11"/>
  <c r="H32" i="11"/>
  <c r="I32" i="11"/>
  <c r="J32" i="11"/>
  <c r="K32" i="11"/>
  <c r="M32" i="11"/>
  <c r="O32" i="11"/>
  <c r="U32" i="11"/>
  <c r="AE32" i="11"/>
  <c r="AF32" i="11"/>
  <c r="AS32" i="11"/>
  <c r="H33" i="11"/>
  <c r="I33" i="11"/>
  <c r="J33" i="11"/>
  <c r="K33" i="11"/>
  <c r="M33" i="11"/>
  <c r="O33" i="11"/>
  <c r="AE33" i="11"/>
  <c r="AF33" i="11"/>
  <c r="AS33" i="11"/>
  <c r="H34" i="11"/>
  <c r="I34" i="11"/>
  <c r="J34" i="11"/>
  <c r="K34" i="11"/>
  <c r="M34" i="11"/>
  <c r="O34" i="11"/>
  <c r="AE34" i="11"/>
  <c r="AF34" i="11"/>
  <c r="AS34" i="11"/>
  <c r="H35" i="11"/>
  <c r="I35" i="11"/>
  <c r="J35" i="11"/>
  <c r="K35" i="11"/>
  <c r="M35" i="11"/>
  <c r="O35" i="11"/>
  <c r="AE35" i="11"/>
  <c r="AF35" i="11"/>
  <c r="AJ35" i="11"/>
  <c r="AS35" i="11"/>
  <c r="AW35" i="11"/>
  <c r="H36" i="11"/>
  <c r="I36" i="11"/>
  <c r="J36" i="11"/>
  <c r="K36" i="11"/>
  <c r="M36" i="11"/>
  <c r="O36" i="11"/>
  <c r="AE36" i="11"/>
  <c r="AF36" i="11"/>
  <c r="AS36" i="11"/>
  <c r="H37" i="11"/>
  <c r="I37" i="11"/>
  <c r="J37" i="11"/>
  <c r="K37" i="11"/>
  <c r="M37" i="11"/>
  <c r="O37" i="11"/>
  <c r="AE37" i="11"/>
  <c r="AF37" i="11"/>
  <c r="AS37" i="11"/>
  <c r="H38" i="11"/>
  <c r="I38" i="11"/>
  <c r="J38" i="11"/>
  <c r="K38" i="11"/>
  <c r="M38" i="11"/>
  <c r="O38" i="11"/>
  <c r="AE38" i="11"/>
  <c r="AF38" i="11"/>
  <c r="AS38" i="11"/>
  <c r="H39" i="11"/>
  <c r="I39" i="11"/>
  <c r="J39" i="11"/>
  <c r="K39" i="11"/>
  <c r="M39" i="11"/>
  <c r="O39" i="11"/>
  <c r="AE39" i="11"/>
  <c r="AF39" i="11"/>
  <c r="AS39" i="11"/>
  <c r="H40" i="11"/>
  <c r="I40" i="11"/>
  <c r="J40" i="11"/>
  <c r="K40" i="11"/>
  <c r="M40" i="11"/>
  <c r="O40" i="11"/>
  <c r="AE40" i="11"/>
  <c r="AF40" i="11"/>
  <c r="AS40" i="11"/>
  <c r="H41" i="11"/>
  <c r="I41" i="11"/>
  <c r="J41" i="11"/>
  <c r="K41" i="11"/>
  <c r="M41" i="11"/>
  <c r="O41" i="11"/>
  <c r="AE41" i="11"/>
  <c r="AF41" i="11"/>
  <c r="AS41" i="11"/>
  <c r="H42" i="11"/>
  <c r="I42" i="11"/>
  <c r="J42" i="11"/>
  <c r="K42" i="11"/>
  <c r="M42" i="11"/>
  <c r="O42" i="11"/>
  <c r="AE42" i="11"/>
  <c r="AF42" i="11"/>
  <c r="AS42" i="11"/>
  <c r="H43" i="11"/>
  <c r="I43" i="11"/>
  <c r="J43" i="11"/>
  <c r="K43" i="11"/>
  <c r="M43" i="11"/>
  <c r="O43" i="11"/>
  <c r="AE43" i="11"/>
  <c r="AF43" i="11"/>
  <c r="AS43" i="11"/>
  <c r="H44" i="11"/>
  <c r="I44" i="11"/>
  <c r="J44" i="11"/>
  <c r="K44" i="11"/>
  <c r="M44" i="11"/>
  <c r="O44" i="11"/>
  <c r="AE44" i="11"/>
  <c r="AF44" i="11"/>
  <c r="AS44" i="11"/>
  <c r="H45" i="11"/>
  <c r="I45" i="11"/>
  <c r="J45" i="11"/>
  <c r="K45" i="11"/>
  <c r="M45" i="11"/>
  <c r="O45" i="11"/>
  <c r="AE45" i="11"/>
  <c r="AF45" i="11"/>
  <c r="AS45" i="11"/>
  <c r="H46" i="11"/>
  <c r="I46" i="11"/>
  <c r="J46" i="11"/>
  <c r="K46" i="11"/>
  <c r="M46" i="11"/>
  <c r="O46" i="11"/>
  <c r="AE46" i="11"/>
  <c r="AF46" i="11"/>
  <c r="AS46" i="11"/>
  <c r="H47" i="11"/>
  <c r="I47" i="11"/>
  <c r="J47" i="11"/>
  <c r="K47" i="11"/>
  <c r="M47" i="11"/>
  <c r="O47" i="11"/>
  <c r="AE47" i="11"/>
  <c r="AF47" i="11"/>
  <c r="AS47" i="11"/>
  <c r="H48" i="11"/>
  <c r="I48" i="11"/>
  <c r="J48" i="11"/>
  <c r="K48" i="11"/>
  <c r="M48" i="11"/>
  <c r="O48" i="11"/>
  <c r="AE48" i="11"/>
  <c r="AF48" i="11"/>
  <c r="AS48" i="11"/>
  <c r="H49" i="11"/>
  <c r="I49" i="11"/>
  <c r="J49" i="11"/>
  <c r="K49" i="11"/>
  <c r="M49" i="11"/>
  <c r="O49" i="11"/>
  <c r="AE49" i="11"/>
  <c r="AF49" i="11"/>
  <c r="AS49" i="11"/>
  <c r="H50" i="11"/>
  <c r="I50" i="11"/>
  <c r="J50" i="11"/>
  <c r="K50" i="11"/>
  <c r="M50" i="11"/>
  <c r="O50" i="11"/>
  <c r="AE50" i="11"/>
  <c r="AF50" i="11"/>
  <c r="AS50" i="11"/>
  <c r="H51" i="11"/>
  <c r="I51" i="11"/>
  <c r="J51" i="11"/>
  <c r="K51" i="11"/>
  <c r="M51" i="11"/>
  <c r="O51" i="11"/>
  <c r="U51" i="11"/>
  <c r="AE51" i="11"/>
  <c r="AF51" i="11"/>
  <c r="AS51" i="11"/>
  <c r="H52" i="11"/>
  <c r="I52" i="11"/>
  <c r="J52" i="11"/>
  <c r="K52" i="11"/>
  <c r="M52" i="11"/>
  <c r="O52" i="11"/>
  <c r="AE52" i="11"/>
  <c r="AF52" i="11"/>
  <c r="AS52" i="11"/>
  <c r="H53" i="11"/>
  <c r="I53" i="11"/>
  <c r="J53" i="11"/>
  <c r="K53" i="11"/>
  <c r="M53" i="11"/>
  <c r="O53" i="11"/>
  <c r="AE53" i="11"/>
  <c r="AF53" i="11"/>
  <c r="AS53" i="11"/>
  <c r="H54" i="11"/>
  <c r="I54" i="11"/>
  <c r="J54" i="11"/>
  <c r="K54" i="11"/>
  <c r="M54" i="11"/>
  <c r="O54" i="11"/>
  <c r="AE54" i="11"/>
  <c r="AF54" i="11"/>
  <c r="AS54" i="11"/>
  <c r="H55" i="11"/>
  <c r="I55" i="11"/>
  <c r="J55" i="11"/>
  <c r="K55" i="11"/>
  <c r="M55" i="11"/>
  <c r="O55" i="11"/>
  <c r="AE55" i="11"/>
  <c r="AF55" i="11"/>
  <c r="AS55" i="11"/>
  <c r="H56" i="11"/>
  <c r="I56" i="11"/>
  <c r="J56" i="11"/>
  <c r="K56" i="11"/>
  <c r="M56" i="11"/>
  <c r="O56" i="11"/>
  <c r="AE56" i="11"/>
  <c r="AF56" i="11"/>
  <c r="AS56" i="11"/>
  <c r="H57" i="11"/>
  <c r="I57" i="11"/>
  <c r="J57" i="11"/>
  <c r="K57" i="11"/>
  <c r="M57" i="11"/>
  <c r="O57" i="11"/>
  <c r="AE57" i="11"/>
  <c r="AF57" i="11"/>
  <c r="AS57" i="11"/>
  <c r="H58" i="11"/>
  <c r="I58" i="11"/>
  <c r="J58" i="11"/>
  <c r="K58" i="11"/>
  <c r="M58" i="11"/>
  <c r="O58" i="11"/>
  <c r="AE58" i="11"/>
  <c r="AF58" i="11"/>
  <c r="AS58" i="11"/>
  <c r="H59" i="11"/>
  <c r="I59" i="11"/>
  <c r="J59" i="11"/>
  <c r="K59" i="11"/>
  <c r="M59" i="11"/>
  <c r="O59" i="11"/>
  <c r="AE59" i="11"/>
  <c r="AF59" i="11"/>
  <c r="AS59" i="11"/>
  <c r="H60" i="11"/>
  <c r="I60" i="11"/>
  <c r="J60" i="11"/>
  <c r="K60" i="11"/>
  <c r="M60" i="11"/>
  <c r="O60" i="11"/>
  <c r="AE60" i="11"/>
  <c r="AF60" i="11"/>
  <c r="AS60" i="11"/>
  <c r="H61" i="11"/>
  <c r="I61" i="11"/>
  <c r="J61" i="11"/>
  <c r="K61" i="11"/>
  <c r="M61" i="11"/>
  <c r="O61" i="11"/>
  <c r="AE61" i="11"/>
  <c r="AF61" i="11"/>
  <c r="AS61" i="11"/>
  <c r="H62" i="11"/>
  <c r="I62" i="11"/>
  <c r="J62" i="11"/>
  <c r="K62" i="11"/>
  <c r="M62" i="11"/>
  <c r="O62" i="11"/>
  <c r="AE62" i="11"/>
  <c r="AF62" i="11"/>
  <c r="AS62" i="11"/>
  <c r="H63" i="11"/>
  <c r="I63" i="11"/>
  <c r="J63" i="11"/>
  <c r="K63" i="11"/>
  <c r="M63" i="11"/>
  <c r="O63" i="11"/>
  <c r="AE63" i="11"/>
  <c r="AF63" i="11"/>
  <c r="AS63" i="11"/>
  <c r="H64" i="11"/>
  <c r="I64" i="11"/>
  <c r="J64" i="11"/>
  <c r="K64" i="11"/>
  <c r="M64" i="11"/>
  <c r="O64" i="11"/>
  <c r="AE64" i="11"/>
  <c r="AF64" i="11"/>
  <c r="AS64" i="11"/>
  <c r="H65" i="11"/>
  <c r="I65" i="11"/>
  <c r="J65" i="11"/>
  <c r="K65" i="11"/>
  <c r="M65" i="11"/>
  <c r="O65" i="11"/>
  <c r="AE65" i="11"/>
  <c r="AF65" i="11"/>
  <c r="AS65" i="11"/>
  <c r="H66" i="11"/>
  <c r="I66" i="11"/>
  <c r="J66" i="11"/>
  <c r="K66" i="11"/>
  <c r="M66" i="11"/>
  <c r="O66" i="11"/>
  <c r="AE66" i="11"/>
  <c r="AF66" i="11"/>
  <c r="AS66" i="11"/>
  <c r="H67" i="11"/>
  <c r="I67" i="11"/>
  <c r="J67" i="11"/>
  <c r="K67" i="11"/>
  <c r="M67" i="11"/>
  <c r="O67" i="11"/>
  <c r="AE67" i="11"/>
  <c r="AF67" i="11"/>
  <c r="AS67" i="11"/>
  <c r="H68" i="11"/>
  <c r="I68" i="11"/>
  <c r="J68" i="11"/>
  <c r="K68" i="11"/>
  <c r="M68" i="11"/>
  <c r="O68" i="11"/>
  <c r="AE68" i="11"/>
  <c r="AF68" i="11"/>
  <c r="AS68" i="11"/>
  <c r="H69" i="11"/>
  <c r="I69" i="11"/>
  <c r="J69" i="11"/>
  <c r="K69" i="11"/>
  <c r="M69" i="11"/>
  <c r="O69" i="11"/>
  <c r="AE69" i="11"/>
  <c r="AF69" i="11"/>
  <c r="AS69" i="11"/>
  <c r="H70" i="11"/>
  <c r="I70" i="11"/>
  <c r="J70" i="11"/>
  <c r="K70" i="11"/>
  <c r="M70" i="11"/>
  <c r="O70" i="11"/>
  <c r="U70" i="11"/>
  <c r="AE70" i="11"/>
  <c r="AF70" i="11"/>
  <c r="AS70" i="11"/>
  <c r="H71" i="11"/>
  <c r="I71" i="11"/>
  <c r="J71" i="11"/>
  <c r="K71" i="11"/>
  <c r="M71" i="11"/>
  <c r="O71" i="11"/>
  <c r="AE71" i="11"/>
  <c r="AF71" i="11"/>
  <c r="AS71" i="11"/>
  <c r="H72" i="11"/>
  <c r="I72" i="11"/>
  <c r="J72" i="11"/>
  <c r="K72" i="11"/>
  <c r="M72" i="11"/>
  <c r="O72" i="11"/>
  <c r="AE72" i="11"/>
  <c r="AF72" i="11"/>
  <c r="AS72" i="11"/>
  <c r="H73" i="11"/>
  <c r="I73" i="11"/>
  <c r="J73" i="11"/>
  <c r="K73" i="11"/>
  <c r="M73" i="11"/>
  <c r="O73" i="11"/>
  <c r="U73" i="11"/>
  <c r="AE73" i="11"/>
  <c r="AF73" i="11"/>
  <c r="AS73" i="11"/>
  <c r="H74" i="11"/>
  <c r="I74" i="11"/>
  <c r="J74" i="11"/>
  <c r="K74" i="11"/>
  <c r="M74" i="11"/>
  <c r="O74" i="11"/>
  <c r="U74" i="11"/>
  <c r="X74" i="11"/>
  <c r="AE74" i="11"/>
  <c r="AF74" i="11"/>
  <c r="AS74" i="11"/>
  <c r="H75" i="11"/>
  <c r="I75" i="11"/>
  <c r="J75" i="11"/>
  <c r="K75" i="11"/>
  <c r="M75" i="11"/>
  <c r="O75" i="11"/>
  <c r="U75" i="11"/>
  <c r="AE75" i="11"/>
  <c r="AF75" i="11"/>
  <c r="AS75" i="11"/>
  <c r="H76" i="11"/>
  <c r="I76" i="11"/>
  <c r="J76" i="11"/>
  <c r="K76" i="11"/>
  <c r="M76" i="11"/>
  <c r="O76" i="11"/>
  <c r="T76" i="11"/>
  <c r="AE76" i="11"/>
  <c r="AF76" i="11"/>
  <c r="AS76" i="11"/>
  <c r="H77" i="11"/>
  <c r="I77" i="11"/>
  <c r="J77" i="11"/>
  <c r="K77" i="11"/>
  <c r="M77" i="11"/>
  <c r="O77" i="11"/>
  <c r="AE77" i="11"/>
  <c r="AF77" i="11"/>
  <c r="AS77" i="11"/>
  <c r="H78" i="11"/>
  <c r="I78" i="11"/>
  <c r="J78" i="11"/>
  <c r="K78" i="11"/>
  <c r="M78" i="11"/>
  <c r="O78" i="11"/>
  <c r="AE78" i="11"/>
  <c r="AF78" i="11"/>
  <c r="AS78" i="11"/>
  <c r="H79" i="11"/>
  <c r="I79" i="11"/>
  <c r="J79" i="11"/>
  <c r="K79" i="11"/>
  <c r="M79" i="11"/>
  <c r="O79" i="11"/>
  <c r="AE79" i="11"/>
  <c r="AF79" i="11"/>
  <c r="AS79" i="11"/>
  <c r="H80" i="11"/>
  <c r="I80" i="11"/>
  <c r="J80" i="11"/>
  <c r="K80" i="11"/>
  <c r="M80" i="11"/>
  <c r="O80" i="11"/>
  <c r="T80" i="11"/>
  <c r="AE80" i="11"/>
  <c r="AF80" i="11"/>
  <c r="AS80" i="11"/>
  <c r="H81" i="11"/>
  <c r="I81" i="11"/>
  <c r="J81" i="11"/>
  <c r="K81" i="11"/>
  <c r="M81" i="11"/>
  <c r="O81" i="11"/>
  <c r="AE81" i="11"/>
  <c r="AF81" i="11"/>
  <c r="AS81" i="11"/>
  <c r="H82" i="11"/>
  <c r="I82" i="11"/>
  <c r="J82" i="11"/>
  <c r="K82" i="11"/>
  <c r="M82" i="11"/>
  <c r="O82" i="11"/>
  <c r="AE82" i="11"/>
  <c r="AF82" i="11"/>
  <c r="AS82" i="11"/>
  <c r="H83" i="11"/>
  <c r="I83" i="11"/>
  <c r="J83" i="11"/>
  <c r="K83" i="11"/>
  <c r="M83" i="11"/>
  <c r="O83" i="11"/>
  <c r="AE83" i="11"/>
  <c r="AF83" i="11"/>
  <c r="AS83" i="11"/>
  <c r="H84" i="11"/>
  <c r="I84" i="11"/>
  <c r="J84" i="11"/>
  <c r="K84" i="11"/>
  <c r="M84" i="11"/>
  <c r="O84" i="11"/>
  <c r="AE84" i="11"/>
  <c r="AF84" i="11"/>
  <c r="AS84" i="11"/>
  <c r="H85" i="11"/>
  <c r="I85" i="11"/>
  <c r="J85" i="11"/>
  <c r="K85" i="11"/>
  <c r="M85" i="11"/>
  <c r="O85" i="11"/>
  <c r="AE85" i="11"/>
  <c r="AF85" i="11"/>
  <c r="AS85" i="11"/>
  <c r="H86" i="11"/>
  <c r="I86" i="11"/>
  <c r="J86" i="11"/>
  <c r="K86" i="11"/>
  <c r="M86" i="11"/>
  <c r="O86" i="11"/>
  <c r="AE86" i="11"/>
  <c r="AF86" i="11"/>
  <c r="AS86" i="11"/>
  <c r="H87" i="11"/>
  <c r="I87" i="11"/>
  <c r="J87" i="11"/>
  <c r="K87" i="11"/>
  <c r="M87" i="11"/>
  <c r="O87" i="11"/>
  <c r="AE87" i="11"/>
  <c r="AF87" i="11"/>
  <c r="AS87" i="11"/>
  <c r="H88" i="11"/>
  <c r="I88" i="11"/>
  <c r="J88" i="11"/>
  <c r="K88" i="11"/>
  <c r="M88" i="11"/>
  <c r="O88" i="11"/>
  <c r="AE88" i="11"/>
  <c r="AF88" i="11"/>
  <c r="AS88" i="11"/>
  <c r="H89" i="11"/>
  <c r="I89" i="11"/>
  <c r="J89" i="11"/>
  <c r="K89" i="11"/>
  <c r="M89" i="11"/>
  <c r="O89" i="11"/>
  <c r="AE89" i="11"/>
  <c r="AF89" i="11"/>
  <c r="AS89" i="11"/>
  <c r="H90" i="11"/>
  <c r="I90" i="11"/>
  <c r="J90" i="11"/>
  <c r="K90" i="11"/>
  <c r="M90" i="11"/>
  <c r="O90" i="11"/>
  <c r="AE90" i="11"/>
  <c r="AF90" i="11"/>
  <c r="AS90" i="11"/>
  <c r="H91" i="11"/>
  <c r="I91" i="11"/>
  <c r="J91" i="11"/>
  <c r="K91" i="11"/>
  <c r="M91" i="11"/>
  <c r="O91" i="11"/>
  <c r="AE91" i="11"/>
  <c r="AF91" i="11"/>
  <c r="AS91" i="11"/>
  <c r="H92" i="11"/>
  <c r="I92" i="11"/>
  <c r="J92" i="11"/>
  <c r="K92" i="11"/>
  <c r="M92" i="11"/>
  <c r="O92" i="11"/>
  <c r="AE92" i="11"/>
  <c r="AF92" i="11"/>
  <c r="AS92" i="11"/>
  <c r="H93" i="11"/>
  <c r="I93" i="11"/>
  <c r="J93" i="11"/>
  <c r="K93" i="11"/>
  <c r="M93" i="11"/>
  <c r="O93" i="11"/>
  <c r="AE93" i="11"/>
  <c r="AF93" i="11"/>
  <c r="AS93" i="11"/>
  <c r="H94" i="11"/>
  <c r="I94" i="11"/>
  <c r="J94" i="11"/>
  <c r="K94" i="11"/>
  <c r="M94" i="11"/>
  <c r="O94" i="11"/>
  <c r="AE94" i="11"/>
  <c r="AF94" i="11"/>
  <c r="AS94" i="11"/>
  <c r="H95" i="11"/>
  <c r="I95" i="11"/>
  <c r="J95" i="11"/>
  <c r="K95" i="11"/>
  <c r="M95" i="11"/>
  <c r="O95" i="11"/>
  <c r="AE95" i="11"/>
  <c r="AF95" i="11"/>
  <c r="AS95" i="11"/>
  <c r="H96" i="11"/>
  <c r="I96" i="11"/>
  <c r="J96" i="11"/>
  <c r="K96" i="11"/>
  <c r="M96" i="11"/>
  <c r="O96" i="11"/>
  <c r="AE96" i="11"/>
  <c r="AF96" i="11"/>
  <c r="AS96" i="11"/>
  <c r="H97" i="11"/>
  <c r="I97" i="11"/>
  <c r="J97" i="11"/>
  <c r="K97" i="11"/>
  <c r="M97" i="11"/>
  <c r="O97" i="11"/>
  <c r="AE97" i="11"/>
  <c r="AF97" i="11"/>
  <c r="AS97" i="11"/>
  <c r="H98" i="11"/>
  <c r="I98" i="11"/>
  <c r="J98" i="11"/>
  <c r="K98" i="11"/>
  <c r="M98" i="11"/>
  <c r="O98" i="11"/>
  <c r="AE98" i="11"/>
  <c r="AF98" i="11"/>
  <c r="AS98" i="11"/>
  <c r="H99" i="11"/>
  <c r="I99" i="11"/>
  <c r="J99" i="11"/>
  <c r="K99" i="11"/>
  <c r="M99" i="11"/>
  <c r="O99" i="11"/>
  <c r="AE99" i="11"/>
  <c r="AF99" i="11"/>
  <c r="AS99" i="11"/>
  <c r="H100" i="11"/>
  <c r="I100" i="11"/>
  <c r="J100" i="11"/>
  <c r="K100" i="11"/>
  <c r="M100" i="11"/>
  <c r="O100" i="11"/>
  <c r="U100" i="11"/>
  <c r="AE100" i="11"/>
  <c r="AF100" i="11"/>
  <c r="AS100" i="11"/>
  <c r="H101" i="11"/>
  <c r="I101" i="11"/>
  <c r="J101" i="11"/>
  <c r="K101" i="11"/>
  <c r="M101" i="11"/>
  <c r="O101" i="11"/>
  <c r="AE101" i="11"/>
  <c r="AF101" i="11"/>
  <c r="AS101" i="11"/>
  <c r="H102" i="11"/>
  <c r="I102" i="11"/>
  <c r="J102" i="11"/>
  <c r="K102" i="11"/>
  <c r="M102" i="11"/>
  <c r="O102" i="11"/>
  <c r="AE102" i="11"/>
  <c r="AF102" i="11"/>
  <c r="AS102" i="11"/>
  <c r="H103" i="11"/>
  <c r="I103" i="11"/>
  <c r="J103" i="11"/>
  <c r="K103" i="11"/>
  <c r="M103" i="11"/>
  <c r="O103" i="11"/>
  <c r="AE103" i="11"/>
  <c r="AF103" i="11"/>
  <c r="AS103" i="11"/>
  <c r="H104" i="11"/>
  <c r="I104" i="11"/>
  <c r="J104" i="11"/>
  <c r="K104" i="11"/>
  <c r="M104" i="11"/>
  <c r="O104" i="11"/>
  <c r="AE104" i="11"/>
  <c r="AF104" i="11"/>
  <c r="AS104" i="11"/>
  <c r="H105" i="11"/>
  <c r="I105" i="11"/>
  <c r="J105" i="11"/>
  <c r="K105" i="11"/>
  <c r="M105" i="11"/>
  <c r="O105" i="11"/>
  <c r="T105" i="11"/>
  <c r="AE105" i="11"/>
  <c r="AF105" i="11"/>
  <c r="AS105" i="11"/>
  <c r="H106" i="11"/>
  <c r="I106" i="11"/>
  <c r="J106" i="11"/>
  <c r="K106" i="11"/>
  <c r="M106" i="11"/>
  <c r="O106" i="11"/>
  <c r="AE106" i="11"/>
  <c r="AF106" i="11"/>
  <c r="AS106" i="11"/>
  <c r="H107" i="11"/>
  <c r="I107" i="11"/>
  <c r="J107" i="11"/>
  <c r="K107" i="11"/>
  <c r="M107" i="11"/>
  <c r="O107" i="11"/>
  <c r="AE107" i="11"/>
  <c r="AF107" i="11"/>
  <c r="AS107" i="11"/>
  <c r="H108" i="11"/>
  <c r="I108" i="11"/>
  <c r="J108" i="11"/>
  <c r="K108" i="11"/>
  <c r="M108" i="11"/>
  <c r="O108" i="11"/>
  <c r="AE108" i="11"/>
  <c r="AF108" i="11"/>
  <c r="AS108" i="11"/>
  <c r="H109" i="11"/>
  <c r="I109" i="11"/>
  <c r="J109" i="11"/>
  <c r="K109" i="11"/>
  <c r="M109" i="11"/>
  <c r="O109" i="11"/>
  <c r="AE109" i="11"/>
  <c r="AF109" i="11"/>
  <c r="AS109" i="11"/>
  <c r="H110" i="11"/>
  <c r="I110" i="11"/>
  <c r="J110" i="11"/>
  <c r="K110" i="11"/>
  <c r="M110" i="11"/>
  <c r="O110" i="11"/>
  <c r="AE110" i="11"/>
  <c r="AF110" i="11"/>
  <c r="AS110" i="11"/>
  <c r="H111" i="11"/>
  <c r="I111" i="11"/>
  <c r="J111" i="11"/>
  <c r="K111" i="11"/>
  <c r="M111" i="11"/>
  <c r="O111" i="11"/>
  <c r="AE111" i="11"/>
  <c r="AF111" i="11"/>
  <c r="AS111" i="11"/>
  <c r="H112" i="11"/>
  <c r="I112" i="11"/>
  <c r="J112" i="11"/>
  <c r="K112" i="11"/>
  <c r="M112" i="11"/>
  <c r="O112" i="11"/>
  <c r="AE112" i="11"/>
  <c r="AF112" i="11"/>
  <c r="AS112" i="11"/>
  <c r="H113" i="11"/>
  <c r="I113" i="11"/>
  <c r="J113" i="11"/>
  <c r="K113" i="11"/>
  <c r="M113" i="11"/>
  <c r="O113" i="11"/>
  <c r="AE113" i="11"/>
  <c r="AF113" i="11"/>
  <c r="AS113" i="11"/>
  <c r="H114" i="11"/>
  <c r="I114" i="11"/>
  <c r="J114" i="11"/>
  <c r="K114" i="11"/>
  <c r="M114" i="11"/>
  <c r="O114" i="11"/>
  <c r="AE114" i="11"/>
  <c r="AF114" i="11"/>
  <c r="AS114" i="11"/>
  <c r="H115" i="11"/>
  <c r="I115" i="11"/>
  <c r="J115" i="11"/>
  <c r="K115" i="11"/>
  <c r="M115" i="11"/>
  <c r="O115" i="11"/>
  <c r="AE115" i="11"/>
  <c r="AF115" i="11"/>
  <c r="AS115" i="11"/>
  <c r="H116" i="11"/>
  <c r="I116" i="11"/>
  <c r="J116" i="11"/>
  <c r="K116" i="11"/>
  <c r="M116" i="11"/>
  <c r="O116" i="11"/>
  <c r="AE116" i="11"/>
  <c r="AF116" i="11"/>
  <c r="AS116" i="11"/>
  <c r="H117" i="11"/>
  <c r="I117" i="11"/>
  <c r="J117" i="11"/>
  <c r="K117" i="11"/>
  <c r="M117" i="11"/>
  <c r="O117" i="11"/>
  <c r="AE117" i="11"/>
  <c r="AF117" i="11"/>
  <c r="AS117" i="11"/>
  <c r="H118" i="11"/>
  <c r="I118" i="11"/>
  <c r="J118" i="11"/>
  <c r="K118" i="11"/>
  <c r="M118" i="11"/>
  <c r="O118" i="11"/>
  <c r="AE118" i="11"/>
  <c r="AF118" i="11"/>
  <c r="AS118" i="11"/>
  <c r="H119" i="11"/>
  <c r="I119" i="11"/>
  <c r="J119" i="11"/>
  <c r="K119" i="11"/>
  <c r="M119" i="11"/>
  <c r="O119" i="11"/>
  <c r="AE119" i="11"/>
  <c r="AF119" i="11"/>
  <c r="AS119" i="11"/>
  <c r="H120" i="11"/>
  <c r="I120" i="11"/>
  <c r="J120" i="11"/>
  <c r="K120" i="11"/>
  <c r="M120" i="11"/>
  <c r="O120" i="11"/>
  <c r="AE120" i="11"/>
  <c r="AF120" i="11"/>
  <c r="AS120" i="11"/>
  <c r="H121" i="11"/>
  <c r="I121" i="11"/>
  <c r="J121" i="11"/>
  <c r="K121" i="11"/>
  <c r="M121" i="11"/>
  <c r="O121" i="11"/>
  <c r="AE121" i="11"/>
  <c r="AF121" i="11"/>
  <c r="AS121" i="11"/>
  <c r="H122" i="11"/>
  <c r="I122" i="11"/>
  <c r="J122" i="11"/>
  <c r="K122" i="11"/>
  <c r="M122" i="11"/>
  <c r="O122" i="11"/>
  <c r="AE122" i="11"/>
  <c r="AF122" i="11"/>
  <c r="AS122" i="11"/>
  <c r="H123" i="11"/>
  <c r="I123" i="11"/>
  <c r="J123" i="11"/>
  <c r="K123" i="11"/>
  <c r="M123" i="11"/>
  <c r="O123" i="11"/>
  <c r="AE123" i="11"/>
  <c r="AF123" i="11"/>
  <c r="AS123" i="11"/>
  <c r="H124" i="11"/>
  <c r="I124" i="11"/>
  <c r="J124" i="11"/>
  <c r="K124" i="11"/>
  <c r="M124" i="11"/>
  <c r="O124" i="11"/>
  <c r="AE124" i="11"/>
  <c r="AF124" i="11"/>
  <c r="AS124" i="11"/>
  <c r="H125" i="11"/>
  <c r="I125" i="11"/>
  <c r="J125" i="11"/>
  <c r="K125" i="11"/>
  <c r="M125" i="11"/>
  <c r="O125" i="11"/>
  <c r="AE125" i="11"/>
  <c r="AF125" i="11"/>
  <c r="AS125" i="11"/>
  <c r="H126" i="11"/>
  <c r="I126" i="11"/>
  <c r="J126" i="11"/>
  <c r="K126" i="11"/>
  <c r="M126" i="11"/>
  <c r="O126" i="11"/>
  <c r="AE126" i="11"/>
  <c r="AF126" i="11"/>
  <c r="AS126" i="11"/>
  <c r="H127" i="11"/>
  <c r="I127" i="11"/>
  <c r="J127" i="11"/>
  <c r="K127" i="11"/>
  <c r="M127" i="11"/>
  <c r="O127" i="11"/>
  <c r="AE127" i="11"/>
  <c r="AF127" i="11"/>
  <c r="AS127" i="11"/>
  <c r="H128" i="11"/>
  <c r="I128" i="11"/>
  <c r="J128" i="11"/>
  <c r="K128" i="11"/>
  <c r="M128" i="11"/>
  <c r="O128" i="11"/>
  <c r="AE128" i="11"/>
  <c r="AF128" i="11"/>
  <c r="AS128" i="11"/>
  <c r="H129" i="11"/>
  <c r="I129" i="11"/>
  <c r="J129" i="11"/>
  <c r="K129" i="11"/>
  <c r="M129" i="11"/>
  <c r="O129" i="11"/>
  <c r="AE129" i="11"/>
  <c r="AF129" i="11"/>
  <c r="AS129" i="11"/>
  <c r="H130" i="11"/>
  <c r="I130" i="11"/>
  <c r="J130" i="11"/>
  <c r="K130" i="11"/>
  <c r="M130" i="11"/>
  <c r="O130" i="11"/>
  <c r="AE130" i="11"/>
  <c r="AF130" i="11"/>
  <c r="AS130" i="11"/>
  <c r="H131" i="11"/>
  <c r="I131" i="11"/>
  <c r="J131" i="11"/>
  <c r="K131" i="11"/>
  <c r="M131" i="11"/>
  <c r="O131" i="11"/>
  <c r="AE131" i="11"/>
  <c r="AF131" i="11"/>
  <c r="AS131" i="11"/>
  <c r="H132" i="11"/>
  <c r="I132" i="11"/>
  <c r="J132" i="11"/>
  <c r="K132" i="11"/>
  <c r="M132" i="11"/>
  <c r="O132" i="11"/>
  <c r="AE132" i="11"/>
  <c r="AF132" i="11"/>
  <c r="AS132" i="11"/>
  <c r="H133" i="11"/>
  <c r="I133" i="11"/>
  <c r="J133" i="11"/>
  <c r="K133" i="11"/>
  <c r="M133" i="11"/>
  <c r="O133" i="11"/>
  <c r="AE133" i="11"/>
  <c r="AF133" i="11"/>
  <c r="AS133" i="11"/>
  <c r="H134" i="11"/>
  <c r="I134" i="11"/>
  <c r="J134" i="11"/>
  <c r="K134" i="11"/>
  <c r="M134" i="11"/>
  <c r="O134" i="11"/>
  <c r="AE134" i="11"/>
  <c r="AF134" i="11"/>
  <c r="AS134" i="11"/>
  <c r="H135" i="11"/>
  <c r="I135" i="11"/>
  <c r="J135" i="11"/>
  <c r="K135" i="11"/>
  <c r="M135" i="11"/>
  <c r="O135" i="11"/>
  <c r="AE135" i="11"/>
  <c r="AF135" i="11"/>
  <c r="AS135" i="11"/>
  <c r="H136" i="11"/>
  <c r="I136" i="11"/>
  <c r="J136" i="11"/>
  <c r="K136" i="11"/>
  <c r="M136" i="11"/>
  <c r="O136" i="11"/>
  <c r="AE136" i="11"/>
  <c r="AF136" i="11"/>
  <c r="AS136" i="11"/>
  <c r="H137" i="11"/>
  <c r="I137" i="11"/>
  <c r="J137" i="11"/>
  <c r="K137" i="11"/>
  <c r="M137" i="11"/>
  <c r="O137" i="11"/>
  <c r="AE137" i="11"/>
  <c r="AF137" i="11"/>
  <c r="AS137" i="11"/>
  <c r="H138" i="11"/>
  <c r="I138" i="11"/>
  <c r="J138" i="11"/>
  <c r="K138" i="11"/>
  <c r="M138" i="11"/>
  <c r="O138" i="11"/>
  <c r="AE138" i="11"/>
  <c r="AF138" i="11"/>
  <c r="AS138" i="11"/>
  <c r="H139" i="11"/>
  <c r="I139" i="11"/>
  <c r="J139" i="11"/>
  <c r="K139" i="11"/>
  <c r="M139" i="11"/>
  <c r="O139" i="11"/>
  <c r="AE139" i="11"/>
  <c r="AF139" i="11"/>
  <c r="AS139" i="11"/>
  <c r="H140" i="11"/>
  <c r="I140" i="11"/>
  <c r="J140" i="11"/>
  <c r="K140" i="11"/>
  <c r="M140" i="11"/>
  <c r="O140" i="11"/>
  <c r="AE140" i="11"/>
  <c r="AF140" i="11"/>
  <c r="AS140" i="11"/>
  <c r="H141" i="11"/>
  <c r="I141" i="11"/>
  <c r="J141" i="11"/>
  <c r="K141" i="11"/>
  <c r="M141" i="11"/>
  <c r="O141" i="11"/>
  <c r="AE141" i="11"/>
  <c r="AF141" i="11"/>
  <c r="AS141" i="11"/>
  <c r="H142" i="11"/>
  <c r="I142" i="11"/>
  <c r="J142" i="11"/>
  <c r="K142" i="11"/>
  <c r="M142" i="11"/>
  <c r="O142" i="11"/>
  <c r="AE142" i="11"/>
  <c r="AF142" i="11"/>
  <c r="AS142" i="11"/>
  <c r="H143" i="11"/>
  <c r="I143" i="11"/>
  <c r="J143" i="11"/>
  <c r="K143" i="11"/>
  <c r="M143" i="11"/>
  <c r="O143" i="11"/>
  <c r="AE143" i="11"/>
  <c r="AF143" i="11"/>
  <c r="AS143" i="11"/>
  <c r="H144" i="11"/>
  <c r="I144" i="11"/>
  <c r="J144" i="11"/>
  <c r="K144" i="11"/>
  <c r="M144" i="11"/>
  <c r="O144" i="11"/>
  <c r="AE144" i="11"/>
  <c r="AF144" i="11"/>
  <c r="AS144" i="11"/>
  <c r="H145" i="11"/>
  <c r="I145" i="11"/>
  <c r="J145" i="11"/>
  <c r="K145" i="11"/>
  <c r="M145" i="11"/>
  <c r="O145" i="11"/>
  <c r="AE145" i="11"/>
  <c r="AF145" i="11"/>
  <c r="AS145" i="11"/>
  <c r="H146" i="11"/>
  <c r="I146" i="11"/>
  <c r="J146" i="11"/>
  <c r="K146" i="11"/>
  <c r="M146" i="11"/>
  <c r="O146" i="11"/>
  <c r="AE146" i="11"/>
  <c r="AF146" i="11"/>
  <c r="AS146" i="11"/>
  <c r="H147" i="11"/>
  <c r="I147" i="11"/>
  <c r="J147" i="11"/>
  <c r="K147" i="11"/>
  <c r="M147" i="11"/>
  <c r="O147" i="11"/>
  <c r="AE147" i="11"/>
  <c r="AF147" i="11"/>
  <c r="AS147" i="11"/>
  <c r="H148" i="11"/>
  <c r="I148" i="11"/>
  <c r="J148" i="11"/>
  <c r="K148" i="11"/>
  <c r="M148" i="11"/>
  <c r="O148" i="11"/>
  <c r="AE148" i="11"/>
  <c r="AF148" i="11"/>
  <c r="AS148" i="11"/>
  <c r="H149" i="11"/>
  <c r="I149" i="11"/>
  <c r="J149" i="11"/>
  <c r="K149" i="11"/>
  <c r="M149" i="11"/>
  <c r="O149" i="11"/>
  <c r="AE149" i="11"/>
  <c r="AF149" i="11"/>
  <c r="AS149" i="11"/>
  <c r="H150" i="11"/>
  <c r="I150" i="11"/>
  <c r="J150" i="11"/>
  <c r="K150" i="11"/>
  <c r="M150" i="11"/>
  <c r="O150" i="11"/>
  <c r="AE150" i="11"/>
  <c r="AF150" i="11"/>
  <c r="AS150" i="11"/>
  <c r="H151" i="11"/>
  <c r="I151" i="11"/>
  <c r="J151" i="11"/>
  <c r="K151" i="11"/>
  <c r="M151" i="11"/>
  <c r="O151" i="11"/>
  <c r="AE151" i="11"/>
  <c r="AF151" i="11"/>
  <c r="AS151" i="11"/>
  <c r="H152" i="11"/>
  <c r="I152" i="11"/>
  <c r="J152" i="11"/>
  <c r="K152" i="11"/>
  <c r="M152" i="11"/>
  <c r="O152" i="11"/>
  <c r="AE152" i="11"/>
  <c r="AF152" i="11"/>
  <c r="AS152" i="11"/>
  <c r="H153" i="11"/>
  <c r="I153" i="11"/>
  <c r="J153" i="11"/>
  <c r="K153" i="11"/>
  <c r="M153" i="11"/>
  <c r="O153" i="11"/>
  <c r="AE153" i="11"/>
  <c r="AF153" i="11"/>
  <c r="AS153" i="11"/>
  <c r="H154" i="11"/>
  <c r="I154" i="11"/>
  <c r="J154" i="11"/>
  <c r="K154" i="11"/>
  <c r="M154" i="11"/>
  <c r="O154" i="11"/>
  <c r="AE154" i="11"/>
  <c r="AF154" i="11"/>
  <c r="AS154" i="11"/>
  <c r="H155" i="11"/>
  <c r="I155" i="11"/>
  <c r="J155" i="11"/>
  <c r="K155" i="11"/>
  <c r="M155" i="11"/>
  <c r="O155" i="11"/>
  <c r="AE155" i="11"/>
  <c r="AF155" i="11"/>
  <c r="AS155" i="11"/>
  <c r="H156" i="11"/>
  <c r="I156" i="11"/>
  <c r="J156" i="11"/>
  <c r="K156" i="11"/>
  <c r="M156" i="11"/>
  <c r="O156" i="11"/>
  <c r="AE156" i="11"/>
  <c r="AF156" i="11"/>
  <c r="AS156" i="11"/>
  <c r="H157" i="11"/>
  <c r="I157" i="11"/>
  <c r="J157" i="11"/>
  <c r="K157" i="11"/>
  <c r="M157" i="11"/>
  <c r="O157" i="11"/>
  <c r="AE157" i="11"/>
  <c r="AF157" i="11"/>
  <c r="AS157" i="11"/>
  <c r="H158" i="11"/>
  <c r="I158" i="11"/>
  <c r="J158" i="11"/>
  <c r="K158" i="11"/>
  <c r="M158" i="11"/>
  <c r="O158" i="11"/>
  <c r="AE158" i="11"/>
  <c r="AF158" i="11"/>
  <c r="AS158" i="11"/>
  <c r="H159" i="11"/>
  <c r="I159" i="11"/>
  <c r="J159" i="11"/>
  <c r="K159" i="11"/>
  <c r="M159" i="11"/>
  <c r="O159" i="11"/>
  <c r="AE159" i="11"/>
  <c r="AF159" i="11"/>
  <c r="AS159" i="11"/>
  <c r="H160" i="11"/>
  <c r="I160" i="11"/>
  <c r="J160" i="11"/>
  <c r="K160" i="11"/>
  <c r="M160" i="11"/>
  <c r="O160" i="11"/>
  <c r="AE160" i="11"/>
  <c r="AF160" i="11"/>
  <c r="AS160" i="11"/>
  <c r="H161" i="11"/>
  <c r="I161" i="11"/>
  <c r="J161" i="11"/>
  <c r="K161" i="11"/>
  <c r="M161" i="11"/>
  <c r="O161" i="11"/>
  <c r="AE161" i="11"/>
  <c r="AF161" i="11"/>
  <c r="AS161" i="11"/>
  <c r="H162" i="11"/>
  <c r="I162" i="11"/>
  <c r="J162" i="11"/>
  <c r="K162" i="11"/>
  <c r="M162" i="11"/>
  <c r="O162" i="11"/>
  <c r="AE162" i="11"/>
  <c r="AF162" i="11"/>
  <c r="AS162" i="11"/>
  <c r="H163" i="11"/>
  <c r="I163" i="11"/>
  <c r="J163" i="11"/>
  <c r="K163" i="11"/>
  <c r="M163" i="11"/>
  <c r="O163" i="11"/>
  <c r="AE163" i="11"/>
  <c r="AF163" i="11"/>
  <c r="AS163" i="11"/>
  <c r="H164" i="11"/>
  <c r="I164" i="11"/>
  <c r="J164" i="11"/>
  <c r="K164" i="11"/>
  <c r="M164" i="11"/>
  <c r="O164" i="11"/>
  <c r="AE164" i="11"/>
  <c r="AF164" i="11"/>
  <c r="AS164" i="11"/>
  <c r="H165" i="11"/>
  <c r="I165" i="11"/>
  <c r="J165" i="11"/>
  <c r="K165" i="11"/>
  <c r="M165" i="11"/>
  <c r="O165" i="11"/>
  <c r="AE165" i="11"/>
  <c r="AF165" i="11"/>
  <c r="AS165" i="11"/>
  <c r="H166" i="11"/>
  <c r="I166" i="11"/>
  <c r="J166" i="11"/>
  <c r="K166" i="11"/>
  <c r="M166" i="11"/>
  <c r="O166" i="11"/>
  <c r="AE166" i="11"/>
  <c r="AF166" i="11"/>
  <c r="AS166" i="11"/>
  <c r="H167" i="11"/>
  <c r="I167" i="11"/>
  <c r="J167" i="11"/>
  <c r="K167" i="11"/>
  <c r="M167" i="11"/>
  <c r="O167" i="11"/>
  <c r="AE167" i="11"/>
  <c r="AF167" i="11"/>
  <c r="AS167" i="11"/>
  <c r="H168" i="11"/>
  <c r="I168" i="11"/>
  <c r="J168" i="11"/>
  <c r="K168" i="11"/>
  <c r="M168" i="11"/>
  <c r="O168" i="11"/>
  <c r="AE168" i="11"/>
  <c r="AF168" i="11"/>
  <c r="AS168" i="11"/>
  <c r="H169" i="11"/>
  <c r="I169" i="11"/>
  <c r="J169" i="11"/>
  <c r="K169" i="11"/>
  <c r="M169" i="11"/>
  <c r="O169" i="11"/>
  <c r="AE169" i="11"/>
  <c r="AF169" i="11"/>
  <c r="AS169" i="11"/>
  <c r="H170" i="11"/>
  <c r="I170" i="11"/>
  <c r="J170" i="11"/>
  <c r="K170" i="11"/>
  <c r="M170" i="11"/>
  <c r="O170" i="11"/>
  <c r="AE170" i="11"/>
  <c r="AF170" i="11"/>
  <c r="AS170" i="11"/>
  <c r="H171" i="11"/>
  <c r="I171" i="11"/>
  <c r="J171" i="11"/>
  <c r="K171" i="11"/>
  <c r="M171" i="11"/>
  <c r="O171" i="11"/>
  <c r="AE171" i="11"/>
  <c r="AF171" i="11"/>
  <c r="AS171" i="11"/>
  <c r="H172" i="11"/>
  <c r="I172" i="11"/>
  <c r="J172" i="11"/>
  <c r="K172" i="11"/>
  <c r="M172" i="11"/>
  <c r="O172" i="11"/>
  <c r="AE172" i="11"/>
  <c r="AF172" i="11"/>
  <c r="AS172" i="11"/>
  <c r="H173" i="11"/>
  <c r="I173" i="11"/>
  <c r="J173" i="11"/>
  <c r="K173" i="11"/>
  <c r="M173" i="11"/>
  <c r="O173" i="11"/>
  <c r="AE173" i="11"/>
  <c r="AF173" i="11"/>
  <c r="AS173" i="11"/>
  <c r="H174" i="11"/>
  <c r="I174" i="11"/>
  <c r="J174" i="11"/>
  <c r="K174" i="11"/>
  <c r="M174" i="11"/>
  <c r="O174" i="11"/>
  <c r="AE174" i="11"/>
  <c r="AF174" i="11"/>
  <c r="AS174" i="11"/>
  <c r="H175" i="11"/>
  <c r="I175" i="11"/>
  <c r="J175" i="11"/>
  <c r="K175" i="11"/>
  <c r="M175" i="11"/>
  <c r="O175" i="11"/>
  <c r="AE175" i="11"/>
  <c r="AF175" i="11"/>
  <c r="AS175" i="11"/>
  <c r="H176" i="11"/>
  <c r="I176" i="11"/>
  <c r="J176" i="11"/>
  <c r="K176" i="11"/>
  <c r="M176" i="11"/>
  <c r="O176" i="11"/>
  <c r="AE176" i="11"/>
  <c r="AF176" i="11"/>
  <c r="AS176" i="11"/>
  <c r="H177" i="11"/>
  <c r="I177" i="11"/>
  <c r="J177" i="11"/>
  <c r="K177" i="11"/>
  <c r="M177" i="11"/>
  <c r="O177" i="11"/>
  <c r="AE177" i="11"/>
  <c r="AF177" i="11"/>
  <c r="AS177" i="11"/>
  <c r="H178" i="11"/>
  <c r="I178" i="11"/>
  <c r="J178" i="11"/>
  <c r="K178" i="11"/>
  <c r="M178" i="11"/>
  <c r="O178" i="11"/>
  <c r="AE178" i="11"/>
  <c r="AF178" i="11"/>
  <c r="AS178" i="11"/>
  <c r="H179" i="11"/>
  <c r="I179" i="11"/>
  <c r="J179" i="11"/>
  <c r="K179" i="11"/>
  <c r="M179" i="11"/>
  <c r="O179" i="11"/>
  <c r="AE179" i="11"/>
  <c r="AF179" i="11"/>
  <c r="AS179" i="11"/>
  <c r="H180" i="11"/>
  <c r="I180" i="11"/>
  <c r="J180" i="11"/>
  <c r="K180" i="11"/>
  <c r="M180" i="11"/>
  <c r="O180" i="11"/>
  <c r="AE180" i="11"/>
  <c r="AF180" i="11"/>
  <c r="AS180" i="11"/>
  <c r="H181" i="11"/>
  <c r="I181" i="11"/>
  <c r="J181" i="11"/>
  <c r="K181" i="11"/>
  <c r="M181" i="11"/>
  <c r="O181" i="11"/>
  <c r="AE181" i="11"/>
  <c r="AF181" i="11"/>
  <c r="AS181" i="11"/>
  <c r="H182" i="11"/>
  <c r="I182" i="11"/>
  <c r="J182" i="11"/>
  <c r="K182" i="11"/>
  <c r="M182" i="11"/>
  <c r="O182" i="11"/>
  <c r="AE182" i="11"/>
  <c r="AF182" i="11"/>
  <c r="AS182" i="11"/>
  <c r="H183" i="11"/>
  <c r="I183" i="11"/>
  <c r="J183" i="11"/>
  <c r="K183" i="11"/>
  <c r="M183" i="11"/>
  <c r="O183" i="11"/>
  <c r="AE183" i="11"/>
  <c r="AF183" i="11"/>
  <c r="AS183" i="11"/>
  <c r="H184" i="11"/>
  <c r="I184" i="11"/>
  <c r="J184" i="11"/>
  <c r="K184" i="11"/>
  <c r="M184" i="11"/>
  <c r="O184" i="11"/>
  <c r="AE184" i="11"/>
  <c r="AF184" i="11"/>
  <c r="AS184" i="11"/>
  <c r="H185" i="11"/>
  <c r="I185" i="11"/>
  <c r="J185" i="11"/>
  <c r="K185" i="11"/>
  <c r="M185" i="11"/>
  <c r="O185" i="11"/>
  <c r="AE185" i="11"/>
  <c r="AF185" i="11"/>
  <c r="AS185" i="11"/>
  <c r="H186" i="11"/>
  <c r="I186" i="11"/>
  <c r="J186" i="11"/>
  <c r="K186" i="11"/>
  <c r="M186" i="11"/>
  <c r="O186" i="11"/>
  <c r="AE186" i="11"/>
  <c r="AF186" i="11"/>
  <c r="AS186" i="11"/>
  <c r="H187" i="11"/>
  <c r="I187" i="11"/>
  <c r="J187" i="11"/>
  <c r="K187" i="11"/>
  <c r="M187" i="11"/>
  <c r="O187" i="11"/>
  <c r="AE187" i="11"/>
  <c r="AF187" i="11"/>
  <c r="AS187" i="11"/>
  <c r="H188" i="11"/>
  <c r="I188" i="11"/>
  <c r="J188" i="11"/>
  <c r="K188" i="11"/>
  <c r="M188" i="11"/>
  <c r="O188" i="11"/>
  <c r="AE188" i="11"/>
  <c r="AF188" i="11"/>
  <c r="AS188" i="11"/>
  <c r="H189" i="11"/>
  <c r="I189" i="11"/>
  <c r="J189" i="11"/>
  <c r="K189" i="11"/>
  <c r="M189" i="11"/>
  <c r="O189" i="11"/>
  <c r="AE189" i="11"/>
  <c r="AF189" i="11"/>
  <c r="AS189" i="11"/>
  <c r="H190" i="11"/>
  <c r="I190" i="11"/>
  <c r="J190" i="11"/>
  <c r="K190" i="11"/>
  <c r="M190" i="11"/>
  <c r="O190" i="11"/>
  <c r="AE190" i="11"/>
  <c r="AF190" i="11"/>
  <c r="AS190" i="11"/>
  <c r="H191" i="11"/>
  <c r="I191" i="11"/>
  <c r="J191" i="11"/>
  <c r="K191" i="11"/>
  <c r="M191" i="11"/>
  <c r="O191" i="11"/>
  <c r="AE191" i="11"/>
  <c r="AF191" i="11"/>
  <c r="AS191" i="11"/>
  <c r="H192" i="11"/>
  <c r="I192" i="11"/>
  <c r="J192" i="11"/>
  <c r="K192" i="11"/>
  <c r="M192" i="11"/>
  <c r="O192" i="11"/>
  <c r="AE192" i="11"/>
  <c r="AF192" i="11"/>
  <c r="AS192" i="11"/>
  <c r="H193" i="11"/>
  <c r="J193" i="11"/>
  <c r="K193" i="11"/>
  <c r="M193" i="11"/>
  <c r="O193" i="11"/>
  <c r="AE193" i="11"/>
  <c r="AF193" i="11"/>
  <c r="AS193" i="11"/>
  <c r="H194" i="11"/>
  <c r="J194" i="11"/>
  <c r="K194" i="11"/>
  <c r="M194" i="11"/>
  <c r="O194" i="11"/>
  <c r="AE194" i="11"/>
  <c r="AF194" i="11"/>
  <c r="AS194" i="11"/>
  <c r="H195" i="11"/>
  <c r="J195" i="11"/>
  <c r="K195" i="11"/>
  <c r="M195" i="11"/>
  <c r="O195" i="11"/>
  <c r="AE195" i="11"/>
  <c r="AF195" i="11"/>
  <c r="AS195" i="11"/>
  <c r="H196" i="11"/>
  <c r="J196" i="11"/>
  <c r="K196" i="11"/>
  <c r="M196" i="11"/>
  <c r="O196" i="11"/>
  <c r="AE196" i="11"/>
  <c r="AF196" i="11"/>
  <c r="AS196" i="11"/>
  <c r="H197" i="11"/>
  <c r="J197" i="11"/>
  <c r="K197" i="11"/>
  <c r="M197" i="11"/>
  <c r="O197" i="11"/>
  <c r="AE197" i="11"/>
  <c r="AF197" i="11"/>
  <c r="AS197" i="11"/>
  <c r="H198" i="11"/>
  <c r="J198" i="11"/>
  <c r="K198" i="11"/>
  <c r="M198" i="11"/>
  <c r="O198" i="11"/>
  <c r="AE198" i="11"/>
  <c r="AF198" i="11"/>
  <c r="AS198" i="11"/>
  <c r="H199" i="11"/>
  <c r="J199" i="11"/>
  <c r="K199" i="11"/>
  <c r="M199" i="11"/>
  <c r="O199" i="11"/>
  <c r="AE199" i="11"/>
  <c r="AF199" i="11"/>
  <c r="AS199" i="11"/>
  <c r="H200" i="11"/>
  <c r="J200" i="11"/>
  <c r="K200" i="11"/>
  <c r="M200" i="11"/>
  <c r="O200" i="11"/>
  <c r="AE200" i="11"/>
  <c r="AF200" i="11"/>
  <c r="AS200" i="11"/>
  <c r="H201" i="11"/>
  <c r="J201" i="11"/>
  <c r="K201" i="11"/>
  <c r="M201" i="11"/>
  <c r="O201" i="11"/>
  <c r="AE201" i="11"/>
  <c r="AF201" i="11"/>
  <c r="AS201" i="11"/>
  <c r="H202" i="11"/>
  <c r="J202" i="11"/>
  <c r="K202" i="11"/>
  <c r="M202" i="11"/>
  <c r="O202" i="11"/>
  <c r="AE202" i="11"/>
  <c r="AF202" i="11"/>
  <c r="AS202" i="11"/>
  <c r="H203" i="11"/>
  <c r="J203" i="11"/>
  <c r="K203" i="11"/>
  <c r="M203" i="11"/>
  <c r="O203" i="11"/>
  <c r="AE203" i="11"/>
  <c r="AF203" i="11"/>
  <c r="AS203" i="11"/>
  <c r="H204" i="11"/>
  <c r="J204" i="11"/>
  <c r="K204" i="11"/>
  <c r="M204" i="11"/>
  <c r="O204" i="11"/>
  <c r="AE204" i="11"/>
  <c r="AF204" i="11"/>
  <c r="AS204" i="11"/>
  <c r="H205" i="11"/>
  <c r="J205" i="11"/>
  <c r="K205" i="11"/>
  <c r="M205" i="11"/>
  <c r="O205" i="11"/>
  <c r="AE205" i="11"/>
  <c r="AF205" i="11"/>
  <c r="AS205" i="11"/>
  <c r="H206" i="11"/>
  <c r="J206" i="11"/>
  <c r="K206" i="11"/>
  <c r="M206" i="11"/>
  <c r="O206" i="11"/>
  <c r="AE206" i="11"/>
  <c r="AF206" i="11"/>
  <c r="AS206" i="11"/>
  <c r="H207" i="11"/>
  <c r="J207" i="11"/>
  <c r="K207" i="11"/>
  <c r="M207" i="11"/>
  <c r="O207" i="11"/>
  <c r="AE207" i="11"/>
  <c r="AF207" i="11"/>
  <c r="AS207" i="11"/>
  <c r="H208" i="11"/>
  <c r="J208" i="11"/>
  <c r="K208" i="11"/>
  <c r="M208" i="11"/>
  <c r="O208" i="11"/>
  <c r="AE208" i="11"/>
  <c r="AF208" i="11"/>
  <c r="AS208" i="11"/>
  <c r="H209" i="11"/>
  <c r="J209" i="11"/>
  <c r="K209" i="11"/>
  <c r="M209" i="11"/>
  <c r="O209" i="11"/>
  <c r="AE209" i="11"/>
  <c r="AF209" i="11"/>
  <c r="AS209" i="11"/>
  <c r="H210" i="11"/>
  <c r="J210" i="11"/>
  <c r="K210" i="11"/>
  <c r="M210" i="11"/>
  <c r="O210" i="11"/>
  <c r="AE210" i="11"/>
  <c r="AF210" i="11"/>
  <c r="AS210" i="11"/>
  <c r="D211" i="11"/>
  <c r="H211" i="11"/>
  <c r="J211" i="11"/>
  <c r="K211" i="11"/>
  <c r="M211" i="11"/>
  <c r="O211" i="11"/>
  <c r="AE211" i="11"/>
  <c r="AF211" i="11"/>
  <c r="AS211" i="11"/>
  <c r="H212" i="11"/>
  <c r="J212" i="11"/>
  <c r="K212" i="11"/>
  <c r="M212" i="11"/>
  <c r="O212" i="11"/>
  <c r="AE212" i="11"/>
  <c r="AF212" i="11"/>
  <c r="AS212" i="11"/>
  <c r="H213" i="11"/>
  <c r="J213" i="11"/>
  <c r="K213" i="11"/>
  <c r="M213" i="11"/>
  <c r="O213" i="11"/>
  <c r="AE213" i="11"/>
  <c r="AF213" i="11"/>
  <c r="AS213" i="11"/>
  <c r="H214" i="11"/>
  <c r="J214" i="11"/>
  <c r="K214" i="11"/>
  <c r="M214" i="11"/>
  <c r="O214" i="11"/>
  <c r="AE214" i="11"/>
  <c r="AF214" i="11"/>
  <c r="AS214" i="11"/>
  <c r="H215" i="11"/>
  <c r="J215" i="11"/>
  <c r="K215" i="11"/>
  <c r="M215" i="11"/>
  <c r="O215" i="11"/>
  <c r="AE215" i="11"/>
  <c r="AF215" i="11"/>
  <c r="AS215" i="11"/>
  <c r="H216" i="11"/>
  <c r="J216" i="11"/>
  <c r="K216" i="11"/>
  <c r="M216" i="11"/>
  <c r="O216" i="11"/>
  <c r="AE216" i="11"/>
  <c r="AF216" i="11"/>
  <c r="AS216" i="11"/>
  <c r="H217" i="11"/>
  <c r="J217" i="11"/>
  <c r="K217" i="11"/>
  <c r="M217" i="11"/>
  <c r="O217" i="11"/>
  <c r="AE217" i="11"/>
  <c r="AF217" i="11"/>
  <c r="AS217" i="11"/>
  <c r="H218" i="11"/>
  <c r="J218" i="11"/>
  <c r="K218" i="11"/>
  <c r="M218" i="11"/>
  <c r="O218" i="11"/>
  <c r="AE218" i="11"/>
  <c r="AF218" i="11"/>
  <c r="AS218" i="11"/>
  <c r="H219" i="11"/>
  <c r="J219" i="11"/>
  <c r="K219" i="11"/>
  <c r="M219" i="11"/>
  <c r="O219" i="11"/>
  <c r="AE219" i="11"/>
  <c r="AF219" i="11"/>
  <c r="AS219" i="11"/>
  <c r="H220" i="11"/>
  <c r="J220" i="11"/>
  <c r="K220" i="11"/>
  <c r="M220" i="11"/>
  <c r="O220" i="11"/>
  <c r="AE220" i="11"/>
  <c r="AF220" i="11"/>
  <c r="AS220" i="11"/>
  <c r="H221" i="11"/>
  <c r="J221" i="11"/>
  <c r="K221" i="11"/>
  <c r="M221" i="11"/>
  <c r="O221" i="11"/>
  <c r="AE221" i="11"/>
  <c r="AF221" i="11"/>
  <c r="AS221" i="11"/>
  <c r="H222" i="11"/>
  <c r="J222" i="11"/>
  <c r="K222" i="11"/>
  <c r="M222" i="11"/>
  <c r="O222" i="11"/>
  <c r="AE222" i="11"/>
  <c r="AF222" i="11"/>
  <c r="AS222" i="11"/>
  <c r="H223" i="11"/>
  <c r="J223" i="11"/>
  <c r="K223" i="11"/>
  <c r="M223" i="11"/>
  <c r="O223" i="11"/>
  <c r="AE223" i="11"/>
  <c r="AF223" i="11"/>
  <c r="AS223" i="11"/>
  <c r="H224" i="11"/>
  <c r="J224" i="11"/>
  <c r="K224" i="11"/>
  <c r="M224" i="11"/>
  <c r="O224" i="11"/>
  <c r="AE224" i="11"/>
  <c r="AF224" i="11"/>
  <c r="AS224" i="11"/>
  <c r="H225" i="11"/>
  <c r="J225" i="11"/>
  <c r="K225" i="11"/>
  <c r="M225" i="11"/>
  <c r="O225" i="11"/>
  <c r="AE225" i="11"/>
  <c r="AF225" i="11"/>
  <c r="AS225" i="11"/>
  <c r="H226" i="11"/>
  <c r="J226" i="11"/>
  <c r="K226" i="11"/>
  <c r="M226" i="11"/>
  <c r="O226" i="11"/>
  <c r="AE226" i="11"/>
  <c r="AF226" i="11"/>
  <c r="AS226" i="11"/>
  <c r="H227" i="11"/>
  <c r="J227" i="11"/>
  <c r="K227" i="11"/>
  <c r="M227" i="11"/>
  <c r="O227" i="11"/>
  <c r="AE227" i="11"/>
  <c r="AF227" i="11"/>
  <c r="AS227" i="11"/>
  <c r="H228" i="11"/>
  <c r="J228" i="11"/>
  <c r="K228" i="11"/>
  <c r="M228" i="11"/>
  <c r="O228" i="11"/>
  <c r="AE228" i="11"/>
  <c r="AF228" i="11"/>
  <c r="AS228" i="11"/>
  <c r="H229" i="11"/>
  <c r="J229" i="11"/>
  <c r="K229" i="11"/>
  <c r="M229" i="11"/>
  <c r="O229" i="11"/>
  <c r="AE229" i="11"/>
  <c r="AF229" i="11"/>
  <c r="AS229" i="11"/>
  <c r="H230" i="11"/>
  <c r="J230" i="11"/>
  <c r="K230" i="11"/>
  <c r="M230" i="11"/>
  <c r="O230" i="11"/>
  <c r="AE230" i="11"/>
  <c r="AF230" i="11"/>
  <c r="AS230" i="11"/>
  <c r="H231" i="11"/>
  <c r="J231" i="11"/>
  <c r="K231" i="11"/>
  <c r="M231" i="11"/>
  <c r="O231" i="11"/>
  <c r="AE231" i="11"/>
  <c r="AF231" i="11"/>
  <c r="AS231" i="11"/>
  <c r="H232" i="11"/>
  <c r="J232" i="11"/>
  <c r="K232" i="11"/>
  <c r="M232" i="11"/>
  <c r="O232" i="11"/>
  <c r="AE232" i="11"/>
  <c r="AF232" i="11"/>
  <c r="AS232" i="11"/>
  <c r="H233" i="11"/>
  <c r="J233" i="11"/>
  <c r="K233" i="11"/>
  <c r="M233" i="11"/>
  <c r="O233" i="11"/>
  <c r="AE233" i="11"/>
  <c r="AF233" i="11"/>
  <c r="AS233" i="11"/>
  <c r="H234" i="11"/>
  <c r="J234" i="11"/>
  <c r="K234" i="11"/>
  <c r="M234" i="11"/>
  <c r="O234" i="11"/>
  <c r="AE234" i="11"/>
  <c r="AF234" i="11"/>
  <c r="AS234" i="11"/>
  <c r="H235" i="11"/>
  <c r="J235" i="11"/>
  <c r="K235" i="11"/>
  <c r="M235" i="11"/>
  <c r="O235" i="11"/>
  <c r="AE235" i="11"/>
  <c r="AF235" i="11"/>
  <c r="AS235" i="11"/>
  <c r="H236" i="11"/>
  <c r="J236" i="11"/>
  <c r="K236" i="11"/>
  <c r="M236" i="11"/>
  <c r="O236" i="11"/>
  <c r="AE236" i="11"/>
  <c r="AF236" i="11"/>
  <c r="AS236" i="11"/>
  <c r="H237" i="11"/>
  <c r="J237" i="11"/>
  <c r="K237" i="11"/>
  <c r="M237" i="11"/>
  <c r="O237" i="11"/>
  <c r="AE237" i="11"/>
  <c r="AF237" i="11"/>
  <c r="AS237" i="11"/>
  <c r="H238" i="11"/>
  <c r="J238" i="11"/>
  <c r="K238" i="11"/>
  <c r="M238" i="11"/>
  <c r="O238" i="11"/>
  <c r="AE238" i="11"/>
  <c r="AF238" i="11"/>
  <c r="AS238" i="11"/>
  <c r="H239" i="11"/>
  <c r="J239" i="11"/>
  <c r="K239" i="11"/>
  <c r="M239" i="11"/>
  <c r="O239" i="11"/>
  <c r="AE239" i="11"/>
  <c r="AF239" i="11"/>
  <c r="AS239" i="11"/>
  <c r="H240" i="11"/>
  <c r="J240" i="11"/>
  <c r="K240" i="11"/>
  <c r="M240" i="11"/>
  <c r="O240" i="11"/>
  <c r="AE240" i="11"/>
  <c r="AF240" i="11"/>
  <c r="AS240" i="11"/>
  <c r="H241" i="11"/>
  <c r="J241" i="11"/>
  <c r="K241" i="11"/>
  <c r="M241" i="11"/>
  <c r="O241" i="11"/>
  <c r="AE241" i="11"/>
  <c r="AF241" i="11"/>
  <c r="AS241" i="11"/>
  <c r="H242" i="11"/>
  <c r="J242" i="11"/>
  <c r="M242" i="11"/>
  <c r="O242" i="11"/>
  <c r="AE242" i="11"/>
  <c r="AF242" i="11"/>
  <c r="AS242" i="11"/>
  <c r="H243" i="11"/>
  <c r="J243" i="11"/>
  <c r="M243" i="11"/>
  <c r="O243" i="11"/>
  <c r="AE243" i="11"/>
  <c r="AF243" i="11"/>
  <c r="AS243" i="11"/>
  <c r="H244" i="11"/>
  <c r="J244" i="11"/>
  <c r="M244" i="11"/>
  <c r="O244" i="11"/>
  <c r="AE244" i="11"/>
  <c r="AF244" i="11"/>
  <c r="AS244" i="11"/>
  <c r="H245" i="11"/>
  <c r="J245" i="11"/>
  <c r="M245" i="11"/>
  <c r="O245" i="11"/>
  <c r="AE245" i="11"/>
  <c r="AF245" i="11"/>
  <c r="AS245" i="11"/>
  <c r="H246" i="11"/>
  <c r="J246" i="11"/>
  <c r="M246" i="11"/>
  <c r="O246" i="11"/>
  <c r="AE246" i="11"/>
  <c r="AF246" i="11"/>
  <c r="AS246" i="11"/>
  <c r="H247" i="11"/>
  <c r="J247" i="11"/>
  <c r="M247" i="11"/>
  <c r="O247" i="11"/>
  <c r="AE247" i="11"/>
  <c r="AF247" i="11"/>
  <c r="AS247" i="11"/>
  <c r="H248" i="11"/>
  <c r="J248" i="11"/>
  <c r="M248" i="11"/>
  <c r="O248" i="11"/>
  <c r="AE248" i="11"/>
  <c r="AF248" i="11"/>
  <c r="AS248" i="11"/>
  <c r="H249" i="11"/>
  <c r="J249" i="11"/>
  <c r="M249" i="11"/>
  <c r="O249" i="11"/>
  <c r="AE249" i="11"/>
  <c r="AF249" i="11"/>
  <c r="AS249" i="11"/>
  <c r="H250" i="11"/>
  <c r="J250" i="11"/>
  <c r="M250" i="11"/>
  <c r="O250" i="11"/>
  <c r="AE250" i="11"/>
  <c r="AF250" i="11"/>
  <c r="AS250" i="11"/>
  <c r="H251" i="11"/>
  <c r="J251" i="11"/>
  <c r="M251" i="11"/>
  <c r="O251" i="11"/>
  <c r="AE251" i="11"/>
  <c r="AF251" i="11"/>
  <c r="AS251" i="11"/>
  <c r="H252" i="11"/>
  <c r="J252" i="11"/>
  <c r="M252" i="11"/>
  <c r="O252" i="11"/>
  <c r="AE252" i="11"/>
  <c r="AF252" i="11"/>
  <c r="AS252" i="11"/>
  <c r="H253" i="11"/>
  <c r="J253" i="11"/>
  <c r="M253" i="11"/>
  <c r="O253" i="11"/>
  <c r="AE253" i="11"/>
  <c r="AF253" i="11"/>
  <c r="AS253" i="11"/>
  <c r="H254" i="11"/>
  <c r="J254" i="11"/>
  <c r="M254" i="11"/>
  <c r="O254" i="11"/>
  <c r="AE254" i="11"/>
  <c r="AF254" i="11"/>
  <c r="AS254" i="11"/>
  <c r="H255" i="11"/>
  <c r="J255" i="11"/>
  <c r="M255" i="11"/>
  <c r="O255" i="11"/>
  <c r="AE255" i="11"/>
  <c r="AF255" i="11"/>
  <c r="AS255" i="11"/>
  <c r="H256" i="11"/>
  <c r="J256" i="11"/>
  <c r="M256" i="11"/>
  <c r="O256" i="11"/>
  <c r="AE256" i="11"/>
  <c r="AF256" i="11"/>
  <c r="AS256" i="11"/>
  <c r="H257" i="11"/>
  <c r="J257" i="11"/>
  <c r="M257" i="11"/>
  <c r="O257" i="11"/>
  <c r="AE257" i="11"/>
  <c r="AF257" i="11"/>
  <c r="AS257" i="11"/>
  <c r="H258" i="11"/>
  <c r="J258" i="11"/>
  <c r="M258" i="11"/>
  <c r="O258" i="11"/>
  <c r="AE258" i="11"/>
  <c r="AF258" i="11"/>
  <c r="AS258" i="11"/>
  <c r="H259" i="11"/>
  <c r="J259" i="11"/>
  <c r="M259" i="11"/>
  <c r="O259" i="11"/>
  <c r="AE259" i="11"/>
  <c r="AF259" i="11"/>
  <c r="AS259" i="11"/>
  <c r="H260" i="11"/>
  <c r="J260" i="11"/>
  <c r="M260" i="11"/>
  <c r="O260" i="11"/>
  <c r="AE260" i="11"/>
  <c r="AF260" i="11"/>
  <c r="AS260" i="11"/>
  <c r="H261" i="11"/>
  <c r="J261" i="11"/>
  <c r="M261" i="11"/>
  <c r="O261" i="11"/>
  <c r="AE261" i="11"/>
  <c r="AF261" i="11"/>
  <c r="AS261" i="11"/>
  <c r="H262" i="11"/>
  <c r="J262" i="11"/>
  <c r="M262" i="11"/>
  <c r="O262" i="11"/>
  <c r="AE262" i="11"/>
  <c r="AF262" i="11"/>
  <c r="AS262" i="11"/>
  <c r="H263" i="11"/>
  <c r="J263" i="11"/>
  <c r="M263" i="11"/>
  <c r="O263" i="11"/>
  <c r="AE263" i="11"/>
  <c r="AF263" i="11"/>
  <c r="AS263" i="11"/>
  <c r="H264" i="11"/>
  <c r="J264" i="11"/>
  <c r="M264" i="11"/>
  <c r="O264" i="11"/>
  <c r="AE264" i="11"/>
  <c r="AF264" i="11"/>
  <c r="AS264" i="11"/>
  <c r="H265" i="11"/>
  <c r="J265" i="11"/>
  <c r="M265" i="11"/>
  <c r="O265" i="11"/>
  <c r="AE265" i="11"/>
  <c r="AF265" i="11"/>
  <c r="AS265" i="11"/>
  <c r="H266" i="11"/>
  <c r="J266" i="11"/>
  <c r="M266" i="11"/>
  <c r="O266" i="11"/>
  <c r="AE266" i="11"/>
  <c r="AF266" i="11"/>
  <c r="AS266" i="11"/>
  <c r="H267" i="11"/>
  <c r="J267" i="11"/>
  <c r="M267" i="11"/>
  <c r="O267" i="11"/>
  <c r="AE267" i="11"/>
  <c r="AF267" i="11"/>
  <c r="AS267" i="11"/>
  <c r="H268" i="11"/>
  <c r="J268" i="11"/>
  <c r="M268" i="11"/>
  <c r="O268" i="11"/>
  <c r="AE268" i="11"/>
  <c r="AF268" i="11"/>
  <c r="AS268" i="11"/>
  <c r="H269" i="11"/>
  <c r="J269" i="11"/>
  <c r="M269" i="11"/>
  <c r="O269" i="11"/>
  <c r="AE269" i="11"/>
  <c r="AF269" i="11"/>
  <c r="AS269" i="11"/>
  <c r="H270" i="11"/>
  <c r="J270" i="11"/>
  <c r="M270" i="11"/>
  <c r="O270" i="11"/>
  <c r="AE270" i="11"/>
  <c r="AF270" i="11"/>
  <c r="AS270" i="11"/>
  <c r="H271" i="11"/>
  <c r="J271" i="11"/>
  <c r="M271" i="11"/>
  <c r="O271" i="11"/>
  <c r="AE271" i="11"/>
  <c r="AF271" i="11"/>
  <c r="AS271" i="11"/>
  <c r="H272" i="11"/>
  <c r="J272" i="11"/>
  <c r="M272" i="11"/>
  <c r="O272" i="11"/>
  <c r="AE272" i="11"/>
  <c r="AF272" i="11"/>
  <c r="AS272" i="11"/>
  <c r="H273" i="11"/>
  <c r="J273" i="11"/>
  <c r="M273" i="11"/>
  <c r="O273" i="11"/>
  <c r="AE273" i="11"/>
  <c r="AF273" i="11"/>
  <c r="AS273" i="11"/>
  <c r="H274" i="11"/>
  <c r="J274" i="11"/>
  <c r="M274" i="11"/>
  <c r="O274" i="11"/>
  <c r="AE274" i="11"/>
  <c r="AF274" i="11"/>
  <c r="AS274" i="11"/>
  <c r="H275" i="11"/>
  <c r="J275" i="11"/>
  <c r="M275" i="11"/>
  <c r="O275" i="11"/>
  <c r="AE275" i="11"/>
  <c r="AF275" i="11"/>
  <c r="AS275" i="11"/>
  <c r="H276" i="11"/>
  <c r="J276" i="11"/>
  <c r="M276" i="11"/>
  <c r="O276" i="11"/>
  <c r="AE276" i="11"/>
  <c r="AF276" i="11"/>
  <c r="AS276" i="11"/>
  <c r="H277" i="11"/>
  <c r="J277" i="11"/>
  <c r="M277" i="11"/>
  <c r="O277" i="11"/>
  <c r="AE277" i="11"/>
  <c r="AF277" i="11"/>
  <c r="AS277" i="11"/>
  <c r="D278" i="11"/>
  <c r="H278" i="11"/>
  <c r="J278" i="11"/>
  <c r="M278" i="11"/>
  <c r="O278" i="11"/>
  <c r="AE278" i="11"/>
  <c r="AF278" i="11"/>
  <c r="AS278" i="11"/>
  <c r="H279" i="11"/>
  <c r="J279" i="11"/>
  <c r="M279" i="11"/>
  <c r="O279" i="11"/>
  <c r="AE279" i="11"/>
  <c r="AF279" i="11"/>
  <c r="AS279" i="11"/>
  <c r="H280" i="11"/>
  <c r="J280" i="11"/>
  <c r="M280" i="11"/>
  <c r="O280" i="11"/>
  <c r="AE280" i="11"/>
  <c r="AF280" i="11"/>
  <c r="AS280" i="11"/>
  <c r="H281" i="11"/>
  <c r="J281" i="11"/>
  <c r="M281" i="11"/>
  <c r="O281" i="11"/>
  <c r="AE281" i="11"/>
  <c r="AF281" i="11"/>
  <c r="AS281" i="11"/>
  <c r="H282" i="11"/>
  <c r="J282" i="11"/>
  <c r="M282" i="11"/>
  <c r="O282" i="11"/>
  <c r="AE282" i="11"/>
  <c r="AF282" i="11"/>
  <c r="AS282" i="11"/>
  <c r="J283" i="11"/>
  <c r="M283" i="11"/>
  <c r="AE283" i="11"/>
  <c r="AF283" i="11"/>
  <c r="AS283" i="11"/>
  <c r="J284" i="11"/>
  <c r="M284" i="11"/>
  <c r="AE284" i="11"/>
  <c r="AF284" i="11"/>
  <c r="AS284" i="11"/>
  <c r="J285" i="11"/>
  <c r="M285" i="11"/>
  <c r="AE285" i="11"/>
  <c r="AF285" i="11"/>
  <c r="AS285" i="11"/>
  <c r="J286" i="11"/>
  <c r="M286" i="11"/>
  <c r="AE286" i="11"/>
  <c r="AF286" i="11"/>
  <c r="AS286" i="11"/>
  <c r="J287" i="11"/>
  <c r="M287" i="11"/>
  <c r="AE287" i="11"/>
  <c r="AF287" i="11"/>
  <c r="AS287" i="11"/>
  <c r="J288" i="11"/>
  <c r="M288" i="11"/>
  <c r="AE288" i="11"/>
  <c r="AF288" i="11"/>
  <c r="AS288" i="11"/>
  <c r="J289" i="11"/>
  <c r="M289" i="11"/>
  <c r="AE289" i="11"/>
  <c r="AF289" i="11"/>
  <c r="AS289" i="11"/>
  <c r="AE290" i="11"/>
  <c r="AF290" i="11"/>
  <c r="AS290" i="11"/>
  <c r="H291" i="11"/>
  <c r="I291" i="11"/>
  <c r="J291" i="11"/>
  <c r="K291" i="11"/>
  <c r="M291" i="11"/>
  <c r="O291" i="11"/>
  <c r="AE291" i="11"/>
  <c r="AF291" i="11"/>
  <c r="AS291" i="11"/>
  <c r="O292" i="11"/>
  <c r="AE292" i="11"/>
  <c r="AF292" i="11"/>
  <c r="AS292" i="11"/>
  <c r="AE293" i="11"/>
  <c r="AF293" i="11"/>
  <c r="AS293" i="11"/>
  <c r="AE294" i="11"/>
  <c r="AF294" i="11"/>
  <c r="AS294" i="11"/>
  <c r="AE295" i="11"/>
  <c r="AF295" i="11"/>
  <c r="AS295" i="11"/>
  <c r="AE296" i="11"/>
  <c r="AF296" i="11"/>
  <c r="AS296" i="11"/>
  <c r="AE297" i="11"/>
  <c r="AF297" i="11"/>
  <c r="AS297" i="11"/>
  <c r="AE298" i="11"/>
  <c r="AF298" i="11"/>
  <c r="AS298" i="11"/>
  <c r="AE299" i="11"/>
  <c r="AF299" i="11"/>
  <c r="AS299" i="11"/>
  <c r="AE300" i="11"/>
  <c r="AF300" i="11"/>
  <c r="AS300" i="11"/>
  <c r="AE301" i="11"/>
  <c r="AF301" i="11"/>
  <c r="AS301" i="11"/>
  <c r="AE302" i="11"/>
  <c r="AF302" i="11"/>
  <c r="AS302" i="11"/>
  <c r="AE303" i="11"/>
  <c r="AF303" i="11"/>
  <c r="AS303" i="11"/>
  <c r="AE304" i="11"/>
  <c r="AF304" i="11"/>
  <c r="AS304" i="11"/>
  <c r="AE305" i="11"/>
  <c r="AF305" i="11"/>
  <c r="AS305" i="11"/>
  <c r="AE306" i="11"/>
  <c r="AF306" i="11"/>
  <c r="AS306" i="11"/>
  <c r="AE307" i="11"/>
  <c r="AF307" i="11"/>
  <c r="AS307" i="11"/>
  <c r="AE308" i="11"/>
  <c r="AF308" i="11"/>
  <c r="AS308" i="11"/>
  <c r="AE309" i="11"/>
  <c r="AF309" i="11"/>
  <c r="AS309" i="11"/>
  <c r="AE310" i="11"/>
  <c r="AF310" i="11"/>
  <c r="AS310" i="11"/>
  <c r="AE311" i="11"/>
  <c r="AF311" i="11"/>
  <c r="AS311" i="11"/>
  <c r="AE312" i="11"/>
  <c r="AF312" i="11"/>
  <c r="AS312" i="11"/>
  <c r="AE313" i="11"/>
  <c r="AF313" i="11"/>
  <c r="AS313" i="11"/>
  <c r="AE314" i="11"/>
  <c r="AF314" i="11"/>
  <c r="AS314" i="11"/>
  <c r="AE315" i="11"/>
  <c r="AF315" i="11"/>
  <c r="AS315" i="11"/>
  <c r="AE316" i="11"/>
  <c r="AF316" i="11"/>
  <c r="AS316" i="11"/>
  <c r="AE317" i="11"/>
  <c r="AF317" i="11"/>
  <c r="AS317" i="11"/>
  <c r="AE318" i="11"/>
  <c r="AF318" i="11"/>
  <c r="AS318" i="11"/>
  <c r="AE319" i="11"/>
  <c r="AF319" i="11"/>
  <c r="AS319" i="11"/>
  <c r="AE320" i="11"/>
  <c r="AF320" i="11"/>
  <c r="AS320" i="11"/>
  <c r="AE321" i="11"/>
  <c r="AF321" i="11"/>
  <c r="AS321" i="11"/>
  <c r="AE322" i="11"/>
  <c r="AF322" i="11"/>
  <c r="AS322" i="11"/>
  <c r="AE323" i="11"/>
  <c r="AF323" i="11"/>
  <c r="AS323" i="11"/>
  <c r="AE324" i="11"/>
  <c r="AF324" i="11"/>
  <c r="AS324" i="11"/>
  <c r="AE325" i="11"/>
  <c r="AF325" i="11"/>
  <c r="AS325" i="11"/>
  <c r="AE326" i="11"/>
  <c r="AF326" i="11"/>
  <c r="AS326" i="11"/>
  <c r="AE327" i="11"/>
  <c r="AF327" i="11"/>
  <c r="AS327" i="11"/>
  <c r="AE328" i="11"/>
  <c r="AF328" i="11"/>
  <c r="AS328" i="11"/>
  <c r="AE329" i="11"/>
  <c r="AF329" i="11"/>
  <c r="AS329" i="11"/>
  <c r="AE330" i="11"/>
  <c r="AF330" i="11"/>
  <c r="AS330" i="11"/>
  <c r="AE331" i="11"/>
  <c r="AF331" i="11"/>
  <c r="AS331" i="11"/>
  <c r="AE332" i="11"/>
  <c r="AF332" i="11"/>
  <c r="AS332" i="11"/>
  <c r="AE333" i="11"/>
  <c r="AF333" i="11"/>
  <c r="AS333" i="11"/>
  <c r="AE334" i="11"/>
  <c r="AF334" i="11"/>
  <c r="AS334" i="11"/>
  <c r="AE335" i="11"/>
  <c r="AF335" i="11"/>
  <c r="AS335" i="11"/>
  <c r="AE336" i="11"/>
  <c r="AF336" i="11"/>
  <c r="AS336" i="11"/>
  <c r="AE337" i="11"/>
  <c r="AF337" i="11"/>
  <c r="AS337" i="11"/>
  <c r="AE338" i="11"/>
  <c r="AF338" i="11"/>
  <c r="AS338" i="11"/>
  <c r="AE339" i="11"/>
  <c r="AF339" i="11"/>
  <c r="AS339" i="11"/>
  <c r="AE340" i="11"/>
  <c r="AF340" i="11"/>
  <c r="AS340" i="11"/>
  <c r="AE341" i="11"/>
  <c r="AF341" i="11"/>
  <c r="AS341" i="11"/>
  <c r="AE342" i="11"/>
  <c r="AF342" i="11"/>
  <c r="AS342" i="11"/>
  <c r="AE343" i="11"/>
  <c r="AF343" i="11"/>
  <c r="AS343" i="11"/>
  <c r="AE344" i="11"/>
  <c r="AF344" i="11"/>
  <c r="AS344" i="11"/>
  <c r="AE345" i="11"/>
  <c r="AF345" i="11"/>
  <c r="AS345" i="11"/>
  <c r="AE346" i="11"/>
  <c r="AF346" i="11"/>
  <c r="AS346" i="11"/>
  <c r="AE347" i="11"/>
  <c r="AF347" i="11"/>
  <c r="AS347" i="11"/>
  <c r="AE348" i="11"/>
  <c r="AF348" i="11"/>
  <c r="AS348" i="11"/>
  <c r="AE349" i="11"/>
  <c r="AF349" i="11"/>
  <c r="AS349" i="11"/>
  <c r="AE350" i="11"/>
  <c r="AF350" i="11"/>
  <c r="AS350" i="11"/>
  <c r="AE351" i="11"/>
  <c r="AF351" i="11"/>
  <c r="AS351" i="11"/>
  <c r="AE352" i="11"/>
  <c r="AF352" i="11"/>
  <c r="AS352" i="11"/>
  <c r="AE353" i="11"/>
  <c r="AF353" i="11"/>
  <c r="AS353" i="11"/>
  <c r="AE354" i="11"/>
  <c r="AF354" i="11"/>
  <c r="AS354" i="11"/>
  <c r="AE355" i="11"/>
  <c r="AF355" i="11"/>
  <c r="AS355" i="11"/>
  <c r="AE356" i="11"/>
  <c r="AF356" i="11"/>
  <c r="AS356" i="11"/>
  <c r="AE357" i="11"/>
  <c r="AF357" i="11"/>
  <c r="AS357" i="11"/>
  <c r="AE358" i="11"/>
  <c r="AF358" i="11"/>
  <c r="AS358" i="11"/>
  <c r="AE359" i="11"/>
  <c r="AF359" i="11"/>
  <c r="AS359" i="11"/>
  <c r="AE360" i="11"/>
  <c r="AF360" i="11"/>
  <c r="AS360" i="11"/>
  <c r="AE361" i="11"/>
  <c r="AF361" i="11"/>
  <c r="AS361" i="11"/>
  <c r="AE362" i="11"/>
  <c r="AF362" i="11"/>
  <c r="AS362" i="11"/>
  <c r="AE363" i="11"/>
  <c r="AF363" i="11"/>
  <c r="AS363" i="11"/>
  <c r="AE364" i="11"/>
  <c r="AF364" i="11"/>
  <c r="AS364" i="11"/>
  <c r="AE365" i="11"/>
  <c r="AF365" i="11"/>
  <c r="AS365" i="11"/>
  <c r="AE366" i="11"/>
  <c r="AF366" i="11"/>
  <c r="AS366" i="11"/>
  <c r="AE367" i="11"/>
  <c r="AF367" i="11"/>
  <c r="AS367" i="11"/>
  <c r="AE368" i="11"/>
  <c r="AF368" i="11"/>
  <c r="AS368" i="11"/>
  <c r="AE369" i="11"/>
  <c r="AF369" i="11"/>
  <c r="AS369" i="11"/>
  <c r="AE370" i="11"/>
  <c r="AF370" i="11"/>
  <c r="AS370" i="11"/>
  <c r="AE371" i="11"/>
  <c r="AF371" i="11"/>
  <c r="AS371" i="11"/>
  <c r="AE372" i="11"/>
  <c r="AF372" i="11"/>
  <c r="AS372" i="11"/>
  <c r="AE373" i="11"/>
  <c r="AF373" i="11"/>
  <c r="AS373" i="11"/>
  <c r="AE374" i="11"/>
  <c r="AF374" i="11"/>
  <c r="AS374" i="11"/>
  <c r="AE375" i="11"/>
  <c r="AF375" i="11"/>
  <c r="AS375" i="11"/>
  <c r="AE376" i="11"/>
  <c r="AF376" i="11"/>
  <c r="AS376" i="11"/>
  <c r="AE377" i="11"/>
  <c r="AF377" i="11"/>
  <c r="AS377" i="11"/>
  <c r="AE378" i="11"/>
  <c r="AF378" i="11"/>
  <c r="AS378" i="11"/>
  <c r="AE379" i="11"/>
  <c r="AF379" i="11"/>
  <c r="AS379" i="11"/>
  <c r="AE380" i="11"/>
  <c r="AF380" i="11"/>
  <c r="AS380" i="11"/>
  <c r="AE381" i="11"/>
  <c r="AF381" i="11"/>
  <c r="AS381" i="11"/>
  <c r="AE382" i="11"/>
  <c r="AF382" i="11"/>
  <c r="AS382" i="11"/>
  <c r="AE383" i="11"/>
  <c r="AF383" i="11"/>
  <c r="AS383" i="11"/>
  <c r="AE384" i="11"/>
  <c r="AF384" i="11"/>
  <c r="AS384" i="11"/>
  <c r="AE385" i="11"/>
  <c r="AF385" i="11"/>
  <c r="AS385" i="11"/>
  <c r="AE386" i="11"/>
  <c r="AF386" i="11"/>
  <c r="AS386" i="11"/>
  <c r="AE387" i="11"/>
  <c r="AF387" i="11"/>
  <c r="AS387" i="11"/>
  <c r="AE388" i="11"/>
  <c r="AF388" i="11"/>
  <c r="AS388" i="11"/>
  <c r="AE389" i="11"/>
  <c r="AF389" i="11"/>
  <c r="AS389" i="11"/>
  <c r="AE390" i="11"/>
  <c r="AF390" i="11"/>
  <c r="AS390" i="11"/>
  <c r="AE391" i="11"/>
  <c r="AF391" i="11"/>
  <c r="AS391" i="11"/>
  <c r="AE392" i="11"/>
  <c r="AF392" i="11"/>
  <c r="AS392" i="11"/>
  <c r="AE393" i="11"/>
  <c r="AF393" i="11"/>
  <c r="AS393" i="11"/>
  <c r="AE394" i="11"/>
  <c r="AF394" i="11"/>
  <c r="AS394" i="11"/>
  <c r="AE395" i="11"/>
  <c r="AF395" i="11"/>
  <c r="AS395" i="11"/>
  <c r="AE396" i="11"/>
  <c r="AF396" i="11"/>
  <c r="AS396" i="11"/>
  <c r="AE397" i="11"/>
  <c r="AF397" i="11"/>
  <c r="AS397" i="11"/>
  <c r="AE398" i="11"/>
  <c r="AF398" i="11"/>
  <c r="AS398" i="11"/>
  <c r="AE399" i="11"/>
  <c r="AF399" i="11"/>
  <c r="AS399" i="11"/>
  <c r="AE400" i="11"/>
  <c r="AF400" i="11"/>
  <c r="AS400" i="11"/>
  <c r="AE401" i="11"/>
  <c r="AF401" i="11"/>
  <c r="AS401" i="11"/>
  <c r="AE402" i="11"/>
  <c r="AF402" i="11"/>
  <c r="AS402" i="11"/>
  <c r="AE403" i="11"/>
  <c r="AF403" i="11"/>
  <c r="AS403" i="11"/>
  <c r="AE404" i="11"/>
  <c r="AF404" i="11"/>
  <c r="AS404" i="11"/>
  <c r="AE405" i="11"/>
  <c r="AF405" i="11"/>
  <c r="AS405" i="11"/>
  <c r="AE406" i="11"/>
  <c r="AF406" i="11"/>
  <c r="AS406" i="11"/>
  <c r="AE407" i="11"/>
  <c r="AF407" i="11"/>
  <c r="AS407" i="11"/>
  <c r="AE408" i="11"/>
  <c r="AF408" i="11"/>
  <c r="AS408" i="11"/>
  <c r="AE409" i="11"/>
  <c r="AF409" i="11"/>
  <c r="AS409" i="11"/>
  <c r="AE410" i="11"/>
  <c r="AF410" i="11"/>
  <c r="AS410" i="11"/>
  <c r="AE411" i="11"/>
  <c r="AF411" i="11"/>
  <c r="AS411" i="11"/>
  <c r="AE412" i="11"/>
  <c r="AF412" i="11"/>
  <c r="AS412" i="11"/>
  <c r="AE413" i="11"/>
  <c r="AF413" i="11"/>
  <c r="AS413" i="11"/>
  <c r="AE414" i="11"/>
  <c r="AF414" i="11"/>
  <c r="AS414" i="11"/>
  <c r="AE415" i="11"/>
  <c r="AF415" i="11"/>
  <c r="AS415" i="11"/>
  <c r="AE416" i="11"/>
  <c r="AF416" i="11"/>
  <c r="AS416" i="11"/>
  <c r="AE417" i="11"/>
  <c r="AF417" i="11"/>
  <c r="AS417" i="11"/>
  <c r="AE418" i="11"/>
  <c r="AF418" i="11"/>
  <c r="AS418" i="11"/>
  <c r="AE419" i="11"/>
  <c r="AF419" i="11"/>
  <c r="AS419" i="11"/>
  <c r="AE420" i="11"/>
  <c r="AF420" i="11"/>
  <c r="AS420" i="11"/>
  <c r="AE421" i="11"/>
  <c r="AF421" i="11"/>
  <c r="AS421" i="11"/>
  <c r="AE422" i="11"/>
  <c r="AF422" i="11"/>
  <c r="AS422" i="11"/>
  <c r="AE423" i="11"/>
  <c r="AF423" i="11"/>
  <c r="AS423" i="11"/>
  <c r="AE424" i="11"/>
  <c r="AF424" i="11"/>
  <c r="AS424" i="11"/>
  <c r="AE425" i="11"/>
  <c r="AF425" i="11"/>
  <c r="AS425" i="11"/>
  <c r="AE426" i="11"/>
  <c r="AF426" i="11"/>
  <c r="AS426" i="11"/>
  <c r="AE427" i="11"/>
  <c r="AF427" i="11"/>
  <c r="AS427" i="11"/>
  <c r="AE428" i="11"/>
  <c r="AF428" i="11"/>
  <c r="AS428" i="11"/>
  <c r="AE429" i="11"/>
  <c r="AF429" i="11"/>
  <c r="AS429" i="11"/>
  <c r="AE430" i="11"/>
  <c r="AF430" i="11"/>
  <c r="AS430" i="11"/>
  <c r="AE431" i="11"/>
  <c r="AF431" i="11"/>
  <c r="AS431" i="11"/>
  <c r="AE432" i="11"/>
  <c r="AF432" i="11"/>
  <c r="AS432" i="11"/>
  <c r="AE433" i="11"/>
  <c r="AF433" i="11"/>
  <c r="AS433" i="11"/>
  <c r="AE434" i="11"/>
  <c r="AF434" i="11"/>
  <c r="AS434" i="11"/>
  <c r="AE435" i="11"/>
  <c r="AF435" i="11"/>
  <c r="AS435" i="11"/>
  <c r="AE436" i="11"/>
  <c r="AF436" i="11"/>
  <c r="AS436" i="11"/>
  <c r="AE437" i="11"/>
  <c r="AF437" i="11"/>
  <c r="AS437" i="11"/>
  <c r="AE438" i="11"/>
  <c r="AF438" i="11"/>
  <c r="AS438" i="11"/>
  <c r="AE439" i="11"/>
  <c r="AF439" i="11"/>
  <c r="AS439" i="11"/>
  <c r="AE440" i="11"/>
  <c r="AF440" i="11"/>
  <c r="AS440" i="11"/>
  <c r="AE441" i="11"/>
  <c r="AF441" i="11"/>
  <c r="AS441" i="11"/>
  <c r="AE442" i="11"/>
  <c r="AF442" i="11"/>
  <c r="AS442" i="11"/>
  <c r="AE443" i="11"/>
  <c r="AF443" i="11"/>
  <c r="AS443" i="11"/>
  <c r="AE444" i="11"/>
  <c r="AF444" i="11"/>
  <c r="AS444" i="11"/>
  <c r="AE445" i="11"/>
  <c r="AF445" i="11"/>
  <c r="AS445" i="11"/>
  <c r="AE446" i="11"/>
  <c r="AF446" i="11"/>
  <c r="AS446" i="11"/>
  <c r="AE447" i="11"/>
  <c r="AF447" i="11"/>
  <c r="AS447" i="11"/>
  <c r="AE448" i="11"/>
  <c r="AF448" i="11"/>
  <c r="AS448" i="11"/>
  <c r="AE449" i="11"/>
  <c r="AF449" i="11"/>
  <c r="AS449" i="11"/>
  <c r="AE450" i="11"/>
  <c r="AF450" i="11"/>
  <c r="AS450" i="11"/>
  <c r="AE451" i="11"/>
  <c r="AF451" i="11"/>
  <c r="AS451" i="11"/>
  <c r="AE452" i="11"/>
  <c r="AF452" i="11"/>
  <c r="AS452" i="11"/>
  <c r="AE453" i="11"/>
  <c r="AF453" i="11"/>
  <c r="AS453" i="11"/>
  <c r="AE454" i="11"/>
  <c r="AF454" i="11"/>
  <c r="AS454" i="11"/>
  <c r="AE455" i="11"/>
  <c r="AF455" i="11"/>
  <c r="AS455" i="11"/>
  <c r="AE456" i="11"/>
  <c r="AF456" i="11"/>
  <c r="AS456" i="11"/>
  <c r="AE457" i="11"/>
  <c r="AF457" i="11"/>
  <c r="AS457" i="11"/>
  <c r="AE458" i="11"/>
  <c r="AF458" i="11"/>
  <c r="AS458" i="11"/>
  <c r="AE459" i="11"/>
  <c r="AF459" i="11"/>
  <c r="AS459" i="11"/>
  <c r="AE460" i="11"/>
  <c r="AF460" i="11"/>
  <c r="AS460" i="11"/>
  <c r="AE461" i="11"/>
  <c r="AF461" i="11"/>
  <c r="AS461" i="11"/>
  <c r="AE462" i="11"/>
  <c r="AF462" i="11"/>
  <c r="AS462" i="11"/>
  <c r="AE463" i="11"/>
  <c r="AF463" i="11"/>
  <c r="AS463" i="11"/>
  <c r="AE464" i="11"/>
  <c r="AF464" i="11"/>
  <c r="AS464" i="11"/>
  <c r="AE465" i="11"/>
  <c r="AF465" i="11"/>
  <c r="AS465" i="11"/>
  <c r="AE466" i="11"/>
  <c r="AF466" i="11"/>
  <c r="AS466" i="11"/>
  <c r="AE467" i="11"/>
  <c r="AF467" i="11"/>
  <c r="AS467" i="11"/>
  <c r="AE468" i="11"/>
  <c r="AF468" i="11"/>
  <c r="AS468" i="11"/>
  <c r="AE469" i="11"/>
  <c r="AF469" i="11"/>
  <c r="AS469" i="11"/>
  <c r="AE470" i="11"/>
  <c r="AF470" i="11"/>
  <c r="AS470" i="11"/>
  <c r="AE471" i="11"/>
  <c r="AF471" i="11"/>
  <c r="AS471" i="11"/>
  <c r="AE472" i="11"/>
  <c r="AF472" i="11"/>
  <c r="AS472" i="11"/>
  <c r="AE473" i="11"/>
  <c r="AF473" i="11"/>
  <c r="AS473" i="11"/>
  <c r="AE474" i="11"/>
  <c r="AF474" i="11"/>
  <c r="AS474" i="11"/>
  <c r="AE475" i="11"/>
  <c r="AF475" i="11"/>
  <c r="AS475" i="11"/>
  <c r="AE476" i="11"/>
  <c r="AF476" i="11"/>
  <c r="AS476" i="11"/>
  <c r="AE477" i="11"/>
  <c r="AF477" i="11"/>
  <c r="AS477" i="11"/>
  <c r="AE478" i="11"/>
  <c r="AF478" i="11"/>
  <c r="AS478" i="11"/>
  <c r="AE479" i="11"/>
  <c r="AF479" i="11"/>
  <c r="AS479" i="11"/>
  <c r="AE480" i="11"/>
  <c r="AF480" i="11"/>
  <c r="AS480" i="11"/>
  <c r="AE481" i="11"/>
  <c r="AF481" i="11"/>
  <c r="AS481" i="11"/>
  <c r="AE482" i="11"/>
  <c r="AF482" i="11"/>
  <c r="AS482" i="11"/>
  <c r="AE483" i="11"/>
  <c r="AF483" i="11"/>
  <c r="AS483" i="11"/>
  <c r="AE484" i="11"/>
  <c r="AF484" i="11"/>
  <c r="AS484" i="11"/>
  <c r="AE485" i="11"/>
  <c r="AF485" i="11"/>
  <c r="AS485" i="11"/>
  <c r="AE486" i="11"/>
  <c r="AF486" i="11"/>
  <c r="AS486" i="11"/>
  <c r="AE487" i="11"/>
  <c r="AF487" i="11"/>
  <c r="AS487" i="11"/>
  <c r="AE488" i="11"/>
  <c r="AF488" i="11"/>
  <c r="AS488" i="11"/>
  <c r="AE489" i="11"/>
  <c r="AF489" i="11"/>
  <c r="AS489" i="11"/>
  <c r="AE490" i="11"/>
  <c r="AF490" i="11"/>
  <c r="AS490" i="11"/>
  <c r="AE491" i="11"/>
  <c r="AF491" i="11"/>
  <c r="AS491" i="11"/>
  <c r="AE492" i="11"/>
  <c r="AF492" i="11"/>
  <c r="AS492" i="11"/>
  <c r="AE493" i="11"/>
  <c r="AF493" i="11"/>
  <c r="AS493" i="11"/>
  <c r="AE494" i="11"/>
  <c r="AF494" i="11"/>
  <c r="AS494" i="11"/>
  <c r="AE495" i="11"/>
  <c r="AF495" i="11"/>
  <c r="AS495" i="11"/>
  <c r="AE496" i="11"/>
  <c r="AF496" i="11"/>
  <c r="AS496" i="11"/>
  <c r="AE497" i="11"/>
  <c r="AF497" i="11"/>
  <c r="AS497" i="11"/>
  <c r="AE498" i="11"/>
  <c r="AF498" i="11"/>
  <c r="AS498" i="11"/>
  <c r="AE499" i="11"/>
  <c r="AF499" i="11"/>
  <c r="AS499" i="11"/>
  <c r="AE500" i="11"/>
  <c r="AF500" i="11"/>
  <c r="AS500" i="11"/>
  <c r="AE501" i="11"/>
  <c r="AF501" i="11"/>
  <c r="AS501" i="11"/>
  <c r="AE502" i="11"/>
  <c r="AF502" i="11"/>
  <c r="AS502" i="11"/>
  <c r="AE503" i="11"/>
  <c r="AF503" i="11"/>
  <c r="AS503" i="11"/>
  <c r="AE504" i="11"/>
  <c r="AF504" i="11"/>
  <c r="AS504" i="11"/>
  <c r="AE505" i="11"/>
  <c r="AF505" i="11"/>
  <c r="AS505" i="11"/>
  <c r="AE506" i="11"/>
  <c r="AF506" i="11"/>
  <c r="AS506" i="11"/>
  <c r="AE507" i="11"/>
  <c r="AF507" i="11"/>
  <c r="AS507" i="11"/>
  <c r="AE508" i="11"/>
  <c r="AF508" i="11"/>
  <c r="AS508" i="11"/>
  <c r="AE509" i="11"/>
  <c r="AF509" i="11"/>
  <c r="AS509" i="11"/>
  <c r="AE510" i="11"/>
  <c r="AF510" i="11"/>
  <c r="AS510" i="11"/>
  <c r="AE511" i="11"/>
  <c r="AF511" i="11"/>
  <c r="AS511" i="11"/>
  <c r="AE512" i="11"/>
  <c r="AF512" i="11"/>
  <c r="AS512" i="11"/>
  <c r="AE513" i="11"/>
  <c r="AF513" i="11"/>
  <c r="AS513" i="11"/>
  <c r="AE514" i="11"/>
  <c r="AF514" i="11"/>
  <c r="AS514" i="11"/>
  <c r="AE515" i="11"/>
  <c r="AF515" i="11"/>
  <c r="AS515" i="11"/>
  <c r="AE516" i="11"/>
  <c r="AF516" i="11"/>
  <c r="AS516" i="11"/>
  <c r="AE517" i="11"/>
  <c r="AF517" i="11"/>
  <c r="AS517" i="11"/>
  <c r="AE518" i="11"/>
  <c r="AF518" i="11"/>
  <c r="AS518" i="11"/>
  <c r="AE519" i="11"/>
  <c r="AF519" i="11"/>
  <c r="AS519" i="11"/>
  <c r="AE520" i="11"/>
  <c r="AF520" i="11"/>
  <c r="AS520" i="11"/>
  <c r="AE521" i="11"/>
  <c r="AF521" i="11"/>
  <c r="AS521" i="11"/>
  <c r="AE522" i="11"/>
  <c r="AF522" i="11"/>
  <c r="AS522" i="11"/>
  <c r="AE523" i="11"/>
  <c r="AF523" i="11"/>
  <c r="AS523" i="11"/>
  <c r="AE524" i="11"/>
  <c r="AF524" i="11"/>
  <c r="AS524" i="11"/>
  <c r="AE525" i="11"/>
  <c r="AF525" i="11"/>
  <c r="AS525" i="11"/>
  <c r="AE526" i="11"/>
  <c r="AF526" i="11"/>
  <c r="AS526" i="11"/>
  <c r="AE527" i="11"/>
  <c r="AF527" i="11"/>
  <c r="AS527" i="11"/>
  <c r="AE528" i="11"/>
  <c r="AF528" i="11"/>
  <c r="AS528" i="11"/>
  <c r="AE529" i="11"/>
  <c r="AF529" i="11"/>
  <c r="AS529" i="11"/>
  <c r="AE530" i="11"/>
  <c r="AF530" i="11"/>
  <c r="AS530" i="11"/>
  <c r="AE531" i="11"/>
  <c r="AF531" i="11"/>
  <c r="AS531" i="11"/>
  <c r="AE532" i="11"/>
  <c r="AF532" i="11"/>
  <c r="AS532" i="11"/>
  <c r="AE533" i="11"/>
  <c r="AF533" i="11"/>
  <c r="AS533" i="11"/>
  <c r="AE534" i="11"/>
  <c r="AF534" i="11"/>
  <c r="AS534" i="11"/>
  <c r="AE535" i="11"/>
  <c r="AF535" i="11"/>
  <c r="AS535" i="11"/>
  <c r="AE536" i="11"/>
  <c r="AF536" i="11"/>
  <c r="AS536" i="11"/>
  <c r="AE537" i="11"/>
  <c r="AF537" i="11"/>
  <c r="AS537" i="11"/>
  <c r="AE538" i="11"/>
  <c r="AF538" i="11"/>
  <c r="AS538" i="11"/>
  <c r="AE539" i="11"/>
  <c r="AF539" i="11"/>
  <c r="AS539" i="11"/>
  <c r="AE540" i="11"/>
  <c r="AF540" i="11"/>
  <c r="AS540" i="11"/>
  <c r="AE541" i="11"/>
  <c r="AF541" i="11"/>
  <c r="AS541" i="11"/>
  <c r="AE542" i="11"/>
  <c r="AF542" i="11"/>
  <c r="AS542" i="11"/>
  <c r="AE543" i="11"/>
  <c r="AF543" i="11"/>
  <c r="AS543" i="11"/>
  <c r="AE544" i="11"/>
  <c r="AF544" i="11"/>
  <c r="AS544" i="11"/>
  <c r="AE545" i="11"/>
  <c r="AF545" i="11"/>
  <c r="AS545" i="11"/>
  <c r="AE546" i="11"/>
  <c r="AF546" i="11"/>
  <c r="AS546" i="11"/>
  <c r="AE547" i="11"/>
  <c r="AF547" i="11"/>
  <c r="AS547" i="11"/>
  <c r="AE548" i="11"/>
  <c r="AF548" i="11"/>
  <c r="AS548" i="11"/>
  <c r="AE549" i="11"/>
  <c r="AF549" i="11"/>
  <c r="AS549" i="11"/>
  <c r="AE550" i="11"/>
  <c r="AF550" i="11"/>
  <c r="AS550" i="11"/>
  <c r="AE551" i="11"/>
  <c r="AF551" i="11"/>
  <c r="AS551" i="11"/>
  <c r="AE552" i="11"/>
  <c r="AF552" i="11"/>
  <c r="AS552" i="11"/>
  <c r="AE553" i="11"/>
  <c r="AF553" i="11"/>
  <c r="AS553" i="11"/>
  <c r="AE554" i="11"/>
  <c r="AF554" i="11"/>
  <c r="AS554" i="11"/>
  <c r="AE555" i="11"/>
  <c r="AF555" i="11"/>
  <c r="AS555" i="11"/>
  <c r="AE556" i="11"/>
  <c r="AF556" i="11"/>
  <c r="AS556" i="11"/>
  <c r="AE557" i="11"/>
  <c r="AF557" i="11"/>
  <c r="AS557" i="11"/>
  <c r="AE558" i="11"/>
  <c r="AF558" i="11"/>
  <c r="AS558" i="11"/>
  <c r="AE559" i="11"/>
  <c r="AF559" i="11"/>
  <c r="AS559" i="11"/>
  <c r="AE560" i="11"/>
  <c r="AF560" i="11"/>
  <c r="AS560" i="11"/>
  <c r="AE561" i="11"/>
  <c r="AF561" i="11"/>
  <c r="AS561" i="11"/>
  <c r="AE562" i="11"/>
  <c r="AF562" i="11"/>
  <c r="AS562" i="11"/>
  <c r="AE563" i="11"/>
  <c r="AF563" i="11"/>
  <c r="AS563" i="11"/>
  <c r="AE564" i="11"/>
  <c r="AF564" i="11"/>
  <c r="AS564" i="11"/>
  <c r="AE565" i="11"/>
  <c r="AF565" i="11"/>
  <c r="AS565" i="11"/>
  <c r="AE566" i="11"/>
  <c r="AF566" i="11"/>
  <c r="AS566" i="11"/>
  <c r="AE567" i="11"/>
  <c r="AF567" i="11"/>
  <c r="AS567" i="11"/>
  <c r="AE568" i="11"/>
  <c r="AF568" i="11"/>
  <c r="AS568" i="11"/>
  <c r="AE569" i="11"/>
  <c r="AF569" i="11"/>
  <c r="AS569" i="11"/>
  <c r="AE570" i="11"/>
  <c r="AF570" i="11"/>
  <c r="AS570" i="11"/>
  <c r="AE571" i="11"/>
  <c r="AF571" i="11"/>
  <c r="AS571" i="11"/>
  <c r="AE572" i="11"/>
  <c r="AF572" i="11"/>
  <c r="AS572" i="11"/>
  <c r="AE573" i="11"/>
  <c r="AF573" i="11"/>
  <c r="AS573" i="11"/>
  <c r="AE574" i="11"/>
  <c r="AF574" i="11"/>
  <c r="AS574" i="11"/>
  <c r="AE575" i="11"/>
  <c r="AF575" i="11"/>
  <c r="AS575" i="11"/>
  <c r="AE576" i="11"/>
  <c r="AF576" i="11"/>
  <c r="AS576" i="11"/>
  <c r="AE577" i="11"/>
  <c r="AF577" i="11"/>
  <c r="AS577" i="11"/>
  <c r="AE578" i="11"/>
  <c r="AF578" i="11"/>
  <c r="AS578" i="11"/>
  <c r="AE579" i="11"/>
  <c r="AF579" i="11"/>
  <c r="AS579" i="11"/>
  <c r="AE580" i="11"/>
  <c r="AF580" i="11"/>
  <c r="AS580" i="11"/>
  <c r="AE581" i="11"/>
  <c r="AF581" i="11"/>
  <c r="AS581" i="11"/>
  <c r="AE582" i="11"/>
  <c r="AF582" i="11"/>
  <c r="AS582" i="11"/>
  <c r="AE583" i="11"/>
  <c r="AF583" i="11"/>
  <c r="AS583" i="11"/>
  <c r="AE584" i="11"/>
  <c r="AF584" i="11"/>
  <c r="AS584" i="11"/>
  <c r="AE585" i="11"/>
  <c r="AF585" i="11"/>
  <c r="AS585" i="11"/>
  <c r="AE586" i="11"/>
  <c r="AF586" i="11"/>
  <c r="AS586" i="11"/>
  <c r="AE587" i="11"/>
  <c r="AF587" i="11"/>
  <c r="AS587" i="11"/>
  <c r="AE588" i="11"/>
  <c r="AF588" i="11"/>
  <c r="AS588" i="11"/>
  <c r="AE589" i="11"/>
  <c r="AF589" i="11"/>
  <c r="AS589" i="11"/>
  <c r="AE590" i="11"/>
  <c r="AF590" i="11"/>
  <c r="AS590" i="11"/>
  <c r="AE591" i="11"/>
  <c r="AF591" i="11"/>
  <c r="AS591" i="11"/>
  <c r="AE592" i="11"/>
  <c r="AF592" i="11"/>
  <c r="AS592" i="11"/>
  <c r="AE593" i="11"/>
  <c r="AF593" i="11"/>
  <c r="AS593" i="11"/>
  <c r="AE594" i="11"/>
  <c r="AF594" i="11"/>
  <c r="AS594" i="11"/>
  <c r="AE595" i="11"/>
  <c r="AF595" i="11"/>
  <c r="AS595" i="11"/>
  <c r="AE596" i="11"/>
  <c r="AF596" i="11"/>
  <c r="AS596" i="11"/>
  <c r="AE597" i="11"/>
  <c r="AF597" i="11"/>
  <c r="AS597" i="11"/>
  <c r="AE598" i="11"/>
  <c r="AF598" i="11"/>
  <c r="AS598" i="11"/>
  <c r="AE599" i="11"/>
  <c r="AF599" i="11"/>
  <c r="AS599" i="11"/>
  <c r="AE600" i="11"/>
  <c r="AF600" i="11"/>
  <c r="AS600" i="11"/>
  <c r="AE601" i="11"/>
  <c r="AF601" i="11"/>
  <c r="AS601" i="11"/>
  <c r="AE602" i="11"/>
  <c r="AF602" i="11"/>
  <c r="AS602" i="11"/>
  <c r="AE603" i="11"/>
  <c r="AF603" i="11"/>
  <c r="AS603" i="11"/>
  <c r="AE604" i="11"/>
  <c r="AF604" i="11"/>
  <c r="AS604" i="11"/>
  <c r="AE605" i="11"/>
  <c r="AF605" i="11"/>
  <c r="AS605" i="11"/>
  <c r="AE606" i="11"/>
  <c r="AF606" i="11"/>
  <c r="AS606" i="11"/>
  <c r="AE607" i="11"/>
  <c r="AF607" i="11"/>
  <c r="AS607" i="11"/>
  <c r="AE608" i="11"/>
  <c r="AF608" i="11"/>
  <c r="AS608" i="11"/>
  <c r="AE609" i="11"/>
  <c r="AF609" i="11"/>
  <c r="AS609" i="11"/>
  <c r="AE610" i="11"/>
  <c r="AF610" i="11"/>
  <c r="AS610" i="11"/>
  <c r="AE611" i="11"/>
  <c r="AF611" i="11"/>
  <c r="AS611" i="11"/>
  <c r="AE612" i="11"/>
  <c r="AF612" i="11"/>
  <c r="AS612" i="11"/>
  <c r="AE613" i="11"/>
  <c r="AF613" i="11"/>
  <c r="AS613" i="11"/>
  <c r="AE614" i="11"/>
  <c r="AF614" i="11"/>
  <c r="AS614" i="11"/>
  <c r="AE615" i="11"/>
  <c r="AF615" i="11"/>
  <c r="AS615" i="11"/>
  <c r="AE616" i="11"/>
  <c r="AF616" i="11"/>
  <c r="AS616" i="11"/>
  <c r="AE617" i="11"/>
  <c r="AF617" i="11"/>
  <c r="AS617" i="11"/>
  <c r="AE618" i="11"/>
  <c r="AF618" i="11"/>
  <c r="AS618" i="11"/>
  <c r="AE619" i="11"/>
  <c r="AF619" i="11"/>
  <c r="AS619" i="11"/>
  <c r="AE620" i="11"/>
  <c r="AF620" i="11"/>
  <c r="AS620" i="11"/>
  <c r="AE621" i="11"/>
  <c r="AF621" i="11"/>
  <c r="AS621" i="11"/>
  <c r="AE622" i="11"/>
  <c r="AF622" i="11"/>
  <c r="AS622" i="11"/>
  <c r="AE623" i="11"/>
  <c r="AF623" i="11"/>
  <c r="AS623" i="11"/>
  <c r="AE624" i="11"/>
  <c r="AF624" i="11"/>
  <c r="AS624" i="11"/>
  <c r="AE625" i="11"/>
  <c r="AF625" i="11"/>
  <c r="AS625" i="11"/>
  <c r="AE626" i="11"/>
  <c r="AF626" i="11"/>
  <c r="AS626" i="11"/>
  <c r="AE627" i="11"/>
  <c r="AF627" i="11"/>
  <c r="AS627" i="11"/>
  <c r="AE628" i="11"/>
  <c r="AF628" i="11"/>
  <c r="AS628" i="11"/>
  <c r="AE629" i="11"/>
  <c r="AF629" i="11"/>
  <c r="AS629" i="11"/>
  <c r="AE630" i="11"/>
  <c r="AF630" i="11"/>
  <c r="AS630" i="11"/>
  <c r="AE631" i="11"/>
  <c r="AF631" i="11"/>
  <c r="AS631" i="11"/>
  <c r="AE632" i="11"/>
  <c r="AF632" i="11"/>
  <c r="AS632" i="11"/>
  <c r="AE633" i="11"/>
  <c r="AF633" i="11"/>
  <c r="AS633" i="11"/>
  <c r="AE634" i="11"/>
  <c r="AF634" i="11"/>
  <c r="AS634" i="11"/>
  <c r="AE635" i="11"/>
  <c r="AF635" i="11"/>
  <c r="AS635" i="11"/>
  <c r="AE636" i="11"/>
  <c r="AF636" i="11"/>
  <c r="AS636" i="11"/>
  <c r="AE637" i="11"/>
  <c r="AF637" i="11"/>
  <c r="AS637" i="11"/>
  <c r="AE638" i="11"/>
  <c r="AF638" i="11"/>
  <c r="AS638" i="11"/>
  <c r="AE639" i="11"/>
  <c r="AF639" i="11"/>
  <c r="AS639" i="11"/>
  <c r="AE640" i="11"/>
  <c r="AF640" i="11"/>
  <c r="AS640" i="11"/>
  <c r="AE641" i="11"/>
  <c r="AF641" i="11"/>
  <c r="AS641" i="11"/>
  <c r="AE642" i="11"/>
  <c r="AF642" i="11"/>
  <c r="AS642" i="11"/>
  <c r="AE643" i="11"/>
  <c r="AF643" i="11"/>
  <c r="AS643" i="11"/>
  <c r="AE644" i="11"/>
  <c r="AF644" i="11"/>
  <c r="AS644" i="11"/>
  <c r="AE645" i="11"/>
  <c r="AF645" i="11"/>
  <c r="AS645" i="11"/>
  <c r="AE646" i="11"/>
  <c r="AF646" i="11"/>
  <c r="AS646" i="11"/>
  <c r="AE647" i="11"/>
  <c r="AF647" i="11"/>
  <c r="AS647" i="11"/>
  <c r="AE648" i="11"/>
  <c r="AF648" i="11"/>
  <c r="AS648" i="11"/>
  <c r="AE649" i="11"/>
  <c r="AF649" i="11"/>
  <c r="AS649" i="11"/>
  <c r="AE650" i="11"/>
  <c r="AF650" i="11"/>
  <c r="AS650" i="11"/>
  <c r="AE651" i="11"/>
  <c r="AF651" i="11"/>
  <c r="AS651" i="11"/>
  <c r="AE652" i="11"/>
  <c r="AF652" i="11"/>
  <c r="AS652" i="11"/>
  <c r="AE653" i="11"/>
  <c r="AF653" i="11"/>
  <c r="AS653" i="11"/>
  <c r="AE654" i="11"/>
  <c r="AF654" i="11"/>
  <c r="AS654" i="11"/>
  <c r="AE655" i="11"/>
  <c r="AF655" i="11"/>
  <c r="AS655" i="11"/>
  <c r="AE656" i="11"/>
  <c r="AF656" i="11"/>
  <c r="AS656" i="11"/>
  <c r="AE657" i="11"/>
  <c r="AF657" i="11"/>
  <c r="AS657" i="11"/>
  <c r="AE658" i="11"/>
  <c r="AF658" i="11"/>
  <c r="AS658" i="11"/>
  <c r="AE659" i="11"/>
  <c r="AF659" i="11"/>
  <c r="AS659" i="11"/>
  <c r="AE660" i="11"/>
  <c r="AF660" i="11"/>
  <c r="AS660" i="11"/>
  <c r="AE661" i="11"/>
  <c r="AF661" i="11"/>
  <c r="AS661" i="11"/>
  <c r="AE662" i="11"/>
  <c r="AF662" i="11"/>
  <c r="AS662" i="11"/>
  <c r="AE663" i="11"/>
  <c r="AF663" i="11"/>
  <c r="AS663" i="11"/>
  <c r="AE664" i="11"/>
  <c r="AF664" i="11"/>
  <c r="AS664" i="11"/>
  <c r="AE665" i="11"/>
  <c r="AF665" i="11"/>
  <c r="AS665" i="11"/>
  <c r="AE666" i="11"/>
  <c r="AF666" i="11"/>
  <c r="AS666" i="11"/>
  <c r="AE667" i="11"/>
  <c r="AF667" i="11"/>
  <c r="AS667" i="11"/>
  <c r="AE668" i="11"/>
  <c r="AF668" i="11"/>
  <c r="AS668" i="11"/>
  <c r="AE669" i="11"/>
  <c r="AF669" i="11"/>
  <c r="AS669" i="11"/>
  <c r="AE670" i="11"/>
  <c r="AF670" i="11"/>
  <c r="AS670" i="11"/>
  <c r="AE671" i="11"/>
  <c r="AF671" i="11"/>
  <c r="AS671" i="11"/>
  <c r="AE672" i="11"/>
  <c r="AF672" i="11"/>
  <c r="AS672" i="11"/>
  <c r="AE673" i="11"/>
  <c r="AF673" i="11"/>
  <c r="AS673" i="11"/>
  <c r="AE674" i="11"/>
  <c r="AF674" i="11"/>
  <c r="AS674" i="11"/>
  <c r="AE675" i="11"/>
  <c r="AF675" i="11"/>
  <c r="AS675" i="11"/>
  <c r="AE676" i="11"/>
  <c r="AF676" i="11"/>
  <c r="AS676" i="11"/>
  <c r="AE677" i="11"/>
  <c r="AF677" i="11"/>
  <c r="AS677" i="11"/>
  <c r="AE678" i="11"/>
  <c r="AF678" i="11"/>
  <c r="AS678" i="11"/>
  <c r="AE679" i="11"/>
  <c r="AF679" i="11"/>
  <c r="AS679" i="11"/>
  <c r="AE680" i="11"/>
  <c r="AF680" i="11"/>
  <c r="AS680" i="11"/>
  <c r="AE681" i="11"/>
  <c r="AF681" i="11"/>
  <c r="AS681" i="11"/>
  <c r="AE682" i="11"/>
  <c r="AF682" i="11"/>
  <c r="AS682" i="11"/>
  <c r="AE683" i="11"/>
  <c r="AF683" i="11"/>
  <c r="AS683" i="11"/>
  <c r="AE684" i="11"/>
  <c r="AF684" i="11"/>
  <c r="AS684" i="11"/>
  <c r="AE685" i="11"/>
  <c r="AF685" i="11"/>
  <c r="AS685" i="11"/>
  <c r="AE686" i="11"/>
  <c r="AF686" i="11"/>
  <c r="AS686" i="11"/>
  <c r="AE687" i="11"/>
  <c r="AF687" i="11"/>
  <c r="AS687" i="11"/>
  <c r="AE688" i="11"/>
  <c r="AF688" i="11"/>
  <c r="AS688" i="11"/>
  <c r="AE689" i="11"/>
  <c r="AF689" i="11"/>
  <c r="AS689" i="11"/>
  <c r="AE690" i="11"/>
  <c r="AF690" i="11"/>
  <c r="AS690" i="11"/>
  <c r="AE691" i="11"/>
  <c r="AF691" i="11"/>
  <c r="AS691" i="11"/>
  <c r="AE692" i="11"/>
  <c r="AF692" i="11"/>
  <c r="AS692" i="11"/>
  <c r="AE693" i="11"/>
  <c r="AF693" i="11"/>
  <c r="AS693" i="11"/>
  <c r="AE694" i="11"/>
  <c r="AF694" i="11"/>
  <c r="AS694" i="11"/>
  <c r="AE695" i="11"/>
  <c r="AF695" i="11"/>
  <c r="AS695" i="11"/>
  <c r="AE696" i="11"/>
  <c r="AF696" i="11"/>
  <c r="AS696" i="11"/>
  <c r="AE697" i="11"/>
  <c r="AF697" i="11"/>
  <c r="AS697" i="11"/>
  <c r="AE698" i="11"/>
  <c r="AF698" i="11"/>
  <c r="AS698" i="11"/>
  <c r="AE699" i="11"/>
  <c r="AF699" i="11"/>
  <c r="AS699" i="11"/>
  <c r="AE700" i="11"/>
  <c r="AF700" i="11"/>
  <c r="AS700" i="11"/>
  <c r="AE701" i="11"/>
  <c r="AF701" i="11"/>
  <c r="AS701" i="11"/>
  <c r="AE702" i="11"/>
  <c r="AF702" i="11"/>
  <c r="AS702" i="11"/>
  <c r="AE703" i="11"/>
  <c r="AF703" i="11"/>
  <c r="AS703" i="11"/>
  <c r="AE704" i="11"/>
  <c r="AF704" i="11"/>
  <c r="AS704" i="11"/>
  <c r="AE705" i="11"/>
  <c r="AF705" i="11"/>
  <c r="AS705" i="11"/>
  <c r="AE706" i="11"/>
  <c r="AF706" i="11"/>
  <c r="AS706" i="11"/>
  <c r="AE707" i="11"/>
  <c r="AF707" i="11"/>
  <c r="AS707" i="11"/>
  <c r="AE708" i="11"/>
  <c r="AF708" i="11"/>
  <c r="AS708" i="11"/>
  <c r="AE709" i="11"/>
  <c r="AF709" i="11"/>
  <c r="AS709" i="11"/>
  <c r="AE710" i="11"/>
  <c r="AF710" i="11"/>
  <c r="AS710" i="11"/>
  <c r="AE711" i="11"/>
  <c r="AF711" i="11"/>
  <c r="AS711" i="11"/>
  <c r="AE712" i="11"/>
  <c r="AF712" i="11"/>
  <c r="AS712" i="11"/>
  <c r="AE713" i="11"/>
  <c r="AF713" i="11"/>
  <c r="AS713" i="11"/>
  <c r="AE714" i="11"/>
  <c r="AF714" i="11"/>
  <c r="AS714" i="11"/>
  <c r="AE715" i="11"/>
  <c r="AF715" i="11"/>
  <c r="AS715" i="11"/>
  <c r="AE716" i="11"/>
  <c r="AF716" i="11"/>
  <c r="AS716" i="11"/>
  <c r="AE717" i="11"/>
  <c r="AF717" i="11"/>
  <c r="AS717" i="11"/>
  <c r="AE718" i="11"/>
  <c r="AF718" i="11"/>
  <c r="AS718" i="11"/>
  <c r="AE719" i="11"/>
  <c r="AF719" i="11"/>
  <c r="AS719" i="11"/>
  <c r="AE720" i="11"/>
  <c r="AF720" i="11"/>
  <c r="AS720" i="11"/>
  <c r="AE721" i="11"/>
  <c r="AF721" i="11"/>
  <c r="AS721" i="11"/>
  <c r="AE722" i="11"/>
  <c r="AF722" i="11"/>
  <c r="AS722" i="11"/>
  <c r="AE723" i="11"/>
  <c r="AF723" i="11"/>
  <c r="AS723" i="11"/>
  <c r="AE724" i="11"/>
  <c r="AF724" i="11"/>
  <c r="AS724" i="11"/>
  <c r="AE725" i="11"/>
  <c r="AF725" i="11"/>
  <c r="AS725" i="11"/>
  <c r="AE726" i="11"/>
  <c r="AF726" i="11"/>
  <c r="AS726" i="11"/>
  <c r="AE727" i="11"/>
  <c r="AF727" i="11"/>
  <c r="AS727" i="11"/>
  <c r="AE728" i="11"/>
  <c r="AF728" i="11"/>
  <c r="AS728" i="11"/>
  <c r="AE729" i="11"/>
  <c r="AF729" i="11"/>
  <c r="AS729" i="11"/>
  <c r="AE730" i="11"/>
  <c r="AF730" i="11"/>
  <c r="AS730" i="11"/>
  <c r="AE731" i="11"/>
  <c r="AF731" i="11"/>
  <c r="AS731" i="11"/>
  <c r="AE732" i="11"/>
  <c r="AF732" i="11"/>
  <c r="AS732" i="11"/>
  <c r="AE733" i="11"/>
  <c r="AF733" i="11"/>
  <c r="AS733" i="11"/>
  <c r="AE734" i="11"/>
  <c r="AF734" i="11"/>
  <c r="AS734" i="11"/>
  <c r="AE735" i="11"/>
  <c r="AF735" i="11"/>
  <c r="AS735" i="11"/>
  <c r="AE736" i="11"/>
  <c r="AF736" i="11"/>
  <c r="AS736" i="11"/>
  <c r="AE737" i="11"/>
  <c r="AF737" i="11"/>
  <c r="AS737" i="11"/>
  <c r="AE738" i="11"/>
  <c r="AF738" i="11"/>
  <c r="AS738" i="11"/>
  <c r="AE739" i="11"/>
  <c r="AF739" i="11"/>
  <c r="AS739" i="11"/>
  <c r="AE740" i="11"/>
  <c r="AF740" i="11"/>
  <c r="AS740" i="11"/>
  <c r="AE741" i="11"/>
  <c r="AF741" i="11"/>
  <c r="AS741" i="11"/>
  <c r="AE742" i="11"/>
  <c r="AF742" i="11"/>
  <c r="AS742" i="11"/>
  <c r="AE743" i="11"/>
  <c r="AF743" i="11"/>
  <c r="AS743" i="11"/>
  <c r="AE744" i="11"/>
  <c r="AF744" i="11"/>
  <c r="AS744" i="11"/>
  <c r="AE745" i="11"/>
  <c r="AF745" i="11"/>
  <c r="AS745" i="11"/>
  <c r="AE746" i="11"/>
  <c r="AF746" i="11"/>
  <c r="AS746" i="11"/>
  <c r="AE747" i="11"/>
  <c r="AF747" i="11"/>
  <c r="AS747" i="11"/>
  <c r="AE748" i="11"/>
  <c r="AF748" i="11"/>
  <c r="AS748" i="11"/>
  <c r="AE749" i="11"/>
  <c r="AF749" i="11"/>
  <c r="AS749" i="11"/>
  <c r="AE750" i="11"/>
  <c r="AF750" i="11"/>
  <c r="AS750" i="11"/>
  <c r="AE751" i="11"/>
  <c r="AF751" i="11"/>
  <c r="AS751" i="11"/>
  <c r="AE752" i="11"/>
  <c r="AF752" i="11"/>
  <c r="AS752" i="11"/>
  <c r="AE753" i="11"/>
  <c r="AF753" i="11"/>
  <c r="AS753" i="11"/>
  <c r="AE754" i="11"/>
  <c r="AF754" i="11"/>
  <c r="AS754" i="11"/>
  <c r="AE755" i="11"/>
  <c r="AF755" i="11"/>
  <c r="AS755" i="11"/>
  <c r="AE756" i="11"/>
  <c r="AF756" i="11"/>
  <c r="AS756" i="11"/>
  <c r="AE757" i="11"/>
  <c r="AF757" i="11"/>
  <c r="AS757" i="11"/>
  <c r="AE758" i="11"/>
  <c r="AF758" i="11"/>
  <c r="AS758" i="11"/>
  <c r="AE759" i="11"/>
  <c r="AF759" i="11"/>
  <c r="AS759" i="11"/>
  <c r="AE760" i="11"/>
  <c r="AF760" i="11"/>
  <c r="AS760" i="11"/>
  <c r="AE761" i="11"/>
  <c r="AF761" i="11"/>
  <c r="AS761" i="11"/>
  <c r="AE762" i="11"/>
  <c r="AF762" i="11"/>
  <c r="AS762" i="11"/>
  <c r="AE763" i="11"/>
  <c r="AF763" i="11"/>
  <c r="AS763" i="11"/>
  <c r="AE764" i="11"/>
  <c r="AF764" i="11"/>
  <c r="AS764" i="11"/>
  <c r="AE765" i="11"/>
  <c r="AF765" i="11"/>
  <c r="AS765" i="11"/>
  <c r="AE766" i="11"/>
  <c r="AF766" i="11"/>
  <c r="AS766" i="11"/>
  <c r="AE767" i="11"/>
  <c r="AF767" i="11"/>
  <c r="AS767" i="11"/>
  <c r="AE768" i="11"/>
  <c r="AF768" i="11"/>
  <c r="AS768" i="11"/>
  <c r="AE769" i="11"/>
  <c r="AF769" i="11"/>
  <c r="AS769" i="11"/>
  <c r="AE770" i="11"/>
  <c r="AF770" i="11"/>
  <c r="AS770" i="11"/>
  <c r="AE771" i="11"/>
  <c r="AF771" i="11"/>
  <c r="AS771" i="11"/>
  <c r="AE772" i="11"/>
  <c r="AF772" i="11"/>
  <c r="AE773" i="11"/>
  <c r="AF773" i="11"/>
  <c r="AS773" i="11"/>
  <c r="AE774" i="11"/>
  <c r="AF774" i="11"/>
  <c r="AE775" i="11"/>
  <c r="AF775" i="11"/>
  <c r="AE776" i="11"/>
  <c r="AF776" i="11"/>
  <c r="AE777" i="11"/>
  <c r="AF777" i="11"/>
  <c r="AE778" i="11"/>
  <c r="AF778" i="11"/>
  <c r="AE779" i="11"/>
  <c r="AF779" i="11"/>
  <c r="AE780" i="11"/>
  <c r="AF780" i="11"/>
  <c r="AE781" i="11"/>
  <c r="AF781" i="11"/>
  <c r="AE782" i="11"/>
  <c r="AF782" i="11"/>
  <c r="AE783" i="11"/>
  <c r="AF783" i="11"/>
  <c r="AE784" i="11"/>
  <c r="AF784" i="11"/>
  <c r="AE785" i="11"/>
  <c r="AF785" i="11"/>
  <c r="AE786" i="11"/>
  <c r="AF786" i="11"/>
  <c r="AE787" i="11"/>
  <c r="AF787" i="11"/>
  <c r="AE788" i="11"/>
  <c r="AF788" i="11"/>
  <c r="AE789" i="11"/>
  <c r="AF789" i="11"/>
  <c r="AE790" i="11"/>
  <c r="AF790" i="11"/>
  <c r="AE791" i="11"/>
  <c r="AF791" i="11"/>
  <c r="AE792" i="11"/>
  <c r="AF792" i="11"/>
  <c r="AE793" i="11"/>
  <c r="AF793" i="11"/>
  <c r="AE794" i="11"/>
  <c r="AF794" i="11"/>
  <c r="AE795" i="11"/>
  <c r="AF795" i="11"/>
  <c r="AE796" i="11"/>
  <c r="AF796" i="11"/>
  <c r="AE797" i="11"/>
  <c r="AF797" i="11"/>
  <c r="AE798" i="11"/>
  <c r="AF798" i="11"/>
  <c r="AE799" i="11"/>
  <c r="AF799" i="11"/>
  <c r="AE800" i="11"/>
  <c r="AF800" i="11"/>
  <c r="AE801" i="11"/>
  <c r="AF801" i="11"/>
  <c r="AE802" i="11"/>
  <c r="AF802" i="11"/>
  <c r="AE803" i="11"/>
  <c r="AF803" i="11"/>
  <c r="AE804" i="11"/>
  <c r="AF804" i="11"/>
  <c r="AE805" i="11"/>
  <c r="AF805" i="11"/>
  <c r="AE806" i="11"/>
  <c r="AF806" i="11"/>
  <c r="AE807" i="11"/>
  <c r="AF807" i="11"/>
  <c r="AE808" i="11"/>
  <c r="AF808" i="11"/>
  <c r="AE809" i="11"/>
  <c r="AF809" i="11"/>
  <c r="AE810" i="11"/>
  <c r="AF810" i="11"/>
  <c r="AE811" i="11"/>
  <c r="AF811" i="11"/>
  <c r="AE812" i="11"/>
  <c r="AF812" i="11"/>
  <c r="AE813" i="11"/>
  <c r="AF813" i="11"/>
  <c r="AE814" i="11"/>
  <c r="AF814" i="11"/>
  <c r="AE815" i="11"/>
  <c r="AF815" i="11"/>
  <c r="AE816" i="11"/>
  <c r="AF816" i="11"/>
  <c r="AE817" i="11"/>
  <c r="AF817" i="11"/>
  <c r="AE818" i="11"/>
  <c r="AF818" i="11"/>
  <c r="AE819" i="11"/>
  <c r="AF819" i="11"/>
  <c r="AE820" i="11"/>
  <c r="AF820" i="11"/>
  <c r="AE821" i="11"/>
  <c r="AF821" i="11"/>
  <c r="AE822" i="11"/>
  <c r="AF822" i="11"/>
  <c r="AE823" i="11"/>
  <c r="AF823" i="11"/>
  <c r="AE824" i="11"/>
  <c r="AF824" i="11"/>
  <c r="AE825" i="11"/>
  <c r="AF825" i="11"/>
  <c r="AE826" i="11"/>
  <c r="AF826" i="11"/>
  <c r="AE827" i="11"/>
  <c r="AF827" i="11"/>
  <c r="AE828" i="11"/>
  <c r="AF828" i="11"/>
  <c r="AE829" i="11"/>
  <c r="AF829" i="11"/>
  <c r="AE830" i="11"/>
  <c r="AF830" i="11"/>
  <c r="AE831" i="11"/>
  <c r="AF831" i="11"/>
  <c r="AE832" i="11"/>
  <c r="AF832" i="11"/>
  <c r="AE833" i="11"/>
  <c r="AF833" i="11"/>
  <c r="AE834" i="11"/>
  <c r="AF834" i="11"/>
  <c r="AE835" i="11"/>
  <c r="AF835" i="11"/>
  <c r="AE836" i="11"/>
  <c r="AF836" i="11"/>
  <c r="AE837" i="11"/>
  <c r="AF837" i="11"/>
  <c r="AE838" i="11"/>
  <c r="AF838" i="11"/>
  <c r="AE839" i="11"/>
  <c r="AF839" i="11"/>
  <c r="AE840" i="11"/>
  <c r="AF840" i="11"/>
  <c r="AE841" i="11"/>
  <c r="AF841" i="11"/>
  <c r="AE842" i="11"/>
  <c r="AF842" i="11"/>
  <c r="AE843" i="11"/>
  <c r="AF843" i="11"/>
  <c r="AE844" i="11"/>
  <c r="AF844" i="11"/>
  <c r="AE845" i="11"/>
  <c r="AF845" i="11"/>
  <c r="AE846" i="11"/>
  <c r="AF846" i="11"/>
  <c r="AE847" i="11"/>
  <c r="AF847" i="11"/>
  <c r="AE848" i="11"/>
  <c r="AF848" i="11"/>
  <c r="AE849" i="11"/>
  <c r="AF849" i="11"/>
  <c r="AE850" i="11"/>
  <c r="AF850" i="11"/>
  <c r="AE851" i="11"/>
  <c r="AF851" i="11"/>
  <c r="AE852" i="11"/>
  <c r="AF852" i="11"/>
  <c r="AE853" i="11"/>
  <c r="AF853" i="11"/>
  <c r="AE854" i="11"/>
  <c r="AF854" i="11"/>
  <c r="AE855" i="11"/>
  <c r="AF855" i="11"/>
  <c r="AE856" i="11"/>
  <c r="AF856" i="11"/>
  <c r="AE857" i="11"/>
  <c r="AF857" i="11"/>
  <c r="AE858" i="11"/>
  <c r="AF858" i="11"/>
  <c r="AE859" i="11"/>
  <c r="AF859" i="11"/>
  <c r="AE860" i="11"/>
  <c r="AF860" i="11"/>
  <c r="AE861" i="11"/>
  <c r="AF861" i="11"/>
  <c r="AE862" i="11"/>
  <c r="AF862" i="11"/>
  <c r="AE863" i="11"/>
  <c r="AF863" i="11"/>
  <c r="AE864" i="11"/>
  <c r="AF864" i="11"/>
  <c r="AE865" i="11"/>
  <c r="AF865" i="11"/>
  <c r="AE866" i="11"/>
  <c r="AF866" i="11"/>
  <c r="AE867" i="11"/>
  <c r="AF867" i="11"/>
  <c r="AE868" i="11"/>
  <c r="AF868" i="11"/>
  <c r="AE869" i="11"/>
  <c r="AF869" i="11"/>
  <c r="AE870" i="11"/>
  <c r="AF870" i="11"/>
  <c r="AE871" i="11"/>
  <c r="AF871" i="11"/>
  <c r="AE872" i="11"/>
  <c r="AF872" i="11"/>
  <c r="AE873" i="11"/>
  <c r="AF873" i="11"/>
  <c r="AE874" i="11"/>
  <c r="AF874" i="11"/>
  <c r="AE875" i="11"/>
  <c r="AF875" i="11"/>
  <c r="AE876" i="11"/>
  <c r="AF876" i="11"/>
  <c r="AE877" i="11"/>
  <c r="AF877" i="11"/>
  <c r="AE878" i="11"/>
  <c r="AF878" i="11"/>
  <c r="AE879" i="11"/>
  <c r="AF879" i="11"/>
  <c r="AE880" i="11"/>
  <c r="AF880" i="11"/>
  <c r="AE881" i="11"/>
  <c r="AF881" i="11"/>
  <c r="AE882" i="11"/>
  <c r="AF882" i="11"/>
  <c r="AE883" i="11"/>
  <c r="AF883" i="11"/>
  <c r="AE884" i="11"/>
  <c r="AF884" i="11"/>
  <c r="AE885" i="11"/>
  <c r="AF885" i="11"/>
  <c r="AE886" i="11"/>
  <c r="AF886" i="11"/>
  <c r="AE887" i="11"/>
  <c r="AF887" i="11"/>
  <c r="AE888" i="11"/>
  <c r="AF888" i="11"/>
  <c r="AE889" i="11"/>
  <c r="AF889" i="11"/>
  <c r="AE890" i="11"/>
  <c r="AF890" i="11"/>
  <c r="AE891" i="11"/>
  <c r="AF891" i="11"/>
  <c r="AE892" i="11"/>
  <c r="AF892" i="11"/>
  <c r="AE893" i="11"/>
  <c r="AF893" i="11"/>
  <c r="AE894" i="11"/>
  <c r="AF894" i="11"/>
  <c r="AE895" i="11"/>
  <c r="AF895" i="11"/>
  <c r="AE896" i="11"/>
  <c r="AF896" i="11"/>
  <c r="AE897" i="11"/>
  <c r="AF897" i="11"/>
  <c r="AE898" i="11"/>
  <c r="AF898" i="11"/>
  <c r="AE899" i="11"/>
  <c r="AF899" i="11"/>
  <c r="AE900" i="11"/>
  <c r="AF900" i="11"/>
  <c r="AE901" i="11"/>
  <c r="AF901" i="11"/>
  <c r="AE902" i="11"/>
  <c r="AF902" i="11"/>
  <c r="AE903" i="11"/>
  <c r="AF903" i="11"/>
  <c r="AE904" i="11"/>
  <c r="AF904" i="11"/>
  <c r="AE905" i="11"/>
  <c r="AF905" i="11"/>
  <c r="AE906" i="11"/>
  <c r="AF906" i="11"/>
  <c r="AE907" i="11"/>
  <c r="AF907" i="11"/>
  <c r="AE908" i="11"/>
  <c r="AF908" i="11"/>
  <c r="AE909" i="11"/>
  <c r="AF909" i="11"/>
  <c r="AE910" i="11"/>
  <c r="AF910" i="11"/>
  <c r="AE911" i="11"/>
  <c r="AF911" i="11"/>
  <c r="AE912" i="11"/>
  <c r="AF912" i="11"/>
  <c r="AE913" i="11"/>
  <c r="AF913" i="11"/>
  <c r="AE914" i="11"/>
  <c r="AF914" i="11"/>
  <c r="AE915" i="11"/>
  <c r="AF915" i="11"/>
  <c r="AE916" i="11"/>
  <c r="AF916" i="11"/>
  <c r="AE917" i="11"/>
  <c r="AF917" i="11"/>
  <c r="AE918" i="11"/>
  <c r="AF918" i="11"/>
  <c r="AE919" i="11"/>
  <c r="AF919" i="11"/>
  <c r="AE920" i="11"/>
  <c r="AF920" i="11"/>
  <c r="AE921" i="11"/>
  <c r="AF921" i="11"/>
  <c r="AE922" i="11"/>
  <c r="AF922" i="11"/>
  <c r="AE923" i="11"/>
  <c r="AF923" i="11"/>
  <c r="AE924" i="11"/>
  <c r="AF924" i="11"/>
  <c r="AE925" i="11"/>
  <c r="AF925" i="11"/>
  <c r="AE926" i="11"/>
  <c r="AF926" i="11"/>
  <c r="AE927" i="11"/>
  <c r="AF927" i="11"/>
  <c r="AE928" i="11"/>
  <c r="AF928" i="11"/>
  <c r="AE929" i="11"/>
  <c r="AF929" i="11"/>
  <c r="AE930" i="11"/>
  <c r="AF930" i="11"/>
  <c r="AE931" i="11"/>
  <c r="AF931" i="11"/>
  <c r="AE932" i="11"/>
  <c r="AF932" i="11"/>
  <c r="AE933" i="11"/>
  <c r="AF933" i="11"/>
  <c r="AE934" i="11"/>
  <c r="AF934" i="11"/>
  <c r="AE935" i="11"/>
  <c r="AF935" i="11"/>
  <c r="AE936" i="11"/>
  <c r="AF936" i="11"/>
  <c r="AE937" i="11"/>
  <c r="AF937" i="11"/>
  <c r="AE938" i="11"/>
  <c r="AF938" i="11"/>
  <c r="AE939" i="11"/>
  <c r="AF939" i="11"/>
  <c r="AE940" i="11"/>
  <c r="AF940" i="11"/>
  <c r="AE941" i="11"/>
  <c r="AF941" i="11"/>
  <c r="AE942" i="11"/>
  <c r="AF942" i="11"/>
  <c r="AE943" i="11"/>
  <c r="AF943" i="11"/>
  <c r="AE944" i="11"/>
  <c r="AF944" i="11"/>
  <c r="AE945" i="11"/>
  <c r="AF945" i="11"/>
  <c r="AE946" i="11"/>
  <c r="AF946" i="11"/>
  <c r="AE947" i="11"/>
  <c r="AF947" i="11"/>
  <c r="AE948" i="11"/>
  <c r="AF948" i="11"/>
  <c r="AE949" i="11"/>
  <c r="AF949" i="11"/>
  <c r="AE950" i="11"/>
  <c r="AF950" i="11"/>
  <c r="AE951" i="11"/>
  <c r="AF951" i="11"/>
  <c r="AE952" i="11"/>
  <c r="AF952" i="11"/>
  <c r="AE953" i="11"/>
  <c r="AF953" i="11"/>
  <c r="AE954" i="11"/>
  <c r="AF954" i="11"/>
  <c r="AE955" i="11"/>
  <c r="AF955" i="11"/>
  <c r="AE956" i="11"/>
  <c r="AF956" i="11"/>
  <c r="AE957" i="11"/>
  <c r="AF957" i="11"/>
  <c r="AE958" i="11"/>
  <c r="AF958" i="11"/>
  <c r="AE959" i="11"/>
  <c r="AF959" i="11"/>
  <c r="AE960" i="11"/>
  <c r="AF960" i="11"/>
  <c r="AE961" i="11"/>
  <c r="AF961" i="11"/>
  <c r="AE962" i="11"/>
  <c r="AF962" i="11"/>
  <c r="AE963" i="11"/>
  <c r="AF963" i="11"/>
  <c r="AE964" i="11"/>
  <c r="AF964" i="11"/>
  <c r="AE965" i="11"/>
  <c r="AF965" i="11"/>
  <c r="AE966" i="11"/>
  <c r="AF966" i="11"/>
  <c r="AE967" i="11"/>
  <c r="AF967" i="11"/>
  <c r="AE968" i="11"/>
  <c r="AF968" i="11"/>
  <c r="AE969" i="11"/>
  <c r="AF969" i="11"/>
  <c r="AE970" i="11"/>
  <c r="AF970" i="11"/>
  <c r="AE971" i="11"/>
  <c r="AF971" i="11"/>
  <c r="AE972" i="11"/>
  <c r="AF972" i="11"/>
  <c r="AE973" i="11"/>
  <c r="AF973" i="11"/>
  <c r="AE974" i="11"/>
  <c r="AF974" i="11"/>
  <c r="AE975" i="11"/>
  <c r="AF975" i="11"/>
  <c r="AE976" i="11"/>
  <c r="AF976" i="11"/>
  <c r="AE977" i="11"/>
  <c r="AF977" i="11"/>
  <c r="AE978" i="11"/>
  <c r="AF978" i="11"/>
  <c r="AE979" i="11"/>
  <c r="AF979" i="11"/>
  <c r="AE980" i="11"/>
  <c r="AF980" i="11"/>
  <c r="AE981" i="11"/>
  <c r="AF981" i="11"/>
  <c r="AE982" i="11"/>
  <c r="AF982" i="11"/>
  <c r="AE983" i="11"/>
  <c r="AF983" i="11"/>
  <c r="AE984" i="11"/>
  <c r="AF984" i="11"/>
  <c r="AE985" i="11"/>
  <c r="AF985" i="11"/>
  <c r="AE986" i="11"/>
  <c r="AF986" i="11"/>
  <c r="AE987" i="11"/>
  <c r="AF987" i="11"/>
  <c r="AE988" i="11"/>
  <c r="AF988" i="11"/>
  <c r="AE989" i="11"/>
  <c r="AF989" i="11"/>
  <c r="AE990" i="11"/>
  <c r="AF990" i="11"/>
  <c r="AE991" i="11"/>
  <c r="AF991" i="11"/>
  <c r="AE992" i="11"/>
  <c r="AF992" i="11"/>
  <c r="AE993" i="11"/>
  <c r="AF993" i="11"/>
  <c r="AE994" i="11"/>
  <c r="AF994" i="11"/>
  <c r="AE995" i="11"/>
  <c r="AF995" i="11"/>
  <c r="AE996" i="11"/>
  <c r="AF996" i="11"/>
  <c r="AE997" i="11"/>
  <c r="AF997" i="11"/>
  <c r="AE998" i="11"/>
  <c r="AF998" i="11"/>
  <c r="AE999" i="11"/>
  <c r="AF999" i="11"/>
  <c r="AE1000" i="11"/>
  <c r="AF1000" i="11"/>
  <c r="AE1001" i="11"/>
  <c r="AF1001" i="11"/>
  <c r="AE1002" i="11"/>
  <c r="AF1002" i="11"/>
  <c r="AE1003" i="11"/>
  <c r="AF1003" i="11"/>
  <c r="AE1004" i="11"/>
  <c r="AF1004" i="11"/>
  <c r="AE1005" i="11"/>
  <c r="AF1005" i="11"/>
  <c r="AE1006" i="11"/>
  <c r="AF1006" i="11"/>
  <c r="AE1007" i="11"/>
  <c r="AF1007" i="11"/>
  <c r="AE1008" i="11"/>
  <c r="AF1008" i="11"/>
  <c r="AE1009" i="11"/>
  <c r="AF1009" i="11"/>
  <c r="AE1010" i="11"/>
  <c r="AF1010" i="11"/>
  <c r="AE1011" i="11"/>
  <c r="AF1011" i="11"/>
  <c r="AE1012" i="11"/>
  <c r="AF1012" i="11"/>
  <c r="AE1013" i="11"/>
  <c r="AF1013" i="11"/>
  <c r="AE1014" i="11"/>
  <c r="AF1014" i="11"/>
  <c r="AE1015" i="11"/>
  <c r="AF1015" i="11"/>
  <c r="AE1016" i="11"/>
  <c r="AF1016" i="11"/>
  <c r="AE1017" i="11"/>
  <c r="AF1017" i="11"/>
  <c r="AE1018" i="11"/>
  <c r="AF1018" i="11"/>
  <c r="AE1019" i="11"/>
  <c r="AF1019" i="11"/>
  <c r="AE1020" i="11"/>
  <c r="AF1020" i="11"/>
  <c r="AE1021" i="11"/>
  <c r="AF1021" i="11"/>
  <c r="AE1022" i="11"/>
  <c r="AF1022" i="11"/>
  <c r="AE1023" i="11"/>
  <c r="AF1023" i="11"/>
  <c r="AE1024" i="11"/>
  <c r="AF1024" i="11"/>
  <c r="AE1025" i="11"/>
  <c r="AF1025" i="11"/>
  <c r="AE1026" i="11"/>
  <c r="AF1026" i="11"/>
  <c r="AE1027" i="11"/>
  <c r="AF1027" i="11"/>
  <c r="AE1028" i="11"/>
  <c r="AF1028" i="11"/>
  <c r="AE1029" i="11"/>
  <c r="AF1029" i="11"/>
  <c r="AE1030" i="11"/>
  <c r="AF1030" i="11"/>
  <c r="AE1031" i="11"/>
  <c r="AF1031" i="11"/>
  <c r="AE1032" i="11"/>
  <c r="AF1032" i="11"/>
  <c r="AE1033" i="11"/>
  <c r="AF1033" i="11"/>
  <c r="AE1034" i="11"/>
  <c r="AF1034" i="11"/>
  <c r="AE1035" i="11"/>
  <c r="AF1035" i="11"/>
  <c r="AE1036" i="11"/>
  <c r="AF1036" i="11"/>
  <c r="AE1037" i="11"/>
  <c r="AF1037" i="11"/>
  <c r="AE1038" i="11"/>
  <c r="AF1038" i="11"/>
  <c r="AE1039" i="11"/>
  <c r="AF1039" i="11"/>
  <c r="AE1040" i="11"/>
  <c r="AF1040" i="11"/>
  <c r="AE1041" i="11"/>
  <c r="AF1041" i="11"/>
  <c r="AE1042" i="11"/>
  <c r="AF1042" i="11"/>
  <c r="AE1043" i="11"/>
  <c r="AF1043" i="11"/>
  <c r="AE1044" i="11"/>
  <c r="AF1044" i="11"/>
  <c r="AE1045" i="11"/>
  <c r="AF1045" i="11"/>
  <c r="AE1046" i="11"/>
  <c r="AF1046" i="11"/>
  <c r="AE1047" i="11"/>
  <c r="AF1047" i="11"/>
  <c r="AE1048" i="11"/>
  <c r="AF1048" i="11"/>
  <c r="AE1049" i="11"/>
  <c r="AF1049" i="11"/>
  <c r="AE1050" i="11"/>
  <c r="AF1050" i="11"/>
  <c r="AE1051" i="11"/>
  <c r="AF1051" i="11"/>
  <c r="AE1052" i="11"/>
  <c r="AF1052" i="11"/>
  <c r="AE1053" i="11"/>
  <c r="AF1053" i="11"/>
  <c r="AE1054" i="11"/>
  <c r="AF1054" i="11"/>
  <c r="AE1055" i="11"/>
  <c r="AF1055" i="11"/>
  <c r="AE1056" i="11"/>
  <c r="AF1056" i="11"/>
  <c r="AE1057" i="11"/>
  <c r="AF1057" i="11"/>
  <c r="AE1058" i="11"/>
  <c r="AF1058" i="11"/>
  <c r="AE1059" i="11"/>
  <c r="AF1059" i="11"/>
  <c r="AE1060" i="11"/>
  <c r="AF1060" i="11"/>
  <c r="AE1061" i="11"/>
  <c r="AF1061" i="11"/>
  <c r="AE1062" i="11"/>
  <c r="AF1062" i="11"/>
  <c r="AE1063" i="11"/>
  <c r="AF1063" i="11"/>
  <c r="AE1064" i="11"/>
  <c r="AF1064" i="11"/>
  <c r="AE1066" i="11"/>
  <c r="AF1066" i="11"/>
  <c r="B4" i="10"/>
  <c r="C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 xml:space="preserve">Being Sold. </t>
        </r>
      </text>
    </comment>
    <comment ref="F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Gone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M2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M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B7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We own 99.99% of the stock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I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Sale underway. Price = $1.9 MM; August 28, 2001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I4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 for purchase for 14.5MM.  ENE owns 75%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I54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Asset value remaining.  Cash received for the rest.</t>
        </r>
      </text>
    </comment>
    <comment ref="I5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Intent.  No clear indication of price though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  <comment ref="A16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Disposed</t>
        </r>
      </text>
    </comment>
  </commentList>
</comments>
</file>

<file path=xl/comments4.xml><?xml version="1.0" encoding="utf-8"?>
<comments xmlns="http://schemas.openxmlformats.org/spreadsheetml/2006/main">
  <authors>
    <author>rbharati</author>
  </authors>
  <commentList>
    <comment ref="C11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Each Warrant is worth 200 shares</t>
        </r>
      </text>
    </comment>
  </commentList>
</comments>
</file>

<file path=xl/comments5.xml><?xml version="1.0" encoding="utf-8"?>
<comments xmlns="http://schemas.openxmlformats.org/spreadsheetml/2006/main">
  <authors>
    <author>rbharati</author>
  </authors>
  <commentList>
    <comment ref="F46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Hanover Compressor is ignored.</t>
        </r>
      </text>
    </comment>
    <comment ref="D70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Reverse Contingent Values are somewhat different from WW change points.</t>
        </r>
      </text>
    </comment>
  </commentList>
</comments>
</file>

<file path=xl/comments6.xml><?xml version="1.0" encoding="utf-8"?>
<comments xmlns="http://schemas.openxmlformats.org/spreadsheetml/2006/main">
  <authors>
    <author>rbharati</author>
  </authors>
  <commentList>
    <comment ref="T72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From msn.com on Aug 29, 2001</t>
        </r>
      </text>
    </comment>
  </commentList>
</comments>
</file>

<file path=xl/sharedStrings.xml><?xml version="1.0" encoding="utf-8"?>
<sst xmlns="http://schemas.openxmlformats.org/spreadsheetml/2006/main" count="892" uniqueCount="395">
  <si>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</si>
  <si>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</si>
  <si>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</si>
  <si>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</si>
  <si>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</si>
  <si>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</si>
  <si>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</si>
  <si>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</si>
  <si>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</si>
  <si>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Swap</t>
  </si>
  <si>
    <t>Long</t>
  </si>
  <si>
    <t>Active Power</t>
  </si>
  <si>
    <t>Avici Systems</t>
  </si>
  <si>
    <t>Catalytica After 12/14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</si>
  <si>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</si>
  <si>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</si>
  <si>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</si>
  <si>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</si>
  <si>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</si>
  <si>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</si>
  <si>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</si>
  <si>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</si>
  <si>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</si>
  <si>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</si>
  <si>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</si>
  <si>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</si>
  <si>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</si>
  <si>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</si>
  <si>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</si>
  <si>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</si>
  <si>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</si>
  <si>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</si>
  <si>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</si>
  <si>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</si>
  <si>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</si>
  <si>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</si>
  <si>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</si>
  <si>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</si>
  <si>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</si>
  <si>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</si>
  <si>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</si>
  <si>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</si>
  <si>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</si>
  <si>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</si>
  <si>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</si>
  <si>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</si>
  <si>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</si>
  <si>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</si>
  <si>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</si>
  <si>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</si>
  <si>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</si>
  <si>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</si>
  <si>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</si>
  <si>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</si>
  <si>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</si>
  <si>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CEG</t>
  </si>
  <si>
    <t>Gaspart</t>
  </si>
  <si>
    <t>Riogas</t>
  </si>
  <si>
    <t>Other</t>
  </si>
  <si>
    <t>Warrants</t>
  </si>
  <si>
    <t>Goals of the model: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</si>
  <si>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</si>
  <si>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</si>
  <si>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</si>
  <si>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</si>
  <si>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</si>
  <si>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</si>
  <si>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</si>
  <si>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</si>
  <si>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</si>
  <si>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</si>
  <si>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</si>
  <si>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</si>
  <si>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</si>
  <si>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</si>
  <si>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</si>
  <si>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</si>
  <si>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</si>
  <si>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</si>
  <si>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</si>
  <si>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</si>
  <si>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</si>
  <si>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</si>
  <si>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</si>
  <si>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</si>
  <si>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</si>
  <si>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</si>
  <si>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</si>
  <si>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</si>
  <si>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</si>
  <si>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</si>
  <si>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</si>
  <si>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</si>
  <si>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</si>
  <si>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</si>
  <si>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</si>
  <si>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</si>
  <si>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</si>
  <si>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</si>
  <si>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</si>
  <si>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</si>
  <si>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</si>
  <si>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</si>
  <si>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</si>
  <si>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</si>
  <si>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</si>
  <si>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</si>
  <si>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</si>
  <si>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</si>
  <si>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</si>
  <si>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</si>
  <si>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</si>
  <si>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</si>
  <si>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</si>
  <si>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</si>
  <si>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</si>
  <si>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</si>
  <si>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</si>
  <si>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</si>
  <si>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</si>
  <si>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</si>
  <si>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</si>
  <si>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</si>
  <si>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</si>
  <si>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</si>
  <si>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</si>
  <si>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</si>
  <si>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</si>
  <si>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</si>
  <si>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</si>
  <si>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</si>
  <si>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</si>
  <si>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</si>
  <si>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</si>
  <si>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</si>
  <si>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</si>
  <si>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</si>
  <si>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</si>
  <si>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</si>
  <si>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</si>
  <si>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</si>
  <si>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</si>
  <si>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</si>
  <si>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</si>
  <si>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Collar Gains/Losses</t>
  </si>
  <si>
    <t>Collars</t>
  </si>
  <si>
    <t>Raptor 1 Call Price</t>
  </si>
  <si>
    <t>Raptor 1 Put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</si>
  <si>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</si>
  <si>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</si>
  <si>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</si>
  <si>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</si>
  <si>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</si>
  <si>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</si>
  <si>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Carryforward rate</t>
  </si>
  <si>
    <t>for Raptor Gains/Losses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</si>
  <si>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</si>
  <si>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</si>
  <si>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</si>
  <si>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</si>
  <si>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</si>
  <si>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</si>
  <si>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</si>
  <si>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</si>
  <si>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</si>
  <si>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</si>
  <si>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</si>
  <si>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</si>
  <si>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</si>
  <si>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</si>
  <si>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</si>
  <si>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</si>
  <si>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</si>
  <si>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</si>
  <si>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</si>
  <si>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Basic Energy Preferred </t>
  </si>
  <si>
    <t>NPW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</si>
  <si>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</si>
  <si>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</si>
  <si>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</si>
  <si>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</si>
  <si>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</si>
  <si>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</si>
  <si>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</si>
  <si>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</si>
  <si>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</si>
  <si>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</si>
  <si>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</si>
  <si>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</si>
  <si>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</si>
  <si>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</si>
  <si>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</si>
  <si>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</si>
  <si>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</si>
  <si>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Payoff (w/o cross-guarantees)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</si>
  <si>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</si>
  <si>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</si>
  <si>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</si>
  <si>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</si>
  <si>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</si>
  <si>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</si>
  <si>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</si>
  <si>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</si>
  <si>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</si>
  <si>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</si>
  <si>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</si>
  <si>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</si>
  <si>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</si>
  <si>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</si>
  <si>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</si>
  <si>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</si>
  <si>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</si>
  <si>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</si>
  <si>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</si>
  <si>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</si>
  <si>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</si>
  <si>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</si>
  <si>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</si>
  <si>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</si>
  <si>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</si>
  <si>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</si>
  <si>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</si>
  <si>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</si>
  <si>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</si>
  <si>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</si>
  <si>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Swap Price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</si>
  <si>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</si>
  <si>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</si>
  <si>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</si>
  <si>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</si>
  <si>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</si>
  <si>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</si>
  <si>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</si>
  <si>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</si>
  <si>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</si>
  <si>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</si>
  <si>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ENRON 60%</t>
  </si>
  <si>
    <t>Chewco 30.16%</t>
  </si>
  <si>
    <t>Collar on ENE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</si>
  <si>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</si>
  <si>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</si>
  <si>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</si>
  <si>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</si>
  <si>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</si>
  <si>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</si>
  <si>
    <t>R1,2 and 4 are pooled.  R3 is separate but one sided cross-guarantees. $259 still excluded.</t>
  </si>
  <si>
    <t xml:space="preserve">      LJM's claim is not being compounded as we do not have information on it.  Raptor gains and losses are compounded.  The effect is minimal as the closing dates are clustered together.</t>
  </si>
  <si>
    <t>Lower</t>
  </si>
  <si>
    <t>Upper</t>
  </si>
  <si>
    <t>see above</t>
  </si>
  <si>
    <t>RAC Values</t>
  </si>
  <si>
    <t>Mkt Value Added Above</t>
  </si>
  <si>
    <t>Cashflow based</t>
  </si>
  <si>
    <t>Not found</t>
  </si>
  <si>
    <t>Lette of Intent</t>
  </si>
  <si>
    <t>Possible merger.  May be bought out leading to high payoff</t>
  </si>
  <si>
    <t>Cashflow</t>
  </si>
  <si>
    <t>Exploration.  If find, high payment, else zero</t>
  </si>
  <si>
    <t>Letter of Intent</t>
  </si>
  <si>
    <t xml:space="preserve">Oil exploration. No finds.  We had a commitment to fund but will walk so does not figure in the swap. </t>
  </si>
  <si>
    <t>Sale to existing shareholder, problematic person, stiffed us last time, zero value if no sale</t>
  </si>
  <si>
    <t>Type of asset</t>
  </si>
  <si>
    <t>ENE (UBS Forward)</t>
  </si>
  <si>
    <t>ENE (WW)</t>
  </si>
  <si>
    <t>Strike Price</t>
  </si>
  <si>
    <t>Raptor 2 Call Price (7,809,790 sh)</t>
  </si>
  <si>
    <t>Raptor 2 Call Price (7,919,393 sh)</t>
  </si>
  <si>
    <t>Raptor 4 Call Price (6,326,045 sh)</t>
  </si>
  <si>
    <t>Raptor 4 Call Price (4,080,607 sh)</t>
  </si>
  <si>
    <t>Number of share for new collars</t>
  </si>
  <si>
    <t>ENE (JEDI)</t>
  </si>
  <si>
    <t>Value of ENE Stocks (WW+JEDI)</t>
  </si>
  <si>
    <t>WW Waterfall Structure</t>
  </si>
  <si>
    <t>Reverse Contingent Forward to Offset WW nonpayment</t>
  </si>
  <si>
    <t>Shortfall to be offset</t>
  </si>
  <si>
    <t>Applies to R4</t>
  </si>
  <si>
    <t>Applies to R2</t>
  </si>
  <si>
    <t>Reverse Contingent Forward from R4</t>
  </si>
  <si>
    <t>Reverse Contingent Forward from R1 and R2</t>
  </si>
  <si>
    <t>Reverse Contingent</t>
  </si>
  <si>
    <t xml:space="preserve">     JEDI and Reverse Contingent Shares are restricted for another two years leading to a 23% discount</t>
  </si>
  <si>
    <t>Raptor 2 (JEDI)</t>
  </si>
  <si>
    <t>Raptor 4 (JEDI)</t>
  </si>
  <si>
    <t>Subject to a 23% discount due to the two year restriction</t>
  </si>
  <si>
    <t xml:space="preserve">         Gordon McKillop provided the spreadsheet for data on market values of Raptor 1 private exposure.</t>
  </si>
  <si>
    <t xml:space="preserve">         Hanover Compressor of Raptor 2 (Being sold)</t>
  </si>
  <si>
    <t xml:space="preserve">         Riskfree Rate = 4%, Market Return = 15%, Betas calculated using last three years' data, unless not available.</t>
  </si>
  <si>
    <t xml:space="preserve">         The raptor spreadsheets (obtained from Travis Winfrey) provided information on the assets and liabilities of raptor vehicles (raptor1h, raptor2b, raptor3b, and raptor4.xls)</t>
  </si>
  <si>
    <t>HC formula</t>
  </si>
  <si>
    <t>On WW Shares</t>
  </si>
  <si>
    <t>On Jedi Shares</t>
  </si>
  <si>
    <t>Contingent Forward (WW)</t>
  </si>
  <si>
    <t>Valuation of the March Contigent Derivative Shares that are not delivered by Whitewing</t>
  </si>
  <si>
    <t>IR</t>
  </si>
  <si>
    <t>Maturity</t>
  </si>
  <si>
    <t>Yield</t>
  </si>
  <si>
    <t>Valuation Date</t>
  </si>
  <si>
    <t>0=put</t>
  </si>
  <si>
    <t>Premium</t>
  </si>
  <si>
    <t>OptType</t>
  </si>
  <si>
    <t>per unit</t>
  </si>
  <si>
    <t>Long Euro Put @</t>
  </si>
  <si>
    <t>Short Euro Put @</t>
  </si>
  <si>
    <t>Long Euro Call @</t>
  </si>
  <si>
    <t>N</t>
  </si>
  <si>
    <t>Value to R1</t>
  </si>
  <si>
    <t>Shares to R1</t>
  </si>
  <si>
    <t>Days</t>
  </si>
  <si>
    <t>Or</t>
  </si>
  <si>
    <t>Short Euro Call @</t>
  </si>
  <si>
    <t>Positions</t>
  </si>
  <si>
    <t>Value</t>
  </si>
  <si>
    <t>Enron Common (UBS Forward)</t>
  </si>
  <si>
    <t>Collar</t>
  </si>
  <si>
    <t>Public Swaps</t>
  </si>
  <si>
    <t>ACPW</t>
  </si>
  <si>
    <t>AVCI</t>
  </si>
  <si>
    <t>CESI</t>
  </si>
  <si>
    <t>Private Swaps</t>
  </si>
  <si>
    <t>Days to Maturity</t>
  </si>
  <si>
    <t>Collar (WW)</t>
  </si>
  <si>
    <t>Collar (JEDI)</t>
  </si>
  <si>
    <t>Enron Common (JEDI Forward)</t>
  </si>
  <si>
    <t>Reverse Contingent Forward (R1 Compensator)</t>
  </si>
  <si>
    <t>Reverse Contingent Forward (R2 Compensator)</t>
  </si>
  <si>
    <t>OPM Approach</t>
  </si>
  <si>
    <t>Market Return</t>
  </si>
  <si>
    <t>Brasil</t>
  </si>
  <si>
    <t>Risk-free Rate</t>
  </si>
  <si>
    <t>Beta</t>
  </si>
  <si>
    <t>Rate</t>
  </si>
  <si>
    <t>Daily prices (7/3/2000 to 8/29/2001)</t>
  </si>
  <si>
    <t>Rate of return</t>
  </si>
  <si>
    <t>Portfolio Ret</t>
  </si>
  <si>
    <t>Daily prices (6/2/1997 to 8/29/2001)</t>
  </si>
  <si>
    <t>SUMMARY OUTPUT</t>
  </si>
  <si>
    <t>HC</t>
  </si>
  <si>
    <t>DATE</t>
  </si>
  <si>
    <t>SPX</t>
  </si>
  <si>
    <t>ACPW/CESI/AVCI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</si>
  <si>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</si>
  <si>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</si>
  <si>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</si>
  <si>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</si>
  <si>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</si>
  <si>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</si>
  <si>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</si>
  <si>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</si>
  <si>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</si>
  <si>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</si>
  <si>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</si>
  <si>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</si>
  <si>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</si>
  <si>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</si>
  <si>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</si>
  <si>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</si>
  <si>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</si>
  <si>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</si>
  <si>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</si>
  <si>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</si>
  <si>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</si>
  <si>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</si>
  <si>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Assuming a 12% rate on S&amp;P and a riskfree rate of 5%</t>
  </si>
  <si>
    <t>Rm</t>
  </si>
  <si>
    <t>Rf</t>
  </si>
  <si>
    <t xml:space="preserve">Portfolio Return </t>
  </si>
  <si>
    <t>Mkt Cap</t>
  </si>
  <si>
    <t>weight</t>
  </si>
  <si>
    <t>portfolio beta =</t>
  </si>
  <si>
    <t>Average Return</t>
  </si>
  <si>
    <t>Corrletions</t>
  </si>
  <si>
    <t>libor+70bps</t>
  </si>
  <si>
    <t>Value of ENE Stocks (UBS+WW)</t>
  </si>
  <si>
    <t>Payoff to R1 at $50</t>
  </si>
  <si>
    <t>Long Euro Digital Call @</t>
  </si>
  <si>
    <t>$</t>
  </si>
  <si>
    <t>Reverse Contingent Forward (R4 Compensator)</t>
  </si>
  <si>
    <t xml:space="preserve">Long Euro Digital Put @ </t>
  </si>
  <si>
    <t>Values not compounded as the valuation</t>
  </si>
  <si>
    <t>sheet does not either.</t>
  </si>
  <si>
    <t>R1 Assets minus Liabilities</t>
  </si>
  <si>
    <t>R2 Assets minus Liabilities</t>
  </si>
  <si>
    <t>R3 Assets minus Liabilities</t>
  </si>
  <si>
    <t>R4 Assets minus Liabilities</t>
  </si>
  <si>
    <t>Jedi Collar</t>
  </si>
  <si>
    <t>Forward Price</t>
  </si>
  <si>
    <t>Strike Price on Fwd</t>
  </si>
  <si>
    <t>Put Premium</t>
  </si>
  <si>
    <t>% Put Premium</t>
  </si>
  <si>
    <t>Years of restrict</t>
  </si>
  <si>
    <t>Days to Expiry</t>
  </si>
  <si>
    <t>Call Flag (Put = 0)</t>
  </si>
  <si>
    <t>Ret Type (Premium = 0)</t>
  </si>
  <si>
    <t>Restriction Valuation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</si>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</sst>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0.000"/>
    <numFmt numFmtId="170" formatCode="_(* #,##0.0_);_(* \(#,##0.0\);_(* &quot;-&quot;??_);_(@_)"/>
    <numFmt numFmtId="171" formatCode="0.0000"/>
    <numFmt numFmtId="177" formatCode="0.00000"/>
    <numFmt numFmtId="178" formatCode="m/d"/>
    <numFmt numFmtId="179" formatCode="#,##0.000"/>
    <numFmt numFmtId="181" formatCode="#,##0.000_);\(#,##0.000\)"/>
    <numFmt numFmtId="183" formatCode="_(&quot;$&quot;* #,##0.000_);_(&quot;$&quot;* \(#,##0.000\);_(&quot;$&quot;* &quot;-&quot;??_);_(@_)"/>
    <numFmt numFmtId="190" formatCode="dd\-mmm\-yy"/>
  </numFmts>
  <fonts count="18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177" fontId="0" fillId="3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66" fontId="0" fillId="4" borderId="0" xfId="1" applyNumberFormat="1" applyFont="1" applyFill="1"/>
    <xf numFmtId="166" fontId="0" fillId="4" borderId="0" xfId="0" applyNumberFormat="1" applyFill="1"/>
    <xf numFmtId="10" fontId="4" fillId="4" borderId="0" xfId="0" applyNumberFormat="1" applyFont="1" applyFill="1"/>
    <xf numFmtId="0" fontId="4" fillId="4" borderId="0" xfId="0" applyFont="1" applyFill="1"/>
    <xf numFmtId="9" fontId="0" fillId="0" borderId="0" xfId="0" applyNumberFormat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  <xf numFmtId="0" fontId="14" fillId="0" borderId="0" xfId="0" applyFont="1"/>
    <xf numFmtId="2" fontId="0" fillId="4" borderId="0" xfId="1" applyNumberFormat="1" applyFont="1" applyFill="1"/>
    <xf numFmtId="2" fontId="0" fillId="4" borderId="0" xfId="0" applyNumberFormat="1" applyFill="1"/>
    <xf numFmtId="37" fontId="0" fillId="0" borderId="0" xfId="2" applyNumberFormat="1" applyFont="1" applyAlignment="1"/>
    <xf numFmtId="166" fontId="0" fillId="0" borderId="0" xfId="1" applyNumberFormat="1" applyFont="1" applyAlignment="1"/>
    <xf numFmtId="3" fontId="0" fillId="0" borderId="0" xfId="0" applyNumberFormat="1" applyAlignment="1"/>
    <xf numFmtId="37" fontId="0" fillId="0" borderId="0" xfId="2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166" fontId="4" fillId="0" borderId="0" xfId="1" applyNumberFormat="1" applyFont="1" applyFill="1"/>
    <xf numFmtId="15" fontId="15" fillId="0" borderId="0" xfId="0" applyNumberFormat="1" applyFont="1"/>
    <xf numFmtId="44" fontId="0" fillId="0" borderId="0" xfId="0" applyNumberFormat="1"/>
    <xf numFmtId="183" fontId="0" fillId="0" borderId="0" xfId="2" applyNumberFormat="1" applyFont="1"/>
    <xf numFmtId="3" fontId="0" fillId="0" borderId="3" xfId="0" applyNumberFormat="1" applyBorder="1"/>
    <xf numFmtId="2" fontId="2" fillId="0" borderId="0" xfId="0" applyNumberFormat="1" applyFont="1"/>
    <xf numFmtId="0" fontId="0" fillId="0" borderId="0" xfId="0" applyAlignment="1">
      <alignment horizontal="right"/>
    </xf>
    <xf numFmtId="168" fontId="0" fillId="0" borderId="0" xfId="0" applyNumberFormat="1"/>
    <xf numFmtId="0" fontId="16" fillId="0" borderId="0" xfId="0" applyFont="1"/>
    <xf numFmtId="0" fontId="5" fillId="0" borderId="0" xfId="0" applyFont="1" applyAlignment="1">
      <alignment horizontal="center"/>
    </xf>
    <xf numFmtId="0" fontId="17" fillId="0" borderId="4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7" fillId="0" borderId="4" xfId="0" applyFont="1" applyFill="1" applyBorder="1" applyAlignment="1">
      <alignment horizontal="center"/>
    </xf>
    <xf numFmtId="10" fontId="0" fillId="0" borderId="0" xfId="3" applyNumberFormat="1" applyFont="1"/>
    <xf numFmtId="9" fontId="0" fillId="0" borderId="0" xfId="3" applyFont="1"/>
    <xf numFmtId="10" fontId="4" fillId="0" borderId="0" xfId="0" applyNumberFormat="1" applyFont="1" applyFill="1"/>
    <xf numFmtId="10" fontId="0" fillId="0" borderId="0" xfId="0" applyNumberFormat="1" applyFill="1"/>
    <xf numFmtId="39" fontId="0" fillId="4" borderId="0" xfId="0" applyNumberFormat="1" applyFill="1"/>
    <xf numFmtId="39" fontId="2" fillId="0" borderId="0" xfId="0" applyNumberFormat="1" applyFont="1" applyBorder="1" applyAlignment="1">
      <alignment wrapText="1"/>
    </xf>
    <xf numFmtId="10" fontId="0" fillId="4" borderId="0" xfId="3" applyNumberFormat="1" applyFont="1" applyFill="1"/>
    <xf numFmtId="3" fontId="0" fillId="0" borderId="0" xfId="0" applyNumberFormat="1" applyBorder="1"/>
    <xf numFmtId="10" fontId="0" fillId="2" borderId="0" xfId="0" applyNumberFormat="1" applyFill="1"/>
    <xf numFmtId="37" fontId="0" fillId="5" borderId="0" xfId="0" applyNumberFormat="1" applyFill="1"/>
    <xf numFmtId="166" fontId="0" fillId="6" borderId="0" xfId="0" applyNumberFormat="1" applyFill="1"/>
    <xf numFmtId="3" fontId="0" fillId="6" borderId="0" xfId="0" applyNumberFormat="1" applyFill="1"/>
    <xf numFmtId="190" fontId="2" fillId="0" borderId="0" xfId="0" applyNumberFormat="1" applyFont="1"/>
    <xf numFmtId="43" fontId="0" fillId="0" borderId="0" xfId="1" applyNumberFormat="1" applyFont="1"/>
    <xf numFmtId="170" fontId="0" fillId="0" borderId="0" xfId="1" applyNumberFormat="1" applyFont="1"/>
    <xf numFmtId="2" fontId="4" fillId="0" borderId="0" xfId="0" applyNumberFormat="1" applyFont="1"/>
    <xf numFmtId="169" fontId="13" fillId="0" borderId="0" xfId="0" applyNumberFormat="1" applyFont="1"/>
    <xf numFmtId="165" fontId="2" fillId="0" borderId="0" xfId="0" applyNumberFormat="1" applyFont="1"/>
    <xf numFmtId="10" fontId="4" fillId="0" borderId="0" xfId="0" applyNumberFormat="1" applyFont="1"/>
    <xf numFmtId="166" fontId="5" fillId="0" borderId="0" xfId="1" applyNumberFormat="1" applyFont="1"/>
    <xf numFmtId="2" fontId="13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2"/>
  <sheetViews>
    <sheetView workbookViewId="0">
      <selection activeCell="A32" sqref="A32"/>
    </sheetView>
  </sheetViews>
  <sheetFormatPr defaultRowHeight="10.199999999999999" x14ac:dyDescent="0.2"/>
  <cols>
    <col min="1" max="1" width="16.7109375" bestFit="1" customWidth="1"/>
  </cols>
  <sheetData>
    <row r="1" spans="1:1" ht="21" x14ac:dyDescent="0.4">
      <c r="A1" s="85" t="s">
        <v>245</v>
      </c>
    </row>
    <row r="2" spans="1:1" x14ac:dyDescent="0.2">
      <c r="A2" t="s">
        <v>60</v>
      </c>
    </row>
    <row r="4" spans="1:1" x14ac:dyDescent="0.2">
      <c r="A4" t="s">
        <v>61</v>
      </c>
    </row>
    <row r="6" spans="1:1" x14ac:dyDescent="0.2">
      <c r="A6" t="s">
        <v>65</v>
      </c>
    </row>
    <row r="8" spans="1:1" x14ac:dyDescent="0.2">
      <c r="A8" t="s">
        <v>62</v>
      </c>
    </row>
    <row r="9" spans="1:1" x14ac:dyDescent="0.2">
      <c r="A9" t="s">
        <v>66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67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285</v>
      </c>
    </row>
    <row r="17" spans="1:1" x14ac:dyDescent="0.2">
      <c r="A17" t="s">
        <v>74</v>
      </c>
    </row>
    <row r="19" spans="1:1" x14ac:dyDescent="0.2">
      <c r="A19" t="s">
        <v>174</v>
      </c>
    </row>
    <row r="20" spans="1:1" x14ac:dyDescent="0.2">
      <c r="A20" t="s">
        <v>287</v>
      </c>
    </row>
    <row r="21" spans="1:1" x14ac:dyDescent="0.2">
      <c r="A21" t="s">
        <v>284</v>
      </c>
    </row>
    <row r="22" spans="1:1" x14ac:dyDescent="0.2">
      <c r="A22" t="s">
        <v>220</v>
      </c>
    </row>
    <row r="25" spans="1:1" x14ac:dyDescent="0.2">
      <c r="A25" t="s">
        <v>221</v>
      </c>
    </row>
    <row r="26" spans="1:1" x14ac:dyDescent="0.2">
      <c r="A26" t="s">
        <v>219</v>
      </c>
    </row>
    <row r="27" spans="1:1" x14ac:dyDescent="0.2">
      <c r="A27" t="s">
        <v>286</v>
      </c>
    </row>
    <row r="28" spans="1:1" x14ac:dyDescent="0.2">
      <c r="A28" t="s">
        <v>239</v>
      </c>
    </row>
    <row r="29" spans="1:1" x14ac:dyDescent="0.2">
      <c r="A29" t="s">
        <v>184</v>
      </c>
    </row>
    <row r="30" spans="1:1" x14ac:dyDescent="0.2">
      <c r="A30" t="s">
        <v>218</v>
      </c>
    </row>
    <row r="31" spans="1:1" x14ac:dyDescent="0.2">
      <c r="A31" t="s">
        <v>246</v>
      </c>
    </row>
    <row r="32" spans="1:1" x14ac:dyDescent="0.2">
      <c r="A32" t="s">
        <v>280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T137"/>
  <sheetViews>
    <sheetView topLeftCell="A49" workbookViewId="0">
      <selection activeCell="B7" sqref="B7"/>
    </sheetView>
  </sheetViews>
  <sheetFormatPr defaultRowHeight="10.199999999999999" x14ac:dyDescent="0.2"/>
  <cols>
    <col min="1" max="1" width="37.140625" customWidth="1"/>
    <col min="2" max="2" width="16.42578125" bestFit="1" customWidth="1"/>
    <col min="3" max="3" width="15" customWidth="1"/>
    <col min="4" max="5" width="13.28515625" bestFit="1" customWidth="1"/>
    <col min="6" max="6" width="15" customWidth="1"/>
    <col min="7" max="7" width="15.140625" bestFit="1" customWidth="1"/>
    <col min="8" max="8" width="7" customWidth="1"/>
    <col min="9" max="9" width="13" customWidth="1"/>
    <col min="10" max="10" width="8" bestFit="1" customWidth="1"/>
    <col min="11" max="11" width="9.7109375" customWidth="1"/>
    <col min="12" max="12" width="22.140625" bestFit="1" customWidth="1"/>
    <col min="13" max="13" width="12.42578125" bestFit="1" customWidth="1"/>
    <col min="14" max="14" width="15.7109375" customWidth="1"/>
    <col min="15" max="15" width="16.7109375" customWidth="1"/>
    <col min="16" max="16" width="13" customWidth="1"/>
    <col min="17" max="17" width="13" bestFit="1" customWidth="1"/>
    <col min="18" max="18" width="14.140625" bestFit="1" customWidth="1"/>
    <col min="19" max="19" width="10.42578125" bestFit="1" customWidth="1"/>
  </cols>
  <sheetData>
    <row r="1" spans="1:19" x14ac:dyDescent="0.2">
      <c r="A1" t="s">
        <v>70</v>
      </c>
    </row>
    <row r="2" spans="1:19" x14ac:dyDescent="0.2">
      <c r="A2" s="25" t="s">
        <v>143</v>
      </c>
      <c r="C2" s="23"/>
      <c r="D2" s="23"/>
      <c r="E2" s="23"/>
      <c r="F2" s="23"/>
    </row>
    <row r="3" spans="1:19" x14ac:dyDescent="0.2">
      <c r="B3" s="25" t="s">
        <v>14</v>
      </c>
      <c r="C3" s="25" t="s">
        <v>77</v>
      </c>
      <c r="D3" s="25" t="s">
        <v>78</v>
      </c>
      <c r="E3" s="25" t="s">
        <v>222</v>
      </c>
      <c r="F3" s="25" t="s">
        <v>79</v>
      </c>
      <c r="G3" s="25" t="s">
        <v>176</v>
      </c>
      <c r="L3" s="25" t="s">
        <v>98</v>
      </c>
      <c r="O3" s="25" t="s">
        <v>138</v>
      </c>
    </row>
    <row r="4" spans="1:19" x14ac:dyDescent="0.2">
      <c r="A4" s="25"/>
      <c r="B4" s="36"/>
      <c r="C4" s="23"/>
      <c r="D4" s="23"/>
      <c r="E4" s="23"/>
      <c r="F4" s="23"/>
      <c r="G4" s="37"/>
      <c r="L4" s="25" t="s">
        <v>99</v>
      </c>
      <c r="N4" s="27">
        <v>50000000</v>
      </c>
    </row>
    <row r="5" spans="1:19" x14ac:dyDescent="0.2">
      <c r="A5" s="25" t="s">
        <v>1</v>
      </c>
      <c r="B5" s="87">
        <v>35.5</v>
      </c>
      <c r="C5" s="74"/>
      <c r="D5" s="74"/>
      <c r="E5" s="74"/>
      <c r="F5" s="74"/>
      <c r="G5" s="113">
        <f>'Raptor 3'!F3</f>
        <v>3.4</v>
      </c>
      <c r="L5" s="25" t="s">
        <v>97</v>
      </c>
      <c r="N5" s="27">
        <v>2427500000</v>
      </c>
    </row>
    <row r="6" spans="1:19" x14ac:dyDescent="0.2">
      <c r="A6" s="25" t="s">
        <v>75</v>
      </c>
      <c r="B6" s="112">
        <f>RoR!E3</f>
        <v>9.7341637438144252E-2</v>
      </c>
      <c r="C6" s="112">
        <f>RoR!F3</f>
        <v>0.26220102511975152</v>
      </c>
      <c r="D6" s="75">
        <v>0.15</v>
      </c>
      <c r="E6" s="112"/>
      <c r="F6" s="112"/>
      <c r="G6" s="112">
        <f>RoR!J3</f>
        <v>0.1895480533445201</v>
      </c>
      <c r="L6" s="25" t="s">
        <v>117</v>
      </c>
      <c r="M6" s="32">
        <v>37636</v>
      </c>
      <c r="O6" s="30">
        <f ca="1">(M6-M16)/M17</f>
        <v>1.3205479452054794</v>
      </c>
    </row>
    <row r="7" spans="1:19" x14ac:dyDescent="0.2">
      <c r="A7" s="25" t="s">
        <v>76</v>
      </c>
      <c r="B7" s="115">
        <v>6.4999999999999997E-3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M7" t="s">
        <v>118</v>
      </c>
    </row>
    <row r="8" spans="1:19" x14ac:dyDescent="0.2">
      <c r="A8" s="25" t="s">
        <v>80</v>
      </c>
      <c r="B8" s="86">
        <f>B5</f>
        <v>35.5</v>
      </c>
      <c r="C8" s="76">
        <f>'Raptor 1'!I24</f>
        <v>16423581.699999999</v>
      </c>
      <c r="D8" s="76">
        <f>'Raptor 1'!I67</f>
        <v>108488217.78</v>
      </c>
      <c r="E8" s="76">
        <f>E5</f>
        <v>0</v>
      </c>
      <c r="F8" s="77">
        <f>F10</f>
        <v>0</v>
      </c>
      <c r="G8" s="86">
        <f>G5</f>
        <v>3.4</v>
      </c>
      <c r="I8" s="49"/>
      <c r="M8" s="25"/>
      <c r="N8" s="25" t="s">
        <v>92</v>
      </c>
      <c r="O8" s="25" t="s">
        <v>135</v>
      </c>
      <c r="P8" s="25" t="s">
        <v>180</v>
      </c>
    </row>
    <row r="9" spans="1:19" x14ac:dyDescent="0.2">
      <c r="A9" s="25" t="s">
        <v>0</v>
      </c>
      <c r="B9" s="75">
        <v>0.41</v>
      </c>
      <c r="C9" s="75">
        <v>0.81</v>
      </c>
      <c r="D9" s="75">
        <f>C9</f>
        <v>0.81</v>
      </c>
      <c r="E9" s="75">
        <v>0.44</v>
      </c>
      <c r="F9" s="75">
        <v>0.37</v>
      </c>
      <c r="G9" s="75">
        <v>0.81</v>
      </c>
      <c r="M9" s="25" t="s">
        <v>95</v>
      </c>
      <c r="N9" s="25" t="s">
        <v>93</v>
      </c>
      <c r="O9" s="25" t="s">
        <v>136</v>
      </c>
      <c r="P9" s="25" t="s">
        <v>153</v>
      </c>
      <c r="Q9" s="25" t="s">
        <v>182</v>
      </c>
    </row>
    <row r="10" spans="1:19" x14ac:dyDescent="0.2">
      <c r="A10" s="25" t="s">
        <v>106</v>
      </c>
      <c r="B10" s="74"/>
      <c r="C10" s="77">
        <f>C8</f>
        <v>16423581.699999999</v>
      </c>
      <c r="D10" s="77">
        <f>D8</f>
        <v>108488217.78</v>
      </c>
      <c r="E10" s="74"/>
      <c r="F10" s="77">
        <v>0</v>
      </c>
      <c r="G10" s="74"/>
      <c r="L10" s="25" t="s">
        <v>87</v>
      </c>
      <c r="M10" s="25" t="s">
        <v>96</v>
      </c>
      <c r="N10" s="25" t="s">
        <v>94</v>
      </c>
      <c r="O10" s="25" t="s">
        <v>137</v>
      </c>
      <c r="P10" s="25" t="s">
        <v>181</v>
      </c>
      <c r="Q10" s="25" t="s">
        <v>183</v>
      </c>
    </row>
    <row r="11" spans="1:19" x14ac:dyDescent="0.2">
      <c r="A11" s="25"/>
      <c r="B11" s="74"/>
      <c r="C11" s="74"/>
      <c r="D11" s="74"/>
      <c r="E11" s="74"/>
      <c r="F11" s="74"/>
      <c r="G11" s="74"/>
      <c r="L11" t="s">
        <v>88</v>
      </c>
      <c r="M11" s="32">
        <v>37729</v>
      </c>
      <c r="N11" s="27">
        <v>3876755</v>
      </c>
      <c r="O11" s="30">
        <f>(M11-M6)/M17</f>
        <v>0.25479452054794521</v>
      </c>
      <c r="P11" s="27">
        <v>36000000</v>
      </c>
      <c r="Q11" s="51">
        <f>350000000+93000000</f>
        <v>443000000</v>
      </c>
    </row>
    <row r="12" spans="1:19" x14ac:dyDescent="0.2">
      <c r="A12" s="25" t="s">
        <v>86</v>
      </c>
      <c r="B12" s="111">
        <f>RoR!B2</f>
        <v>0.04</v>
      </c>
      <c r="C12" s="41">
        <f>B12</f>
        <v>0.04</v>
      </c>
      <c r="D12" s="41">
        <f>B12</f>
        <v>0.04</v>
      </c>
      <c r="E12" s="41">
        <f>B12</f>
        <v>0.04</v>
      </c>
      <c r="F12" s="41">
        <f>B12</f>
        <v>0.04</v>
      </c>
      <c r="G12" s="41">
        <f>B12</f>
        <v>0.04</v>
      </c>
      <c r="L12" t="s">
        <v>89</v>
      </c>
      <c r="M12" s="32">
        <v>37801</v>
      </c>
      <c r="N12" s="27">
        <v>7809790</v>
      </c>
      <c r="O12" s="30">
        <f>(M12-M11)/$M$17</f>
        <v>0.19726027397260273</v>
      </c>
      <c r="P12" s="27">
        <v>31100000</v>
      </c>
      <c r="Q12" s="51">
        <v>375000000</v>
      </c>
    </row>
    <row r="13" spans="1:19" x14ac:dyDescent="0.2">
      <c r="L13" t="s">
        <v>90</v>
      </c>
      <c r="M13" s="32">
        <v>37891</v>
      </c>
      <c r="N13" s="27">
        <v>0</v>
      </c>
      <c r="O13" s="30">
        <f>(M13-M12)/$M$17</f>
        <v>0.24657534246575341</v>
      </c>
      <c r="P13" s="27">
        <v>30000000</v>
      </c>
      <c r="Q13" s="27">
        <f>S13+R13</f>
        <v>299000000</v>
      </c>
      <c r="R13" s="2">
        <v>259000000</v>
      </c>
      <c r="S13" s="2">
        <v>40000000</v>
      </c>
    </row>
    <row r="14" spans="1:19" x14ac:dyDescent="0.2">
      <c r="A14" s="25" t="s">
        <v>84</v>
      </c>
      <c r="L14" t="s">
        <v>91</v>
      </c>
      <c r="M14" s="32">
        <v>37875</v>
      </c>
      <c r="N14" s="27">
        <v>6326045</v>
      </c>
      <c r="O14" s="30">
        <f>(M14-M13)/$M$17</f>
        <v>-4.3835616438356165E-2</v>
      </c>
      <c r="P14" s="27">
        <v>30000000</v>
      </c>
      <c r="Q14" s="27">
        <v>350000000</v>
      </c>
    </row>
    <row r="15" spans="1:19" x14ac:dyDescent="0.2">
      <c r="A15" t="s">
        <v>14</v>
      </c>
      <c r="B15" s="73">
        <v>1</v>
      </c>
      <c r="C15" s="73"/>
      <c r="D15" s="73"/>
      <c r="E15" s="73"/>
      <c r="F15" s="73"/>
      <c r="G15" s="73"/>
      <c r="N15" s="27"/>
    </row>
    <row r="16" spans="1:19" x14ac:dyDescent="0.2">
      <c r="A16" t="s">
        <v>77</v>
      </c>
      <c r="B16" s="73">
        <f>RoR!C5</f>
        <v>0.15997810412839597</v>
      </c>
      <c r="C16" s="73">
        <v>1</v>
      </c>
      <c r="D16" s="73"/>
      <c r="E16" s="73"/>
      <c r="F16" s="73"/>
      <c r="G16" s="73"/>
      <c r="L16" t="s">
        <v>109</v>
      </c>
      <c r="M16" s="32">
        <f ca="1">TODAY()</f>
        <v>37154</v>
      </c>
    </row>
    <row r="17" spans="1:18" x14ac:dyDescent="0.2">
      <c r="A17" t="s">
        <v>78</v>
      </c>
      <c r="B17" s="73">
        <v>0.25797531633824744</v>
      </c>
      <c r="C17" s="73">
        <v>0.15532633438677035</v>
      </c>
      <c r="D17" s="73">
        <v>1</v>
      </c>
      <c r="E17" s="73"/>
      <c r="F17" s="73"/>
      <c r="G17" s="73"/>
      <c r="L17" t="s">
        <v>110</v>
      </c>
      <c r="M17" s="31">
        <v>365</v>
      </c>
    </row>
    <row r="18" spans="1:18" x14ac:dyDescent="0.2">
      <c r="A18" t="s">
        <v>222</v>
      </c>
      <c r="B18" s="73">
        <f>RoR!E5</f>
        <v>0.20936285396472423</v>
      </c>
      <c r="C18" s="73">
        <f>RoR!E6</f>
        <v>0.19408185489736654</v>
      </c>
      <c r="D18" s="73">
        <v>0.20143124786405101</v>
      </c>
      <c r="E18" s="73">
        <v>1</v>
      </c>
      <c r="F18" s="73"/>
      <c r="G18" s="73"/>
      <c r="P18" s="52"/>
    </row>
    <row r="19" spans="1:18" x14ac:dyDescent="0.2">
      <c r="A19" t="s">
        <v>79</v>
      </c>
      <c r="B19" s="73">
        <v>6.3345258429317597E-2</v>
      </c>
      <c r="C19" s="73">
        <v>1.5325810633801598E-2</v>
      </c>
      <c r="D19" s="73">
        <v>0.24322016703998139</v>
      </c>
      <c r="E19" s="73">
        <v>5.1008777126351199E-2</v>
      </c>
      <c r="F19" s="73">
        <v>1</v>
      </c>
      <c r="G19" s="73"/>
      <c r="L19" s="25" t="s">
        <v>102</v>
      </c>
    </row>
    <row r="20" spans="1:18" x14ac:dyDescent="0.2">
      <c r="A20" t="s">
        <v>176</v>
      </c>
      <c r="B20" s="73">
        <f>RoR!G5</f>
        <v>0.23067113116211294</v>
      </c>
      <c r="C20" s="73">
        <f>RoR!G6</f>
        <v>0.34969437506231915</v>
      </c>
      <c r="D20" s="73">
        <v>0.26547149466793979</v>
      </c>
      <c r="E20" s="73">
        <f>RoR!G8</f>
        <v>0.17428957103361362</v>
      </c>
      <c r="F20" s="73">
        <v>0.20063144702592658</v>
      </c>
      <c r="G20" s="73">
        <v>1</v>
      </c>
      <c r="L20" t="s">
        <v>100</v>
      </c>
      <c r="N20" s="28">
        <f>N5/N4</f>
        <v>48.55</v>
      </c>
      <c r="O20" t="s">
        <v>373</v>
      </c>
      <c r="P20" s="5">
        <f>N4*50-N5</f>
        <v>72500000</v>
      </c>
      <c r="Q20" s="44">
        <f>P20/50</f>
        <v>1450000</v>
      </c>
    </row>
    <row r="21" spans="1:18" x14ac:dyDescent="0.2">
      <c r="L21" t="s">
        <v>101</v>
      </c>
      <c r="N21" s="28">
        <f>N5/(N4-N11)</f>
        <v>52.630728822310743</v>
      </c>
    </row>
    <row r="22" spans="1:18" x14ac:dyDescent="0.2">
      <c r="A22" s="25" t="s">
        <v>85</v>
      </c>
      <c r="L22" t="s">
        <v>103</v>
      </c>
      <c r="N22" s="28">
        <f>N5/(N4-N11-N12)</f>
        <v>63.358942700416861</v>
      </c>
    </row>
    <row r="23" spans="1:18" x14ac:dyDescent="0.2">
      <c r="B23" s="42">
        <f t="array" ref="B23:G28">_xll.xCholeski(B15:G20)</f>
        <v>1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L23" t="s">
        <v>104</v>
      </c>
      <c r="N23" s="28">
        <f>N5/(N4-N11-N12-N14)</f>
        <v>75.889232669978597</v>
      </c>
      <c r="R23" s="52">
        <f>R26-N11</f>
        <v>46123245</v>
      </c>
    </row>
    <row r="24" spans="1:18" x14ac:dyDescent="0.2">
      <c r="B24" s="42">
        <v>0.15997810412839597</v>
      </c>
      <c r="C24" s="42">
        <v>0.98712056315299401</v>
      </c>
      <c r="D24" s="42">
        <v>0</v>
      </c>
      <c r="E24" s="42">
        <v>0</v>
      </c>
      <c r="F24" s="42">
        <v>0</v>
      </c>
      <c r="G24" s="42">
        <v>0</v>
      </c>
      <c r="R24" s="52">
        <f>R26-SUM(N11:N12)</f>
        <v>38313455</v>
      </c>
    </row>
    <row r="25" spans="1:18" x14ac:dyDescent="0.2">
      <c r="B25" s="42">
        <v>0.25797531633824744</v>
      </c>
      <c r="C25" s="42">
        <v>0.11554407498385458</v>
      </c>
      <c r="D25" s="42">
        <v>0.95921754722080987</v>
      </c>
      <c r="E25" s="42">
        <v>0</v>
      </c>
      <c r="F25" s="42">
        <v>0</v>
      </c>
      <c r="G25" s="42">
        <v>0</v>
      </c>
      <c r="R25" s="44">
        <f>R26-SUM(N11:N14)</f>
        <v>31987410</v>
      </c>
    </row>
    <row r="26" spans="1:18" x14ac:dyDescent="0.2">
      <c r="B26" s="42">
        <v>0.20936285396472423</v>
      </c>
      <c r="C26" s="42">
        <v>0.16268365632282963</v>
      </c>
      <c r="D26" s="42">
        <v>0.13409227882754882</v>
      </c>
      <c r="E26" s="42">
        <v>0.95484055428328762</v>
      </c>
      <c r="F26" s="42">
        <v>0</v>
      </c>
      <c r="G26" s="42">
        <v>0</v>
      </c>
      <c r="L26" s="25" t="s">
        <v>133</v>
      </c>
      <c r="M26" s="30"/>
      <c r="R26" s="5">
        <v>50000000</v>
      </c>
    </row>
    <row r="27" spans="1:18" x14ac:dyDescent="0.2">
      <c r="B27" s="42">
        <v>6.3345258429317597E-2</v>
      </c>
      <c r="C27" s="42">
        <v>5.2596982360212201E-3</v>
      </c>
      <c r="D27" s="42">
        <v>0.23589114653538315</v>
      </c>
      <c r="E27" s="42">
        <v>5.508547661175602E-3</v>
      </c>
      <c r="F27" s="42">
        <v>0.96968280210483049</v>
      </c>
      <c r="G27" s="42">
        <v>0</v>
      </c>
      <c r="L27" s="29" t="s">
        <v>122</v>
      </c>
      <c r="M27" s="40">
        <v>3739175</v>
      </c>
    </row>
    <row r="28" spans="1:18" x14ac:dyDescent="0.2">
      <c r="B28" s="42">
        <v>0.23067113116211294</v>
      </c>
      <c r="C28" s="42">
        <v>0.31687319310090395</v>
      </c>
      <c r="D28" s="42">
        <v>0.17655141645702585</v>
      </c>
      <c r="E28" s="42">
        <v>5.3172577401734443E-2</v>
      </c>
      <c r="F28" s="42">
        <v>0.14686560099754101</v>
      </c>
      <c r="G28" s="42">
        <v>0.88927778469133822</v>
      </c>
      <c r="L28" s="29" t="s">
        <v>281</v>
      </c>
      <c r="M28" s="40">
        <f>'Raptor 2'!C4</f>
        <v>7919393</v>
      </c>
    </row>
    <row r="29" spans="1:18" x14ac:dyDescent="0.2">
      <c r="A29" s="25" t="s">
        <v>165</v>
      </c>
      <c r="B29" s="78">
        <v>0.12</v>
      </c>
      <c r="L29" s="29" t="s">
        <v>282</v>
      </c>
      <c r="M29" s="40">
        <f>'Raptor 4'!C4</f>
        <v>4080607</v>
      </c>
      <c r="N29" s="35"/>
    </row>
    <row r="30" spans="1:18" x14ac:dyDescent="0.2">
      <c r="A30" s="25" t="s">
        <v>164</v>
      </c>
      <c r="B30" s="79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5" t="s">
        <v>198</v>
      </c>
    </row>
    <row r="31" spans="1:18" x14ac:dyDescent="0.2">
      <c r="A31" s="25" t="s">
        <v>163</v>
      </c>
      <c r="B31" s="79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124</v>
      </c>
      <c r="M31" s="40">
        <v>24117800</v>
      </c>
    </row>
    <row r="32" spans="1:18" x14ac:dyDescent="0.2">
      <c r="A32" s="25" t="s">
        <v>111</v>
      </c>
      <c r="B32" s="53">
        <v>-2.0588103441321643</v>
      </c>
      <c r="C32" s="53">
        <v>-0.77474422872323567</v>
      </c>
      <c r="D32" s="53">
        <v>-1.2441669027183213</v>
      </c>
      <c r="E32" s="53">
        <v>0.65226732238148177</v>
      </c>
      <c r="F32" s="53">
        <v>0.75319754535671246</v>
      </c>
      <c r="G32" s="53">
        <v>-0.984628399334603</v>
      </c>
      <c r="L32" t="s">
        <v>185</v>
      </c>
      <c r="M32" s="51">
        <v>19000000</v>
      </c>
      <c r="N32" t="s">
        <v>186</v>
      </c>
      <c r="O32" s="2">
        <v>21</v>
      </c>
      <c r="P32" t="s">
        <v>187</v>
      </c>
      <c r="Q32" s="2"/>
    </row>
    <row r="33" spans="1:20" x14ac:dyDescent="0.2">
      <c r="A33" s="25" t="s">
        <v>112</v>
      </c>
      <c r="B33" s="53">
        <v>-0.11094342527668405</v>
      </c>
      <c r="C33" s="53">
        <v>0.28152516563106017</v>
      </c>
      <c r="D33" s="53">
        <v>0.68893842638916003</v>
      </c>
      <c r="E33" s="53">
        <v>-0.33684860986369458</v>
      </c>
      <c r="F33" s="53">
        <v>0.19441834632036953</v>
      </c>
      <c r="G33" s="53">
        <v>0.28256743450925681</v>
      </c>
      <c r="L33" s="25"/>
    </row>
    <row r="34" spans="1:20" x14ac:dyDescent="0.2">
      <c r="A34" s="25" t="s">
        <v>113</v>
      </c>
      <c r="B34" s="53">
        <v>-4.4372880649272306E-2</v>
      </c>
      <c r="C34" s="53">
        <v>-0.34901989346484424</v>
      </c>
      <c r="D34" s="53">
        <v>1.0385485068105738</v>
      </c>
      <c r="E34" s="53">
        <v>1.466043559447908</v>
      </c>
      <c r="F34" s="53">
        <v>-1.3415876846001882</v>
      </c>
      <c r="G34" s="53">
        <v>1.1481795147487213</v>
      </c>
      <c r="M34" s="2"/>
    </row>
    <row r="35" spans="1:20" x14ac:dyDescent="0.2">
      <c r="A35" s="25" t="s">
        <v>240</v>
      </c>
      <c r="B35" s="53">
        <v>-0.61335698703805275</v>
      </c>
      <c r="C35" s="53">
        <v>-0.9778056805941181</v>
      </c>
      <c r="D35" s="53">
        <v>1.0499431016805907</v>
      </c>
      <c r="E35" s="53">
        <v>-0.87871619623265995</v>
      </c>
      <c r="F35" s="53">
        <v>-0.89066303909852462</v>
      </c>
      <c r="G35" s="53">
        <v>-1.3542997027147581</v>
      </c>
      <c r="M35" s="2"/>
    </row>
    <row r="36" spans="1:20" x14ac:dyDescent="0.2">
      <c r="A36" s="25" t="s">
        <v>241</v>
      </c>
      <c r="B36" s="53">
        <v>0.45623871882350919</v>
      </c>
      <c r="C36" s="53">
        <v>1.3618091585719048</v>
      </c>
      <c r="D36" s="53">
        <v>0.22751132245187441</v>
      </c>
      <c r="E36" s="53">
        <v>0.34757476814239052</v>
      </c>
      <c r="F36" s="53">
        <v>0.22041894547292967</v>
      </c>
      <c r="G36" s="53">
        <v>0.9662083063916086</v>
      </c>
      <c r="L36" s="25" t="s">
        <v>145</v>
      </c>
      <c r="N36" t="s">
        <v>149</v>
      </c>
    </row>
    <row r="37" spans="1:20" x14ac:dyDescent="0.2">
      <c r="A37" s="25" t="s">
        <v>114</v>
      </c>
      <c r="B37" s="54">
        <f t="array" ref="B37:G41">TRANSPOSE(MMULT(B23:G28,TRANSPOSE(B32:G36)))</f>
        <v>-2.0588103441321643</v>
      </c>
      <c r="C37" s="54">
        <v>-1.0941305349710064</v>
      </c>
      <c r="D37" s="54">
        <v>-1.8140660798236374</v>
      </c>
      <c r="E37" s="54">
        <v>-0.10109851684701554</v>
      </c>
      <c r="F37" s="54">
        <v>0.3059770006303541</v>
      </c>
      <c r="G37" s="54">
        <v>-1.6703698343549409</v>
      </c>
      <c r="I37" s="29"/>
      <c r="J37" s="30"/>
      <c r="L37" t="s">
        <v>146</v>
      </c>
      <c r="M37" s="2">
        <v>116</v>
      </c>
    </row>
    <row r="38" spans="1:20" x14ac:dyDescent="0.2">
      <c r="A38" s="25" t="s">
        <v>115</v>
      </c>
      <c r="B38" s="54">
        <v>-0.11094342527668405</v>
      </c>
      <c r="C38" s="54">
        <v>0.26015076119819774</v>
      </c>
      <c r="D38" s="54">
        <v>0.66474972716329062</v>
      </c>
      <c r="E38" s="54">
        <v>-0.2066832786382147</v>
      </c>
      <c r="F38" s="54">
        <v>0.34363605298359001</v>
      </c>
      <c r="G38" s="54">
        <v>0.44717258848183539</v>
      </c>
      <c r="I38" s="38"/>
      <c r="J38" s="30"/>
      <c r="L38" t="s">
        <v>147</v>
      </c>
      <c r="M38" s="2">
        <v>81</v>
      </c>
    </row>
    <row r="39" spans="1:20" x14ac:dyDescent="0.2">
      <c r="A39" s="25" t="s">
        <v>116</v>
      </c>
      <c r="B39" s="54">
        <v>-4.4372880649272306E-2</v>
      </c>
      <c r="C39" s="54">
        <v>-0.35162340310960122</v>
      </c>
      <c r="D39" s="54">
        <v>0.94441966270897881</v>
      </c>
      <c r="E39" s="54">
        <v>1.4730293155282292</v>
      </c>
      <c r="F39" s="54">
        <v>-1.052500887357682</v>
      </c>
      <c r="G39" s="54">
        <v>0.96449738761957482</v>
      </c>
      <c r="I39" s="38"/>
      <c r="J39" s="30"/>
      <c r="L39" t="s">
        <v>265</v>
      </c>
      <c r="M39" s="2">
        <v>111.8633</v>
      </c>
      <c r="N39" t="s">
        <v>267</v>
      </c>
      <c r="O39" s="2">
        <v>112.41800000000001</v>
      </c>
      <c r="P39" t="s">
        <v>266</v>
      </c>
      <c r="Q39" s="2">
        <v>91.02</v>
      </c>
      <c r="R39" t="s">
        <v>268</v>
      </c>
      <c r="S39" s="2">
        <v>91.02</v>
      </c>
    </row>
    <row r="40" spans="1:20" x14ac:dyDescent="0.2">
      <c r="A40" s="25" t="s">
        <v>242</v>
      </c>
      <c r="B40" s="54">
        <v>-0.61335698703805275</v>
      </c>
      <c r="C40" s="54">
        <v>-1.0633357820225153</v>
      </c>
      <c r="D40" s="54">
        <v>0.73591323107784379</v>
      </c>
      <c r="E40" s="54">
        <v>-0.98573176932265516</v>
      </c>
      <c r="F40" s="54">
        <v>-0.66482501914625058</v>
      </c>
      <c r="G40" s="54">
        <v>-1.6478352233674805</v>
      </c>
      <c r="I40" s="38"/>
      <c r="J40" s="30"/>
      <c r="L40" t="s">
        <v>148</v>
      </c>
      <c r="M40" s="2">
        <v>78.875</v>
      </c>
      <c r="N40" t="s">
        <v>224</v>
      </c>
      <c r="O40" s="2">
        <v>83</v>
      </c>
      <c r="P40" t="s">
        <v>148</v>
      </c>
      <c r="Q40" s="2">
        <v>61.48</v>
      </c>
      <c r="R40" t="s">
        <v>224</v>
      </c>
      <c r="S40" s="2">
        <v>61.48</v>
      </c>
    </row>
    <row r="41" spans="1:20" x14ac:dyDescent="0.2">
      <c r="A41" s="25" t="s">
        <v>243</v>
      </c>
      <c r="B41" s="54">
        <v>0.45623871882350919</v>
      </c>
      <c r="C41" s="54">
        <v>1.4172580287837568</v>
      </c>
      <c r="D41" s="54">
        <v>0.49328016003323338</v>
      </c>
      <c r="E41" s="54">
        <v>0.67944952934709923</v>
      </c>
      <c r="F41" s="54">
        <v>0.30538226434074478</v>
      </c>
      <c r="G41" s="54">
        <v>1.4870103534789629</v>
      </c>
      <c r="I41" s="38"/>
      <c r="J41" s="30"/>
      <c r="L41" t="s">
        <v>269</v>
      </c>
      <c r="Q41" s="51">
        <v>7919393</v>
      </c>
      <c r="S41" s="51">
        <v>4080607</v>
      </c>
    </row>
    <row r="42" spans="1:20" x14ac:dyDescent="0.2">
      <c r="A42" s="25"/>
      <c r="B42" s="23"/>
      <c r="C42" s="23"/>
      <c r="D42" s="23"/>
      <c r="E42" s="23"/>
      <c r="F42" s="23"/>
      <c r="G42" s="23"/>
      <c r="I42" s="38"/>
      <c r="J42" s="30"/>
    </row>
    <row r="43" spans="1:20" x14ac:dyDescent="0.2">
      <c r="A43" s="25" t="s">
        <v>166</v>
      </c>
      <c r="B43" s="117">
        <f t="shared" ref="B43:G43" si="0">IF(B$31=0,B$6,$B$12)</f>
        <v>9.7341637438144252E-2</v>
      </c>
      <c r="C43" s="117">
        <f t="shared" si="0"/>
        <v>0.26220102511975152</v>
      </c>
      <c r="D43" s="117">
        <f t="shared" si="0"/>
        <v>0.15</v>
      </c>
      <c r="E43" s="117">
        <f t="shared" si="0"/>
        <v>0</v>
      </c>
      <c r="F43" s="117">
        <f t="shared" si="0"/>
        <v>0</v>
      </c>
      <c r="G43" s="117">
        <f t="shared" si="0"/>
        <v>0.1895480533445201</v>
      </c>
      <c r="I43" s="38"/>
      <c r="J43" s="30"/>
    </row>
    <row r="44" spans="1:20" x14ac:dyDescent="0.2">
      <c r="A44" s="25" t="s">
        <v>167</v>
      </c>
      <c r="B44" s="42">
        <f t="shared" ref="B44:G44" si="1">IF($B$30=0,$B$29,$B$12)</f>
        <v>0.04</v>
      </c>
      <c r="C44" s="42">
        <f t="shared" si="1"/>
        <v>0.04</v>
      </c>
      <c r="D44" s="42">
        <f t="shared" si="1"/>
        <v>0.04</v>
      </c>
      <c r="E44" s="42">
        <f t="shared" si="1"/>
        <v>0.04</v>
      </c>
      <c r="F44" s="42">
        <f t="shared" si="1"/>
        <v>0.04</v>
      </c>
      <c r="G44" s="42">
        <f t="shared" si="1"/>
        <v>0.04</v>
      </c>
      <c r="L44" s="25" t="s">
        <v>272</v>
      </c>
      <c r="N44" t="s">
        <v>105</v>
      </c>
      <c r="O44" t="s">
        <v>119</v>
      </c>
      <c r="P44" s="130" t="s">
        <v>273</v>
      </c>
      <c r="Q44" s="130"/>
      <c r="R44" s="130"/>
      <c r="S44" s="130"/>
      <c r="T44" s="130"/>
    </row>
    <row r="45" spans="1:20" x14ac:dyDescent="0.2">
      <c r="N45" t="s">
        <v>126</v>
      </c>
      <c r="O45" t="s">
        <v>120</v>
      </c>
      <c r="P45" t="s">
        <v>274</v>
      </c>
    </row>
    <row r="46" spans="1:20" x14ac:dyDescent="0.2">
      <c r="A46" s="25"/>
    </row>
    <row r="47" spans="1:20" x14ac:dyDescent="0.2">
      <c r="B47" s="30"/>
      <c r="C47" s="30"/>
      <c r="D47" s="30"/>
      <c r="E47" s="30"/>
      <c r="F47" s="30"/>
      <c r="G47" s="30"/>
      <c r="H47" s="39"/>
      <c r="I47" s="35"/>
      <c r="J47" s="35"/>
      <c r="K47" s="35"/>
      <c r="L47" t="s">
        <v>121</v>
      </c>
      <c r="N47" s="33">
        <f ca="1">MIN(N4,N5/B51)</f>
        <v>50000000</v>
      </c>
      <c r="O47" s="33">
        <f ca="1">N4-N47</f>
        <v>0</v>
      </c>
    </row>
    <row r="48" spans="1:20" x14ac:dyDescent="0.2">
      <c r="G48" s="34"/>
      <c r="J48" s="25" t="s">
        <v>161</v>
      </c>
    </row>
    <row r="49" spans="1:17" x14ac:dyDescent="0.2">
      <c r="B49" s="25" t="s">
        <v>128</v>
      </c>
      <c r="C49" s="25" t="s">
        <v>77</v>
      </c>
      <c r="D49" s="25" t="s">
        <v>78</v>
      </c>
      <c r="E49" s="25" t="s">
        <v>222</v>
      </c>
      <c r="F49" s="25" t="s">
        <v>79</v>
      </c>
      <c r="G49" s="25" t="s">
        <v>178</v>
      </c>
      <c r="I49" s="25" t="s">
        <v>142</v>
      </c>
      <c r="J49" s="25" t="s">
        <v>162</v>
      </c>
      <c r="L49" t="s">
        <v>122</v>
      </c>
      <c r="N49" s="33">
        <f ca="1">IF(B51&gt;50,MIN(O47,N11),0)</f>
        <v>0</v>
      </c>
      <c r="O49" s="33">
        <f ca="1">IF(B51&gt;50,MAX(O47-N49,0),0)</f>
        <v>0</v>
      </c>
      <c r="P49" s="52">
        <f ca="1">N11-N49</f>
        <v>3876755</v>
      </c>
      <c r="Q49" t="s">
        <v>275</v>
      </c>
    </row>
    <row r="50" spans="1:17" x14ac:dyDescent="0.2">
      <c r="A50" s="25" t="s">
        <v>160</v>
      </c>
      <c r="B50" s="30">
        <f t="shared" ref="B50:G50" si="2">B8</f>
        <v>35.5</v>
      </c>
      <c r="C50" s="5">
        <f t="shared" si="2"/>
        <v>16423581.699999999</v>
      </c>
      <c r="D50" s="5">
        <f t="shared" si="2"/>
        <v>108488217.78</v>
      </c>
      <c r="E50" s="30">
        <f t="shared" si="2"/>
        <v>0</v>
      </c>
      <c r="F50" s="5">
        <f t="shared" si="2"/>
        <v>0</v>
      </c>
      <c r="G50" s="30">
        <f t="shared" si="2"/>
        <v>3.4</v>
      </c>
      <c r="L50" t="s">
        <v>123</v>
      </c>
      <c r="N50" s="33">
        <f ca="1">MIN(O49,N12)</f>
        <v>0</v>
      </c>
      <c r="O50" s="33">
        <f ca="1">MAX(O49-N50,0)</f>
        <v>0</v>
      </c>
      <c r="P50" s="52">
        <f ca="1">N12-N50</f>
        <v>7809790</v>
      </c>
      <c r="Q50" t="s">
        <v>275</v>
      </c>
    </row>
    <row r="51" spans="1:17" x14ac:dyDescent="0.2">
      <c r="A51" s="25" t="s">
        <v>127</v>
      </c>
      <c r="B51" s="30">
        <f ca="1">B50*EXP((B$43-B$7-0.5*B$9^2)*$J51+B$9*B37*SQRT($J51))</f>
        <v>13.578517946276747</v>
      </c>
      <c r="C51" s="5">
        <f t="shared" ref="B51:G54" ca="1" si="3">C50*EXP((C$43-C$7-0.5*C$9^2)*$J51+C$9*C37*SQRT($J51))</f>
        <v>5437564.9466044996</v>
      </c>
      <c r="D51" s="5">
        <f t="shared" ca="1" si="3"/>
        <v>15846727.682229687</v>
      </c>
      <c r="E51" s="30">
        <f t="shared" ca="1" si="3"/>
        <v>0</v>
      </c>
      <c r="F51" s="5">
        <f t="shared" ca="1" si="3"/>
        <v>0</v>
      </c>
      <c r="G51" s="30">
        <f t="shared" ca="1" si="3"/>
        <v>0.5981439774714935</v>
      </c>
      <c r="H51" s="35"/>
      <c r="I51" s="29">
        <f>M6</f>
        <v>37636</v>
      </c>
      <c r="J51" s="30">
        <f ca="1">(I51-TODAY())/$M$17</f>
        <v>1.3205479452054794</v>
      </c>
      <c r="L51" t="s">
        <v>124</v>
      </c>
      <c r="N51" s="33">
        <f ca="1">MIN(O50,N13)</f>
        <v>0</v>
      </c>
      <c r="O51" s="33">
        <f ca="1">MAX(O50-N51,0)</f>
        <v>0</v>
      </c>
    </row>
    <row r="52" spans="1:17" x14ac:dyDescent="0.2">
      <c r="A52" s="25" t="s">
        <v>129</v>
      </c>
      <c r="B52" s="30">
        <f t="shared" ca="1" si="3"/>
        <v>13.293284717571858</v>
      </c>
      <c r="C52" s="5">
        <f t="shared" ca="1" si="3"/>
        <v>5947196.6323742419</v>
      </c>
      <c r="D52" s="5">
        <f t="shared" ca="1" si="3"/>
        <v>19873552.646208152</v>
      </c>
      <c r="E52" s="30">
        <f t="shared" ca="1" si="3"/>
        <v>0</v>
      </c>
      <c r="F52" s="5">
        <f t="shared" ca="1" si="3"/>
        <v>0</v>
      </c>
      <c r="G52" s="30">
        <f t="shared" ca="1" si="3"/>
        <v>0.69323928358735487</v>
      </c>
      <c r="I52" s="29">
        <f>M11</f>
        <v>37729</v>
      </c>
      <c r="J52" s="30">
        <f>(I52-I51)/$M$17</f>
        <v>0.25479452054794521</v>
      </c>
      <c r="L52" t="s">
        <v>125</v>
      </c>
      <c r="N52" s="33">
        <f ca="1">MIN(O51,N14)</f>
        <v>0</v>
      </c>
      <c r="O52" s="33">
        <f ca="1">MAX(O51-N52,0)</f>
        <v>0</v>
      </c>
      <c r="P52" s="52">
        <f ca="1">N14-N52</f>
        <v>6326045</v>
      </c>
      <c r="Q52" t="s">
        <v>276</v>
      </c>
    </row>
    <row r="53" spans="1:17" x14ac:dyDescent="0.2">
      <c r="A53" s="25" t="s">
        <v>131</v>
      </c>
      <c r="B53" s="30">
        <f t="shared" ca="1" si="3"/>
        <v>13.203983107915302</v>
      </c>
      <c r="C53" s="5">
        <f t="shared" ca="1" si="3"/>
        <v>5172896.9689051257</v>
      </c>
      <c r="D53" s="5">
        <f t="shared" ca="1" si="3"/>
        <v>26951144.701012604</v>
      </c>
      <c r="E53" s="30">
        <f t="shared" ca="1" si="3"/>
        <v>0</v>
      </c>
      <c r="F53" s="5">
        <f t="shared" ca="1" si="3"/>
        <v>0</v>
      </c>
      <c r="G53" s="30">
        <f t="shared" ca="1" si="3"/>
        <v>0.9543547436113935</v>
      </c>
      <c r="I53" s="29">
        <f>M12</f>
        <v>37801</v>
      </c>
      <c r="J53" s="30">
        <f>(I53-I52)/$M$17</f>
        <v>0.19726027397260273</v>
      </c>
      <c r="P53" s="52"/>
    </row>
    <row r="54" spans="1:17" x14ac:dyDescent="0.2">
      <c r="A54" s="25" t="s">
        <v>140</v>
      </c>
      <c r="B54" s="30">
        <f t="shared" ca="1" si="3"/>
        <v>11.806664276932466</v>
      </c>
      <c r="C54" s="5">
        <f t="shared" ca="1" si="3"/>
        <v>3463457.7078153035</v>
      </c>
      <c r="D54" s="5">
        <f t="shared" ca="1" si="3"/>
        <v>33998862.384926803</v>
      </c>
      <c r="E54" s="30">
        <f t="shared" ca="1" si="3"/>
        <v>0</v>
      </c>
      <c r="F54" s="5">
        <f t="shared" ca="1" si="3"/>
        <v>0</v>
      </c>
      <c r="G54" s="30">
        <f t="shared" ca="1" si="3"/>
        <v>0.5087538195319824</v>
      </c>
      <c r="H54" s="30"/>
      <c r="I54" s="29">
        <f>M14</f>
        <v>37875</v>
      </c>
      <c r="J54" s="30">
        <f>(I54-I53)/$M$17</f>
        <v>0.20273972602739726</v>
      </c>
    </row>
    <row r="55" spans="1:17" x14ac:dyDescent="0.2">
      <c r="A55" s="25" t="s">
        <v>134</v>
      </c>
      <c r="B55" s="30">
        <f t="shared" ref="B55:G55" ca="1" si="4">B54*EXP((B$43-B$7-0.5*B$9^2)*$J55+B$9*B41*SQRT($J55))</f>
        <v>12.281893240432018</v>
      </c>
      <c r="C55" s="5">
        <f t="shared" ca="1" si="4"/>
        <v>4391771.8949161628</v>
      </c>
      <c r="D55" s="5">
        <f t="shared" ca="1" si="4"/>
        <v>36678002.757063568</v>
      </c>
      <c r="E55" s="30">
        <f t="shared" ca="1" si="4"/>
        <v>0</v>
      </c>
      <c r="F55" s="5">
        <f t="shared" ca="1" si="4"/>
        <v>0</v>
      </c>
      <c r="G55" s="30">
        <f t="shared" ca="1" si="4"/>
        <v>0.65071648917750968</v>
      </c>
      <c r="I55" s="29">
        <f>M13</f>
        <v>37891</v>
      </c>
      <c r="J55" s="30">
        <f>(I55-I54)/$M$17</f>
        <v>4.3835616438356165E-2</v>
      </c>
      <c r="L55" t="s">
        <v>154</v>
      </c>
      <c r="M55" s="47">
        <v>7.0000000000000007E-2</v>
      </c>
    </row>
    <row r="56" spans="1:17" x14ac:dyDescent="0.2">
      <c r="L56" t="s">
        <v>155</v>
      </c>
    </row>
    <row r="58" spans="1:17" x14ac:dyDescent="0.2">
      <c r="A58" s="25" t="s">
        <v>130</v>
      </c>
    </row>
    <row r="59" spans="1:17" x14ac:dyDescent="0.2">
      <c r="A59" t="s">
        <v>372</v>
      </c>
      <c r="B59" s="33">
        <f ca="1">B52*(M27+N49)</f>
        <v>49705917.883826755</v>
      </c>
      <c r="L59" s="25"/>
    </row>
    <row r="60" spans="1:17" x14ac:dyDescent="0.2">
      <c r="A60" t="s">
        <v>144</v>
      </c>
      <c r="B60" s="33">
        <f ca="1">(MAX(M38-B52,0)-MAX(B52-M37,0))*(M27+N11)</f>
        <v>515649604.12090302</v>
      </c>
      <c r="C60" s="30"/>
    </row>
    <row r="61" spans="1:17" x14ac:dyDescent="0.2">
      <c r="A61" t="s">
        <v>150</v>
      </c>
      <c r="B61" s="33">
        <f ca="1">C52-C10</f>
        <v>-10476385.067625757</v>
      </c>
      <c r="M61" s="46"/>
    </row>
    <row r="62" spans="1:17" x14ac:dyDescent="0.2">
      <c r="A62" t="s">
        <v>151</v>
      </c>
      <c r="B62" s="33">
        <f ca="1">D52-D10</f>
        <v>-88614665.133791849</v>
      </c>
      <c r="M62" s="46"/>
    </row>
    <row r="63" spans="1:17" x14ac:dyDescent="0.2">
      <c r="A63" t="s">
        <v>152</v>
      </c>
      <c r="B63" s="5">
        <v>-441111115.33642101</v>
      </c>
    </row>
    <row r="64" spans="1:17" x14ac:dyDescent="0.2">
      <c r="A64" t="s">
        <v>380</v>
      </c>
      <c r="B64" s="118">
        <f ca="1">SUM(B59:B63)</f>
        <v>25153356.46689111</v>
      </c>
      <c r="L64" s="25"/>
      <c r="M64" s="25"/>
      <c r="N64" s="25"/>
    </row>
    <row r="65" spans="1:17" x14ac:dyDescent="0.2">
      <c r="A65" t="s">
        <v>156</v>
      </c>
      <c r="B65" s="68">
        <f ca="1">MIN(MAX(B64,0),P11)</f>
        <v>25153356.46689111</v>
      </c>
      <c r="C65" s="33">
        <f ca="1">B65*EXP(-$B$44*SUM(J51:J52))</f>
        <v>23617256.369687974</v>
      </c>
      <c r="D65" s="25" t="s">
        <v>168</v>
      </c>
      <c r="L65" s="25"/>
      <c r="M65" s="2"/>
      <c r="N65" s="41"/>
    </row>
    <row r="66" spans="1:17" x14ac:dyDescent="0.2">
      <c r="E66" s="68"/>
      <c r="L66" s="25"/>
      <c r="M66" s="2"/>
      <c r="N66" s="41"/>
    </row>
    <row r="67" spans="1:17" x14ac:dyDescent="0.2">
      <c r="A67" s="25" t="s">
        <v>132</v>
      </c>
      <c r="L67" s="25"/>
      <c r="M67" s="2"/>
      <c r="N67" s="41"/>
    </row>
    <row r="68" spans="1:17" x14ac:dyDescent="0.2">
      <c r="A68" t="s">
        <v>271</v>
      </c>
      <c r="B68" s="33">
        <f ca="1">B53*(N50+M28*(1-0.23))</f>
        <v>80516999.175645873</v>
      </c>
      <c r="L68" s="25"/>
      <c r="M68" s="2"/>
      <c r="N68" s="41"/>
    </row>
    <row r="69" spans="1:17" x14ac:dyDescent="0.2">
      <c r="A69" t="s">
        <v>144</v>
      </c>
      <c r="B69" s="33">
        <f ca="1">(MAX(M40-B53,0)-MAX(B53-M39,0))*N12+(MAX(Q40-B53,0)-MAX(B53-Q39,0))*Q41</f>
        <v>895193601.25669146</v>
      </c>
      <c r="C69" s="30"/>
      <c r="L69" s="25"/>
      <c r="M69" s="2"/>
      <c r="N69" s="41"/>
    </row>
    <row r="70" spans="1:17" x14ac:dyDescent="0.2">
      <c r="A70" t="s">
        <v>277</v>
      </c>
      <c r="B70" s="33">
        <f ca="1">B53*P52*(1-0.23)</f>
        <v>64317323.316332288</v>
      </c>
      <c r="C70" s="30"/>
    </row>
    <row r="71" spans="1:17" x14ac:dyDescent="0.2">
      <c r="B71" s="33"/>
      <c r="L71" s="25" t="s">
        <v>188</v>
      </c>
      <c r="N71" t="s">
        <v>378</v>
      </c>
    </row>
    <row r="72" spans="1:17" x14ac:dyDescent="0.2">
      <c r="A72" t="s">
        <v>233</v>
      </c>
      <c r="B72" s="33">
        <v>-41817537.472000003</v>
      </c>
      <c r="E72" s="33">
        <f>MAX('Raptor 2'!H20-H53,0)*'Raptor 2'!F20-MAX(H53-'Raptor 2'!H19,0)*'Raptor 2'!F19+(H53-'Raptor 2'!H21)*'Raptor 2'!F21</f>
        <v>0</v>
      </c>
      <c r="F72" t="s">
        <v>288</v>
      </c>
      <c r="L72" s="25" t="s">
        <v>189</v>
      </c>
      <c r="M72" s="32">
        <f>M13</f>
        <v>37891</v>
      </c>
      <c r="N72" t="s">
        <v>379</v>
      </c>
      <c r="P72" s="25" t="s">
        <v>214</v>
      </c>
      <c r="Q72" s="25" t="s">
        <v>215</v>
      </c>
    </row>
    <row r="73" spans="1:17" x14ac:dyDescent="0.2">
      <c r="A73" t="s">
        <v>152</v>
      </c>
      <c r="B73" s="33">
        <v>-872362974.03478503</v>
      </c>
      <c r="M73" s="59" t="s">
        <v>198</v>
      </c>
      <c r="N73" s="25" t="s">
        <v>199</v>
      </c>
      <c r="O73" s="25" t="s">
        <v>200</v>
      </c>
      <c r="P73" s="60">
        <v>21</v>
      </c>
      <c r="Q73" s="25" t="s">
        <v>216</v>
      </c>
    </row>
    <row r="74" spans="1:17" x14ac:dyDescent="0.2">
      <c r="A74" t="s">
        <v>381</v>
      </c>
      <c r="B74" s="118">
        <f ca="1">SUM(B68:B73)</f>
        <v>125847412.24188459</v>
      </c>
      <c r="L74" s="25" t="s">
        <v>195</v>
      </c>
      <c r="M74" s="58">
        <f>'Raptor 3'!C12*200</f>
        <v>6766400</v>
      </c>
      <c r="N74" s="5">
        <f>'Raptor 3'!G12</f>
        <v>18131081</v>
      </c>
      <c r="O74" s="5">
        <f>'Raptor 3'!K12</f>
        <v>1998483</v>
      </c>
      <c r="P74" s="61">
        <f>N74-MAX(0,N74-M74*$P$73)+MAX(0,$P$73*M74-O74-N74)</f>
        <v>140095917</v>
      </c>
      <c r="Q74" s="33">
        <f ca="1">N74-MAX(0,N74-M74*$G$55)+MAX(0,$G$55*M74-O74-N74)-P74</f>
        <v>-135692908.9476293</v>
      </c>
    </row>
    <row r="75" spans="1:17" x14ac:dyDescent="0.2">
      <c r="A75" t="s">
        <v>157</v>
      </c>
      <c r="B75" s="68">
        <f ca="1">MIN(MAX(B74,0),P12)</f>
        <v>31100000</v>
      </c>
      <c r="C75" s="33">
        <f ca="1">B75*EXP(-$B$44*SUM(J51:J53))</f>
        <v>28971242.776353318</v>
      </c>
      <c r="D75" s="25" t="s">
        <v>168</v>
      </c>
      <c r="E75" s="68"/>
      <c r="L75" s="25" t="s">
        <v>196</v>
      </c>
      <c r="M75" s="58">
        <f>'Raptor 3'!C13*200</f>
        <v>8458200</v>
      </c>
      <c r="N75" s="5">
        <f>'Raptor 3'!G13</f>
        <v>87527783</v>
      </c>
      <c r="O75" s="5">
        <f>'Raptor 3'!K13</f>
        <v>4001925</v>
      </c>
      <c r="P75" s="61">
        <f>N75-MAX(0,N75-M75*$P$73)+MAX(0,$P$73*M75-O75-N75)</f>
        <v>173620275</v>
      </c>
      <c r="Q75" s="33">
        <f ca="1">N75-MAX(0,N75-M75*$G$55)+MAX(0,$G$55*M75-O75-N75)-P75</f>
        <v>-168116384.79123878</v>
      </c>
    </row>
    <row r="76" spans="1:17" x14ac:dyDescent="0.2">
      <c r="L76" s="25" t="s">
        <v>197</v>
      </c>
      <c r="M76" s="58">
        <f>'Raptor 3'!C14*200</f>
        <v>2791800</v>
      </c>
      <c r="N76" s="5">
        <f>'Raptor 3'!G14</f>
        <v>29304116</v>
      </c>
      <c r="O76" s="5">
        <f>'Raptor 3'!K14</f>
        <v>911609</v>
      </c>
      <c r="P76" s="61">
        <f>N76-MAX(0,N76-M76*$P$73)+MAX(0,$P$73*M76-O76-N76)</f>
        <v>57716191</v>
      </c>
      <c r="Q76" s="33">
        <f ca="1">N76-MAX(0,N76-M76*$G$55)+MAX(0,$G$55*M76-O76-N76)-P76</f>
        <v>-55899520.70551423</v>
      </c>
    </row>
    <row r="77" spans="1:17" x14ac:dyDescent="0.2">
      <c r="A77" s="25" t="s">
        <v>139</v>
      </c>
      <c r="M77" s="58"/>
      <c r="N77" s="44"/>
      <c r="O77" s="44"/>
      <c r="Q77" s="33">
        <f ca="1">SUM(Q74:Q76)</f>
        <v>-359708814.44438237</v>
      </c>
    </row>
    <row r="78" spans="1:17" x14ac:dyDescent="0.2">
      <c r="A78" t="s">
        <v>244</v>
      </c>
      <c r="B78" s="33">
        <f ca="1">G55*M31*0.9999</f>
        <v>15692280.757671075</v>
      </c>
      <c r="L78" t="s">
        <v>105</v>
      </c>
      <c r="M78" s="51">
        <f>SUM(M74:M76)</f>
        <v>18016400</v>
      </c>
    </row>
    <row r="79" spans="1:17" x14ac:dyDescent="0.2">
      <c r="A79" t="s">
        <v>152</v>
      </c>
      <c r="B79" s="33">
        <v>-289021903.567316</v>
      </c>
      <c r="L79" t="s">
        <v>190</v>
      </c>
      <c r="M79" s="51">
        <v>134767608.76449335</v>
      </c>
      <c r="N79" s="46">
        <v>0.1</v>
      </c>
      <c r="O79" s="56">
        <f ca="1">M79*EXP(N79*($M$72-$M$16)/$M$17)</f>
        <v>164921513.79436341</v>
      </c>
    </row>
    <row r="80" spans="1:17" x14ac:dyDescent="0.2">
      <c r="A80" t="s">
        <v>217</v>
      </c>
      <c r="B80" s="33">
        <f ca="1">Q77</f>
        <v>-359708814.44438237</v>
      </c>
      <c r="L80" t="s">
        <v>191</v>
      </c>
      <c r="M80" s="51">
        <v>6901586.5141666699</v>
      </c>
      <c r="N80" s="46">
        <v>0.15</v>
      </c>
      <c r="O80" s="56">
        <f ca="1">M80*EXP(N80*($M$72-$M$16)/$M$17)</f>
        <v>9343005.8606861457</v>
      </c>
    </row>
    <row r="81" spans="1:15" x14ac:dyDescent="0.2">
      <c r="A81" t="s">
        <v>382</v>
      </c>
      <c r="B81" s="118">
        <f ca="1">SUM(B78:B80)</f>
        <v>-633038437.25402737</v>
      </c>
    </row>
    <row r="82" spans="1:15" x14ac:dyDescent="0.2">
      <c r="A82" t="s">
        <v>158</v>
      </c>
      <c r="B82" s="68">
        <f ca="1">MIN(MAX(B81,0),P13)</f>
        <v>0</v>
      </c>
      <c r="C82" s="33">
        <f ca="1">B82*EXP(-$B$44*SUM(J51:J55))</f>
        <v>0</v>
      </c>
      <c r="D82" s="25" t="s">
        <v>168</v>
      </c>
      <c r="L82" t="s">
        <v>192</v>
      </c>
      <c r="M82" s="57">
        <f ca="1">$O$79-MAX(0,$O$79-$M$78*$O$82)+MAX(0,$O$82*$M$78-$O$80-$O$79)</f>
        <v>369001394.13931388</v>
      </c>
      <c r="N82" t="s">
        <v>193</v>
      </c>
      <c r="O82" s="2">
        <v>21</v>
      </c>
    </row>
    <row r="84" spans="1:15" x14ac:dyDescent="0.2">
      <c r="A84" s="25" t="s">
        <v>141</v>
      </c>
      <c r="M84" s="36">
        <f ca="1">O82*M78-O80</f>
        <v>369001394.13931388</v>
      </c>
    </row>
    <row r="85" spans="1:15" x14ac:dyDescent="0.2">
      <c r="A85" t="s">
        <v>271</v>
      </c>
      <c r="B85" s="33">
        <f ca="1">B54*(N52+M29*(1-0.23))</f>
        <v>37097334.809227429</v>
      </c>
      <c r="M85" s="36"/>
    </row>
    <row r="86" spans="1:15" x14ac:dyDescent="0.2">
      <c r="A86" t="s">
        <v>144</v>
      </c>
      <c r="B86" s="33">
        <f ca="1">(MAX(O40-B54,0)-MAX(B54-O39,0))*N14+(MAX(S40-B54,0)-MAX(B54-S39,0))*S41</f>
        <v>653069606.9491322</v>
      </c>
      <c r="L86" s="25"/>
      <c r="M86" s="36"/>
    </row>
    <row r="87" spans="1:15" x14ac:dyDescent="0.2">
      <c r="A87" t="s">
        <v>278</v>
      </c>
      <c r="B87" s="33">
        <f ca="1">B54*SUM(P49:P50)*(1-0.23)</f>
        <v>106243917.29664308</v>
      </c>
    </row>
    <row r="88" spans="1:15" x14ac:dyDescent="0.2">
      <c r="A88" t="s">
        <v>152</v>
      </c>
      <c r="B88" s="33">
        <v>-795054101.54996002</v>
      </c>
      <c r="L88" s="1"/>
      <c r="M88" s="5"/>
      <c r="O88" s="70"/>
    </row>
    <row r="89" spans="1:15" x14ac:dyDescent="0.2">
      <c r="A89" t="s">
        <v>383</v>
      </c>
      <c r="B89" s="118">
        <f ca="1">SUM(B85:B88)</f>
        <v>1356757.5050426722</v>
      </c>
      <c r="G89" s="33"/>
      <c r="L89" s="1"/>
      <c r="M89" s="5"/>
      <c r="O89" s="69"/>
    </row>
    <row r="90" spans="1:15" x14ac:dyDescent="0.2">
      <c r="A90" t="s">
        <v>159</v>
      </c>
      <c r="B90" s="68">
        <f ca="1">MIN(MAX(B89,0),P14)</f>
        <v>1356757.5050426722</v>
      </c>
      <c r="C90" s="33">
        <f ca="1">B90*EXP(-$B$44*SUM(J51:J54))</f>
        <v>1253680.9286209557</v>
      </c>
      <c r="D90" s="25" t="s">
        <v>168</v>
      </c>
      <c r="L90" s="1"/>
      <c r="M90" s="5"/>
      <c r="O90" s="69"/>
    </row>
    <row r="91" spans="1:15" x14ac:dyDescent="0.2">
      <c r="A91" t="s">
        <v>194</v>
      </c>
      <c r="B91" s="36">
        <f ca="1">SUM(B65,B75,B82,B90)</f>
        <v>57610113.971933782</v>
      </c>
      <c r="C91" s="33">
        <f ca="1">SUM(C65,C75,C82,C90)</f>
        <v>53842180.074662246</v>
      </c>
    </row>
    <row r="92" spans="1:15" x14ac:dyDescent="0.2">
      <c r="A92" s="25"/>
    </row>
    <row r="93" spans="1:15" x14ac:dyDescent="0.2">
      <c r="A93" s="83" t="s">
        <v>8</v>
      </c>
      <c r="B93" s="118">
        <f ca="1">B89+B81+B74+B64</f>
        <v>-480680911.040209</v>
      </c>
    </row>
    <row r="94" spans="1:15" x14ac:dyDescent="0.2">
      <c r="B94" s="33"/>
      <c r="C94" s="35"/>
    </row>
    <row r="95" spans="1:15" x14ac:dyDescent="0.2">
      <c r="B95" s="68"/>
      <c r="C95" s="33"/>
      <c r="D95" s="25"/>
    </row>
    <row r="96" spans="1:15" x14ac:dyDescent="0.2">
      <c r="B96" s="25"/>
    </row>
    <row r="97" spans="1:5" x14ac:dyDescent="0.2">
      <c r="B97" s="25"/>
    </row>
    <row r="98" spans="1:5" x14ac:dyDescent="0.2">
      <c r="B98" s="33"/>
    </row>
    <row r="99" spans="1:5" x14ac:dyDescent="0.2">
      <c r="B99" s="33"/>
    </row>
    <row r="100" spans="1:5" x14ac:dyDescent="0.2">
      <c r="B100" s="68"/>
    </row>
    <row r="102" spans="1:5" x14ac:dyDescent="0.2">
      <c r="A102" s="25"/>
      <c r="B102" s="36"/>
    </row>
    <row r="104" spans="1:5" x14ac:dyDescent="0.2">
      <c r="A104" s="83"/>
      <c r="E104" s="36"/>
    </row>
    <row r="105" spans="1:5" x14ac:dyDescent="0.2">
      <c r="B105" s="33"/>
      <c r="C105" s="33"/>
    </row>
    <row r="106" spans="1:5" x14ac:dyDescent="0.2">
      <c r="B106" s="68"/>
    </row>
    <row r="109" spans="1:5" x14ac:dyDescent="0.2">
      <c r="B109" s="33"/>
    </row>
    <row r="110" spans="1:5" x14ac:dyDescent="0.2">
      <c r="B110" s="33"/>
    </row>
    <row r="111" spans="1:5" x14ac:dyDescent="0.2">
      <c r="B111" s="68"/>
    </row>
    <row r="113" spans="1:2" x14ac:dyDescent="0.2">
      <c r="A113" s="25"/>
    </row>
    <row r="114" spans="1:2" x14ac:dyDescent="0.2">
      <c r="B114" s="5"/>
    </row>
    <row r="115" spans="1:2" x14ac:dyDescent="0.2">
      <c r="B115" s="33"/>
    </row>
    <row r="116" spans="1:2" x14ac:dyDescent="0.2">
      <c r="B116" s="36"/>
    </row>
    <row r="117" spans="1:2" x14ac:dyDescent="0.2">
      <c r="A117" s="25"/>
    </row>
    <row r="118" spans="1:2" x14ac:dyDescent="0.2">
      <c r="B118" s="44"/>
    </row>
    <row r="119" spans="1:2" x14ac:dyDescent="0.2">
      <c r="B119" s="36"/>
    </row>
    <row r="121" spans="1:2" x14ac:dyDescent="0.2">
      <c r="B121" s="33"/>
    </row>
    <row r="122" spans="1:2" x14ac:dyDescent="0.2">
      <c r="B122" s="33"/>
    </row>
    <row r="123" spans="1:2" x14ac:dyDescent="0.2">
      <c r="B123" s="36"/>
    </row>
    <row r="130" spans="3:7" x14ac:dyDescent="0.2">
      <c r="F130" s="41"/>
      <c r="G130" s="41"/>
    </row>
    <row r="131" spans="3:7" x14ac:dyDescent="0.2">
      <c r="C131" s="80"/>
      <c r="D131" s="80"/>
      <c r="F131" s="41"/>
      <c r="G131" s="41"/>
    </row>
    <row r="132" spans="3:7" x14ac:dyDescent="0.2">
      <c r="C132" s="80"/>
      <c r="D132" s="80"/>
      <c r="F132" s="41"/>
      <c r="G132" s="41"/>
    </row>
    <row r="133" spans="3:7" x14ac:dyDescent="0.2">
      <c r="C133" s="80"/>
      <c r="D133" s="80"/>
      <c r="F133" s="41"/>
      <c r="G133" s="41"/>
    </row>
    <row r="134" spans="3:7" x14ac:dyDescent="0.2">
      <c r="C134" s="80"/>
      <c r="D134" s="80"/>
      <c r="F134" s="41"/>
      <c r="G134" s="41"/>
    </row>
    <row r="135" spans="3:7" x14ac:dyDescent="0.2">
      <c r="C135" s="80"/>
      <c r="D135" s="80"/>
      <c r="F135" s="41"/>
      <c r="G135" s="41"/>
    </row>
    <row r="136" spans="3:7" x14ac:dyDescent="0.2">
      <c r="C136" s="80"/>
      <c r="D136" s="80"/>
    </row>
    <row r="137" spans="3:7" x14ac:dyDescent="0.2">
      <c r="C137" s="80"/>
      <c r="D137" s="80"/>
    </row>
  </sheetData>
  <mergeCells count="1">
    <mergeCell ref="P44:T44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P92"/>
  <sheetViews>
    <sheetView topLeftCell="A58" workbookViewId="0">
      <selection activeCell="I65" sqref="I65"/>
    </sheetView>
  </sheetViews>
  <sheetFormatPr defaultRowHeight="10.199999999999999" x14ac:dyDescent="0.2"/>
  <cols>
    <col min="1" max="1" width="25" bestFit="1" customWidth="1"/>
    <col min="2" max="2" width="12.42578125" customWidth="1"/>
    <col min="3" max="3" width="12.85546875" customWidth="1"/>
    <col min="4" max="4" width="7.85546875" customWidth="1"/>
    <col min="5" max="5" width="14.140625" customWidth="1"/>
    <col min="6" max="6" width="12.85546875" customWidth="1"/>
    <col min="7" max="7" width="12.28515625" customWidth="1"/>
    <col min="8" max="8" width="15.28515625" customWidth="1"/>
    <col min="9" max="9" width="12.85546875" customWidth="1"/>
    <col min="10" max="10" width="4.42578125" customWidth="1"/>
    <col min="11" max="11" width="8.140625" customWidth="1"/>
    <col min="12" max="12" width="7.85546875" customWidth="1"/>
    <col min="14" max="14" width="15.7109375" customWidth="1"/>
    <col min="15" max="15" width="11.42578125" bestFit="1" customWidth="1"/>
  </cols>
  <sheetData>
    <row r="2" spans="1:12" ht="53.4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</row>
    <row r="3" spans="1:12" x14ac:dyDescent="0.2">
      <c r="A3" t="s">
        <v>262</v>
      </c>
      <c r="B3" s="1" t="s">
        <v>16</v>
      </c>
      <c r="C3" s="5">
        <v>3739175</v>
      </c>
      <c r="D3" s="5" t="s">
        <v>6</v>
      </c>
      <c r="E3" s="6"/>
      <c r="J3" s="81"/>
      <c r="K3" s="81"/>
      <c r="L3" s="81"/>
    </row>
    <row r="4" spans="1:12" x14ac:dyDescent="0.2">
      <c r="A4" t="s">
        <v>263</v>
      </c>
      <c r="B4" s="1" t="s">
        <v>15</v>
      </c>
      <c r="C4" s="5">
        <v>3876755</v>
      </c>
      <c r="D4" s="5" t="s">
        <v>7</v>
      </c>
      <c r="E4" s="6"/>
    </row>
    <row r="5" spans="1:12" x14ac:dyDescent="0.2">
      <c r="A5" t="s">
        <v>18</v>
      </c>
      <c r="B5" s="1"/>
      <c r="C5" s="5"/>
      <c r="D5" s="5"/>
      <c r="E5" s="6"/>
      <c r="F5" s="7"/>
      <c r="G5" s="7"/>
    </row>
    <row r="6" spans="1:12" x14ac:dyDescent="0.2">
      <c r="B6" s="1"/>
      <c r="C6" s="5"/>
      <c r="D6" s="5"/>
      <c r="E6" s="6"/>
      <c r="F6" s="7"/>
      <c r="G6" s="7"/>
    </row>
    <row r="7" spans="1:12" x14ac:dyDescent="0.2">
      <c r="B7" s="1"/>
      <c r="C7" s="5"/>
      <c r="D7" s="5"/>
      <c r="E7" s="6"/>
      <c r="F7" s="26"/>
      <c r="G7" s="26"/>
    </row>
    <row r="8" spans="1:12" ht="13.2" x14ac:dyDescent="0.25">
      <c r="A8" s="8" t="s">
        <v>8</v>
      </c>
      <c r="B8" s="9"/>
      <c r="C8" s="5">
        <f>SUM(C3:C4)</f>
        <v>7615930</v>
      </c>
      <c r="D8" s="5"/>
      <c r="E8" s="6"/>
      <c r="F8" s="7"/>
      <c r="G8" s="7"/>
    </row>
    <row r="9" spans="1:12" ht="13.2" x14ac:dyDescent="0.25">
      <c r="A9" s="8"/>
      <c r="B9" s="9"/>
      <c r="C9" s="5"/>
      <c r="D9" s="5"/>
      <c r="E9" s="6"/>
      <c r="F9" s="7"/>
      <c r="G9" s="7"/>
    </row>
    <row r="10" spans="1:12" ht="13.2" x14ac:dyDescent="0.25">
      <c r="A10" s="10" t="s">
        <v>20</v>
      </c>
      <c r="B10" s="9"/>
      <c r="C10" s="5"/>
      <c r="D10" s="5"/>
      <c r="E10" s="6"/>
      <c r="F10" s="7"/>
      <c r="G10" s="7"/>
    </row>
    <row r="11" spans="1:12" ht="13.2" x14ac:dyDescent="0.25">
      <c r="A11" s="8"/>
      <c r="B11" s="9"/>
      <c r="C11" s="67" t="s">
        <v>227</v>
      </c>
      <c r="D11" s="5"/>
      <c r="E11" s="6"/>
      <c r="F11" s="7"/>
      <c r="G11" s="7"/>
    </row>
    <row r="12" spans="1:12" ht="13.2" x14ac:dyDescent="0.25">
      <c r="A12" s="8"/>
      <c r="B12" s="9"/>
      <c r="C12" s="67" t="s">
        <v>228</v>
      </c>
      <c r="D12" s="5"/>
      <c r="E12" s="6"/>
      <c r="F12" s="7"/>
      <c r="G12" s="7"/>
    </row>
    <row r="13" spans="1:12" ht="13.2" x14ac:dyDescent="0.25">
      <c r="A13" s="11" t="s">
        <v>21</v>
      </c>
      <c r="B13" s="1"/>
      <c r="C13" s="25" t="s">
        <v>229</v>
      </c>
      <c r="E13" s="12" t="s">
        <v>24</v>
      </c>
      <c r="H13" s="25" t="s">
        <v>264</v>
      </c>
      <c r="I13" s="25" t="s">
        <v>179</v>
      </c>
    </row>
    <row r="14" spans="1:12" x14ac:dyDescent="0.2">
      <c r="B14" s="1"/>
      <c r="C14" s="5"/>
      <c r="D14" s="1"/>
      <c r="E14" s="6"/>
      <c r="F14" s="48"/>
      <c r="G14" s="5"/>
      <c r="H14" s="52"/>
      <c r="I14" s="52"/>
    </row>
    <row r="15" spans="1:12" x14ac:dyDescent="0.2">
      <c r="A15" t="s">
        <v>11</v>
      </c>
      <c r="B15" s="1" t="s">
        <v>9</v>
      </c>
      <c r="C15" s="44">
        <v>324000</v>
      </c>
      <c r="D15" s="1" t="s">
        <v>10</v>
      </c>
      <c r="E15" s="6">
        <v>53.000000195865972</v>
      </c>
      <c r="F15" s="100">
        <v>5.9</v>
      </c>
      <c r="G15" s="5"/>
      <c r="H15" s="52">
        <f>C15*E15</f>
        <v>17172000.063460574</v>
      </c>
      <c r="I15" s="52">
        <f>C15*F15</f>
        <v>1911600</v>
      </c>
    </row>
    <row r="16" spans="1:12" x14ac:dyDescent="0.2">
      <c r="A16" t="s">
        <v>12</v>
      </c>
      <c r="B16" s="1" t="s">
        <v>9</v>
      </c>
      <c r="C16" s="5">
        <f>1093426-1000</f>
        <v>1092426</v>
      </c>
      <c r="D16" s="1" t="s">
        <v>10</v>
      </c>
      <c r="E16" s="6">
        <v>162.5</v>
      </c>
      <c r="F16" s="100">
        <v>3.45</v>
      </c>
      <c r="G16" s="5"/>
      <c r="H16" s="52">
        <f>C16*E16</f>
        <v>177519225</v>
      </c>
      <c r="I16" s="52">
        <f>C16*F16</f>
        <v>3768869.7</v>
      </c>
    </row>
    <row r="17" spans="1:16" x14ac:dyDescent="0.2">
      <c r="B17" s="1"/>
      <c r="C17" s="5"/>
      <c r="D17" s="1"/>
      <c r="E17" s="6"/>
      <c r="F17" s="30"/>
      <c r="G17" s="5"/>
      <c r="H17" s="52"/>
      <c r="I17" s="52"/>
    </row>
    <row r="18" spans="1:16" x14ac:dyDescent="0.2">
      <c r="A18" t="s">
        <v>13</v>
      </c>
      <c r="B18" s="1" t="s">
        <v>9</v>
      </c>
      <c r="C18" s="44">
        <v>1342889</v>
      </c>
      <c r="D18" s="1" t="s">
        <v>10</v>
      </c>
      <c r="E18" s="6">
        <v>0</v>
      </c>
      <c r="F18" s="100">
        <v>8</v>
      </c>
      <c r="G18" s="5"/>
      <c r="H18" s="52">
        <f>C18*E18</f>
        <v>0</v>
      </c>
      <c r="I18" s="52">
        <f>C18*F18</f>
        <v>10743112</v>
      </c>
    </row>
    <row r="19" spans="1:16" x14ac:dyDescent="0.2">
      <c r="B19" s="1"/>
      <c r="C19" s="5"/>
      <c r="D19" s="1"/>
      <c r="E19" s="6"/>
      <c r="F19" s="30"/>
      <c r="G19" s="5"/>
      <c r="H19" s="52"/>
      <c r="I19" s="52"/>
    </row>
    <row r="20" spans="1:16" x14ac:dyDescent="0.2">
      <c r="B20" s="1"/>
      <c r="C20" s="5"/>
      <c r="D20" s="1"/>
      <c r="E20" s="6"/>
      <c r="F20" s="30"/>
      <c r="G20" s="5"/>
      <c r="H20" s="52"/>
      <c r="I20" s="52"/>
    </row>
    <row r="21" spans="1:16" x14ac:dyDescent="0.2">
      <c r="B21" s="1"/>
      <c r="C21" s="5"/>
      <c r="D21" s="1"/>
      <c r="E21" s="6"/>
      <c r="F21" s="30"/>
      <c r="G21" s="5"/>
      <c r="H21" s="52"/>
      <c r="I21" s="52"/>
    </row>
    <row r="22" spans="1:16" x14ac:dyDescent="0.2">
      <c r="B22" s="1"/>
      <c r="C22" s="5"/>
      <c r="D22" s="1"/>
      <c r="E22" s="6"/>
      <c r="F22" s="30"/>
      <c r="G22" s="5"/>
      <c r="H22" s="52"/>
      <c r="I22" s="52"/>
    </row>
    <row r="23" spans="1:16" x14ac:dyDescent="0.2">
      <c r="B23" s="1"/>
      <c r="C23" s="5"/>
      <c r="D23" s="1"/>
      <c r="E23" s="6"/>
      <c r="F23" s="30"/>
      <c r="G23" s="5"/>
      <c r="H23" s="52"/>
      <c r="I23" s="52"/>
    </row>
    <row r="24" spans="1:16" x14ac:dyDescent="0.2">
      <c r="A24" s="25" t="s">
        <v>68</v>
      </c>
      <c r="E24" s="5"/>
      <c r="I24" s="64">
        <f>SUM(I14:I23)</f>
        <v>16423581.699999999</v>
      </c>
    </row>
    <row r="25" spans="1:16" x14ac:dyDescent="0.2">
      <c r="F25" s="25" t="s">
        <v>225</v>
      </c>
      <c r="G25" s="25" t="s">
        <v>261</v>
      </c>
      <c r="I25" s="25" t="s">
        <v>179</v>
      </c>
      <c r="N25" s="131" t="s">
        <v>250</v>
      </c>
      <c r="O25" s="131"/>
    </row>
    <row r="26" spans="1:16" ht="13.2" x14ac:dyDescent="0.25">
      <c r="A26" s="11" t="s">
        <v>22</v>
      </c>
      <c r="N26" t="s">
        <v>247</v>
      </c>
      <c r="O26" t="s">
        <v>248</v>
      </c>
    </row>
    <row r="27" spans="1:16" x14ac:dyDescent="0.2">
      <c r="A27" s="13" t="s">
        <v>25</v>
      </c>
      <c r="B27" s="1" t="s">
        <v>9</v>
      </c>
      <c r="C27" s="14"/>
      <c r="D27" s="1" t="s">
        <v>10</v>
      </c>
      <c r="E27" s="6"/>
      <c r="F27" s="14"/>
      <c r="G27" s="14" t="s">
        <v>169</v>
      </c>
      <c r="I27" s="65"/>
      <c r="K27" s="14"/>
      <c r="L27" s="65"/>
      <c r="P27" t="s">
        <v>259</v>
      </c>
    </row>
    <row r="28" spans="1:16" x14ac:dyDescent="0.2">
      <c r="A28" s="15" t="s">
        <v>26</v>
      </c>
      <c r="B28" s="1" t="s">
        <v>9</v>
      </c>
      <c r="C28" s="14"/>
      <c r="D28" s="1" t="s">
        <v>10</v>
      </c>
      <c r="E28" s="6"/>
      <c r="F28" s="49">
        <v>1209030.26</v>
      </c>
      <c r="G28" s="14" t="s">
        <v>169</v>
      </c>
      <c r="I28" s="65">
        <f>F28</f>
        <v>1209030.26</v>
      </c>
      <c r="K28" s="14"/>
      <c r="L28" s="65"/>
      <c r="N28" s="5">
        <v>2900000</v>
      </c>
      <c r="P28" t="s">
        <v>252</v>
      </c>
    </row>
    <row r="29" spans="1:16" x14ac:dyDescent="0.2">
      <c r="A29" s="15" t="s">
        <v>175</v>
      </c>
      <c r="B29" s="1" t="s">
        <v>9</v>
      </c>
      <c r="C29" s="14"/>
      <c r="D29" s="1" t="s">
        <v>10</v>
      </c>
      <c r="E29" s="6"/>
      <c r="F29" s="49">
        <v>770244.5</v>
      </c>
      <c r="G29" s="14" t="s">
        <v>170</v>
      </c>
      <c r="I29" s="65">
        <v>1900000</v>
      </c>
      <c r="K29" s="14"/>
      <c r="L29" s="65"/>
      <c r="N29" s="5">
        <v>2700000</v>
      </c>
      <c r="O29" s="5">
        <v>3070000</v>
      </c>
      <c r="P29" t="s">
        <v>252</v>
      </c>
    </row>
    <row r="30" spans="1:16" x14ac:dyDescent="0.2">
      <c r="A30" s="15" t="s">
        <v>27</v>
      </c>
      <c r="B30" s="1" t="s">
        <v>9</v>
      </c>
      <c r="C30" s="14"/>
      <c r="D30" s="1" t="s">
        <v>10</v>
      </c>
      <c r="E30" s="6" t="s">
        <v>226</v>
      </c>
      <c r="F30" s="49">
        <v>0</v>
      </c>
      <c r="G30" s="14" t="s">
        <v>169</v>
      </c>
      <c r="I30" s="65"/>
      <c r="K30" s="14"/>
      <c r="L30" s="65"/>
      <c r="N30" s="5"/>
      <c r="O30" s="5"/>
    </row>
    <row r="31" spans="1:16" x14ac:dyDescent="0.2">
      <c r="A31" s="15" t="s">
        <v>28</v>
      </c>
      <c r="B31" s="1" t="s">
        <v>9</v>
      </c>
      <c r="C31" s="14"/>
      <c r="D31" s="1" t="s">
        <v>10</v>
      </c>
      <c r="E31" s="6" t="s">
        <v>226</v>
      </c>
      <c r="F31" s="49">
        <v>0</v>
      </c>
      <c r="G31" s="14" t="s">
        <v>171</v>
      </c>
      <c r="I31" s="65"/>
      <c r="K31" s="14"/>
      <c r="L31" s="65"/>
      <c r="N31" s="5"/>
      <c r="O31" s="5"/>
    </row>
    <row r="32" spans="1:16" x14ac:dyDescent="0.2">
      <c r="A32" s="15" t="s">
        <v>29</v>
      </c>
      <c r="B32" s="1" t="s">
        <v>9</v>
      </c>
      <c r="C32" s="14"/>
      <c r="D32" s="1" t="s">
        <v>10</v>
      </c>
      <c r="E32" s="6"/>
      <c r="F32" s="49">
        <v>0</v>
      </c>
      <c r="G32" s="14"/>
      <c r="I32" s="65"/>
      <c r="K32" s="14"/>
      <c r="L32" s="65"/>
      <c r="N32" s="5"/>
      <c r="O32" s="5"/>
    </row>
    <row r="33" spans="1:16" x14ac:dyDescent="0.2">
      <c r="A33" s="15" t="s">
        <v>30</v>
      </c>
      <c r="B33" s="1" t="s">
        <v>9</v>
      </c>
      <c r="C33" s="14"/>
      <c r="D33" s="1" t="s">
        <v>10</v>
      </c>
      <c r="E33" s="6"/>
      <c r="F33" s="49">
        <v>0</v>
      </c>
      <c r="G33" s="14" t="s">
        <v>171</v>
      </c>
      <c r="I33" s="65"/>
      <c r="K33" s="14"/>
      <c r="L33" s="65"/>
      <c r="N33" s="5"/>
      <c r="O33" s="5"/>
    </row>
    <row r="34" spans="1:16" x14ac:dyDescent="0.2">
      <c r="A34" t="s">
        <v>31</v>
      </c>
      <c r="B34" s="1" t="s">
        <v>9</v>
      </c>
      <c r="C34" s="14"/>
      <c r="D34" s="1" t="s">
        <v>10</v>
      </c>
      <c r="E34" s="6"/>
      <c r="F34" s="49">
        <v>0</v>
      </c>
      <c r="G34" s="14" t="s">
        <v>171</v>
      </c>
      <c r="I34" s="65"/>
      <c r="K34" s="14"/>
      <c r="L34" s="65"/>
      <c r="N34" s="5"/>
      <c r="O34" s="5"/>
    </row>
    <row r="35" spans="1:16" x14ac:dyDescent="0.2">
      <c r="A35" s="15" t="s">
        <v>32</v>
      </c>
      <c r="B35" s="1" t="s">
        <v>9</v>
      </c>
      <c r="C35" s="14"/>
      <c r="D35" s="1" t="s">
        <v>10</v>
      </c>
      <c r="E35" s="6" t="s">
        <v>226</v>
      </c>
      <c r="F35" s="49">
        <v>0</v>
      </c>
      <c r="G35" s="14" t="s">
        <v>169</v>
      </c>
      <c r="I35" s="65"/>
      <c r="K35" s="14"/>
      <c r="L35" s="65"/>
      <c r="N35" s="5"/>
      <c r="O35" s="5"/>
    </row>
    <row r="36" spans="1:16" x14ac:dyDescent="0.2">
      <c r="A36" s="15" t="s">
        <v>33</v>
      </c>
      <c r="B36" s="1" t="s">
        <v>9</v>
      </c>
      <c r="C36" s="16">
        <v>172031</v>
      </c>
      <c r="D36" s="1" t="s">
        <v>10</v>
      </c>
      <c r="E36" s="6">
        <v>136.64929576646099</v>
      </c>
      <c r="F36" s="49">
        <v>0</v>
      </c>
      <c r="G36" s="14" t="s">
        <v>169</v>
      </c>
      <c r="I36" s="65"/>
      <c r="K36" s="14"/>
      <c r="L36" s="65"/>
      <c r="N36" s="5"/>
      <c r="O36" s="5"/>
    </row>
    <row r="37" spans="1:16" x14ac:dyDescent="0.2">
      <c r="A37" s="15" t="s">
        <v>34</v>
      </c>
      <c r="B37" s="1" t="s">
        <v>9</v>
      </c>
      <c r="C37" s="14"/>
      <c r="D37" s="1" t="s">
        <v>10</v>
      </c>
      <c r="E37" s="6"/>
      <c r="F37" s="49">
        <v>0</v>
      </c>
      <c r="G37" s="14" t="s">
        <v>169</v>
      </c>
      <c r="I37" s="65"/>
      <c r="K37" s="14"/>
      <c r="L37" s="65"/>
      <c r="N37" s="5"/>
      <c r="O37" s="5"/>
    </row>
    <row r="38" spans="1:16" x14ac:dyDescent="0.2">
      <c r="A38" s="15" t="s">
        <v>35</v>
      </c>
      <c r="B38" s="1" t="s">
        <v>9</v>
      </c>
      <c r="C38" s="14"/>
      <c r="D38" s="1" t="s">
        <v>10</v>
      </c>
      <c r="E38" s="6"/>
      <c r="F38" s="49">
        <v>0</v>
      </c>
      <c r="G38" s="14" t="s">
        <v>171</v>
      </c>
      <c r="I38" s="65"/>
      <c r="K38" s="14"/>
      <c r="L38" s="65"/>
      <c r="N38" s="5"/>
      <c r="O38" s="5"/>
      <c r="P38" t="s">
        <v>253</v>
      </c>
    </row>
    <row r="39" spans="1:16" x14ac:dyDescent="0.2">
      <c r="A39" s="15" t="s">
        <v>36</v>
      </c>
      <c r="B39" s="1" t="s">
        <v>9</v>
      </c>
      <c r="C39" s="14"/>
      <c r="D39" s="1" t="s">
        <v>10</v>
      </c>
      <c r="E39" s="6"/>
      <c r="F39" s="49">
        <v>0</v>
      </c>
      <c r="G39" s="14" t="s">
        <v>172</v>
      </c>
      <c r="I39" s="65"/>
      <c r="K39" s="14"/>
      <c r="L39" s="65"/>
      <c r="N39" s="5"/>
      <c r="O39" s="5"/>
    </row>
    <row r="40" spans="1:16" x14ac:dyDescent="0.2">
      <c r="A40" s="15" t="s">
        <v>37</v>
      </c>
      <c r="B40" s="1" t="s">
        <v>9</v>
      </c>
      <c r="C40" s="14"/>
      <c r="D40" s="1" t="s">
        <v>10</v>
      </c>
      <c r="E40" s="6"/>
      <c r="F40" s="49">
        <v>0</v>
      </c>
      <c r="G40" s="14" t="s">
        <v>171</v>
      </c>
      <c r="I40" s="65"/>
      <c r="K40" s="14"/>
      <c r="L40" s="65"/>
      <c r="N40" s="5"/>
      <c r="O40" s="5"/>
      <c r="P40" t="s">
        <v>253</v>
      </c>
    </row>
    <row r="41" spans="1:16" x14ac:dyDescent="0.2">
      <c r="A41" s="15" t="s">
        <v>38</v>
      </c>
      <c r="B41" s="1" t="s">
        <v>9</v>
      </c>
      <c r="C41" s="14"/>
      <c r="D41" s="1" t="s">
        <v>10</v>
      </c>
      <c r="E41" s="6"/>
      <c r="F41" s="49">
        <v>0</v>
      </c>
      <c r="G41" s="14" t="s">
        <v>171</v>
      </c>
      <c r="I41" s="65"/>
      <c r="K41" s="14"/>
      <c r="L41" s="65"/>
      <c r="N41" s="5"/>
      <c r="O41" s="5"/>
    </row>
    <row r="42" spans="1:16" x14ac:dyDescent="0.2">
      <c r="A42" s="15" t="s">
        <v>39</v>
      </c>
      <c r="B42" s="1" t="s">
        <v>9</v>
      </c>
      <c r="C42" s="14"/>
      <c r="D42" s="1" t="s">
        <v>10</v>
      </c>
      <c r="E42" s="6"/>
      <c r="F42" s="49">
        <v>10125000</v>
      </c>
      <c r="G42" s="14" t="s">
        <v>172</v>
      </c>
      <c r="I42" s="65">
        <f>0.75*14.5*10^6</f>
        <v>10875000</v>
      </c>
      <c r="K42" s="14"/>
      <c r="L42" s="65"/>
      <c r="N42" s="5"/>
      <c r="O42" s="5"/>
      <c r="P42" t="s">
        <v>254</v>
      </c>
    </row>
    <row r="43" spans="1:16" x14ac:dyDescent="0.2">
      <c r="A43" s="15" t="s">
        <v>40</v>
      </c>
      <c r="B43" s="1" t="s">
        <v>9</v>
      </c>
      <c r="C43" s="14"/>
      <c r="D43" s="1" t="s">
        <v>10</v>
      </c>
      <c r="E43" s="6"/>
      <c r="F43" s="49">
        <v>7121810</v>
      </c>
      <c r="G43" s="14" t="s">
        <v>171</v>
      </c>
      <c r="I43" s="65">
        <f>F43</f>
        <v>7121810</v>
      </c>
      <c r="K43" s="14"/>
      <c r="L43" s="65"/>
      <c r="N43" s="5">
        <v>200000</v>
      </c>
      <c r="O43" s="5">
        <v>7100000</v>
      </c>
      <c r="P43" t="s">
        <v>255</v>
      </c>
    </row>
    <row r="44" spans="1:16" x14ac:dyDescent="0.2">
      <c r="A44" s="15" t="s">
        <v>41</v>
      </c>
      <c r="B44" s="1" t="s">
        <v>9</v>
      </c>
      <c r="C44" s="14"/>
      <c r="D44" s="1" t="s">
        <v>10</v>
      </c>
      <c r="E44" s="6"/>
      <c r="F44" s="49">
        <v>0</v>
      </c>
      <c r="G44" s="14" t="s">
        <v>169</v>
      </c>
      <c r="I44" s="65">
        <f>F44</f>
        <v>0</v>
      </c>
      <c r="K44" s="14"/>
      <c r="L44" s="65"/>
      <c r="N44" s="5"/>
      <c r="O44" s="5"/>
    </row>
    <row r="45" spans="1:16" x14ac:dyDescent="0.2">
      <c r="A45" s="15" t="s">
        <v>42</v>
      </c>
      <c r="B45" s="1" t="s">
        <v>9</v>
      </c>
      <c r="C45" s="14"/>
      <c r="D45" s="1" t="s">
        <v>10</v>
      </c>
      <c r="E45" s="6"/>
      <c r="F45" s="49">
        <v>20887594.859999999</v>
      </c>
      <c r="G45" s="14" t="s">
        <v>169</v>
      </c>
      <c r="I45" s="65">
        <f>F45</f>
        <v>20887594.859999999</v>
      </c>
      <c r="K45" s="14"/>
      <c r="L45" s="65"/>
      <c r="N45" s="5">
        <v>33000000</v>
      </c>
      <c r="O45" s="5">
        <v>36000000</v>
      </c>
      <c r="P45" t="s">
        <v>256</v>
      </c>
    </row>
    <row r="46" spans="1:16" x14ac:dyDescent="0.2">
      <c r="A46" s="15" t="s">
        <v>43</v>
      </c>
      <c r="B46" s="1" t="s">
        <v>9</v>
      </c>
      <c r="C46" s="14"/>
      <c r="D46" s="1" t="s">
        <v>10</v>
      </c>
      <c r="E46" s="6"/>
      <c r="F46" s="49">
        <v>2560525</v>
      </c>
      <c r="G46" s="14" t="s">
        <v>169</v>
      </c>
      <c r="I46" s="65">
        <f>F46</f>
        <v>2560525</v>
      </c>
      <c r="K46" s="14"/>
      <c r="L46" s="65"/>
      <c r="N46" s="5" t="s">
        <v>249</v>
      </c>
      <c r="O46" s="5"/>
    </row>
    <row r="47" spans="1:16" x14ac:dyDescent="0.2">
      <c r="A47" s="15" t="s">
        <v>44</v>
      </c>
      <c r="B47" s="1" t="s">
        <v>9</v>
      </c>
      <c r="C47" s="14"/>
      <c r="D47" s="1" t="s">
        <v>10</v>
      </c>
      <c r="E47" s="6" t="s">
        <v>226</v>
      </c>
      <c r="F47" s="49">
        <v>0</v>
      </c>
      <c r="G47" s="14" t="s">
        <v>169</v>
      </c>
      <c r="I47" s="65"/>
      <c r="K47" s="14"/>
      <c r="L47" s="65"/>
      <c r="N47" s="5"/>
      <c r="O47" s="5"/>
    </row>
    <row r="48" spans="1:16" x14ac:dyDescent="0.2">
      <c r="A48" s="15" t="s">
        <v>45</v>
      </c>
      <c r="B48" s="1" t="s">
        <v>9</v>
      </c>
      <c r="C48" s="14"/>
      <c r="D48" s="1" t="s">
        <v>10</v>
      </c>
      <c r="E48" s="6"/>
      <c r="F48" s="49">
        <v>0</v>
      </c>
      <c r="G48" s="14" t="s">
        <v>170</v>
      </c>
      <c r="I48" s="65"/>
      <c r="K48" s="14"/>
      <c r="L48" s="65"/>
      <c r="N48" s="5"/>
      <c r="O48" s="5"/>
    </row>
    <row r="49" spans="1:16" x14ac:dyDescent="0.2">
      <c r="A49" s="15" t="s">
        <v>46</v>
      </c>
      <c r="B49" s="1" t="s">
        <v>9</v>
      </c>
      <c r="C49" s="14"/>
      <c r="D49" s="1" t="s">
        <v>10</v>
      </c>
      <c r="E49" s="6"/>
      <c r="F49" s="49">
        <v>0</v>
      </c>
      <c r="G49" s="14" t="s">
        <v>172</v>
      </c>
      <c r="I49" s="65"/>
      <c r="K49" s="14"/>
      <c r="L49" s="65"/>
      <c r="N49" s="5"/>
      <c r="O49" s="5"/>
    </row>
    <row r="50" spans="1:16" x14ac:dyDescent="0.2">
      <c r="A50" s="15" t="s">
        <v>47</v>
      </c>
      <c r="B50" s="1" t="s">
        <v>9</v>
      </c>
      <c r="C50" s="14"/>
      <c r="D50" s="1" t="s">
        <v>10</v>
      </c>
      <c r="E50" s="6"/>
      <c r="F50" s="49">
        <v>1803840</v>
      </c>
      <c r="G50" s="14" t="s">
        <v>169</v>
      </c>
      <c r="I50" s="49">
        <f>F50</f>
        <v>1803840</v>
      </c>
      <c r="K50" s="14"/>
      <c r="L50" s="65"/>
      <c r="N50" s="5">
        <v>2500000</v>
      </c>
      <c r="O50" s="5">
        <v>5400000</v>
      </c>
      <c r="P50" t="s">
        <v>260</v>
      </c>
    </row>
    <row r="51" spans="1:16" x14ac:dyDescent="0.2">
      <c r="A51" s="15" t="s">
        <v>48</v>
      </c>
      <c r="B51" s="1" t="s">
        <v>9</v>
      </c>
      <c r="C51" s="14"/>
      <c r="D51" s="1" t="s">
        <v>10</v>
      </c>
      <c r="E51" s="6"/>
      <c r="F51" s="49">
        <v>2300803</v>
      </c>
      <c r="G51" s="14" t="s">
        <v>171</v>
      </c>
      <c r="I51" s="49">
        <f>F51</f>
        <v>2300803</v>
      </c>
      <c r="K51" s="14"/>
      <c r="L51" s="65"/>
      <c r="N51" s="5" t="s">
        <v>249</v>
      </c>
      <c r="O51" s="5"/>
    </row>
    <row r="52" spans="1:16" x14ac:dyDescent="0.2">
      <c r="A52" s="15" t="s">
        <v>49</v>
      </c>
      <c r="B52" s="1" t="s">
        <v>9</v>
      </c>
      <c r="C52" s="14"/>
      <c r="D52" s="1" t="s">
        <v>10</v>
      </c>
      <c r="E52" s="6"/>
      <c r="F52" s="49">
        <v>8971988.3399999999</v>
      </c>
      <c r="G52" s="14" t="s">
        <v>169</v>
      </c>
      <c r="I52" s="49">
        <v>8971988.3399999999</v>
      </c>
      <c r="K52" s="14"/>
      <c r="L52" s="65"/>
      <c r="N52" s="5">
        <v>13300000</v>
      </c>
      <c r="O52" s="5"/>
      <c r="P52" t="s">
        <v>256</v>
      </c>
    </row>
    <row r="53" spans="1:16" x14ac:dyDescent="0.2">
      <c r="A53" s="15" t="s">
        <v>50</v>
      </c>
      <c r="B53" s="1" t="s">
        <v>9</v>
      </c>
      <c r="C53" s="14"/>
      <c r="D53" s="1" t="s">
        <v>10</v>
      </c>
      <c r="E53" s="6"/>
      <c r="F53" s="49">
        <v>2343750</v>
      </c>
      <c r="G53" s="14" t="s">
        <v>169</v>
      </c>
      <c r="I53" s="49">
        <v>2343750</v>
      </c>
      <c r="K53" s="14"/>
      <c r="L53" s="65"/>
      <c r="N53" s="5" t="s">
        <v>249</v>
      </c>
      <c r="O53" s="5"/>
    </row>
    <row r="54" spans="1:16" x14ac:dyDescent="0.2">
      <c r="A54" t="s">
        <v>51</v>
      </c>
      <c r="B54" s="1" t="s">
        <v>9</v>
      </c>
      <c r="C54" s="14"/>
      <c r="D54" s="1" t="s">
        <v>10</v>
      </c>
      <c r="E54" s="6"/>
      <c r="F54" s="49">
        <v>16316247</v>
      </c>
      <c r="G54" s="14" t="s">
        <v>169</v>
      </c>
      <c r="I54" s="65">
        <v>1900000</v>
      </c>
      <c r="K54" s="14"/>
      <c r="L54" s="65"/>
      <c r="N54" s="5">
        <v>0</v>
      </c>
      <c r="O54" s="5">
        <v>13100000</v>
      </c>
      <c r="P54" t="s">
        <v>257</v>
      </c>
    </row>
    <row r="55" spans="1:16" x14ac:dyDescent="0.2">
      <c r="A55" t="s">
        <v>52</v>
      </c>
      <c r="B55" s="1" t="s">
        <v>9</v>
      </c>
      <c r="C55" s="14"/>
      <c r="D55" s="1" t="s">
        <v>10</v>
      </c>
      <c r="E55" s="6"/>
      <c r="F55" s="49">
        <v>1050000</v>
      </c>
      <c r="G55" s="14" t="s">
        <v>169</v>
      </c>
      <c r="I55" s="65">
        <f>F55</f>
        <v>1050000</v>
      </c>
      <c r="K55" s="14"/>
      <c r="L55" s="65"/>
      <c r="N55" s="5" t="s">
        <v>249</v>
      </c>
      <c r="O55" s="5"/>
    </row>
    <row r="56" spans="1:16" x14ac:dyDescent="0.2">
      <c r="A56" s="15" t="s">
        <v>53</v>
      </c>
      <c r="B56" s="1" t="s">
        <v>9</v>
      </c>
      <c r="C56" s="5">
        <v>375000</v>
      </c>
      <c r="D56" s="1" t="s">
        <v>10</v>
      </c>
      <c r="E56" s="6">
        <v>217.28</v>
      </c>
      <c r="F56" s="49">
        <v>44836040.100000001</v>
      </c>
      <c r="G56" s="14" t="s">
        <v>173</v>
      </c>
      <c r="I56" s="65">
        <f>F56</f>
        <v>44836040.100000001</v>
      </c>
      <c r="K56" s="14"/>
      <c r="L56" s="65"/>
      <c r="N56" s="5"/>
      <c r="O56" s="5"/>
      <c r="P56" t="s">
        <v>258</v>
      </c>
    </row>
    <row r="57" spans="1:16" x14ac:dyDescent="0.2">
      <c r="A57" s="15" t="s">
        <v>54</v>
      </c>
      <c r="B57" s="1" t="s">
        <v>9</v>
      </c>
      <c r="C57" s="5">
        <v>1000</v>
      </c>
      <c r="D57" s="1" t="s">
        <v>10</v>
      </c>
      <c r="E57" s="6">
        <v>1360</v>
      </c>
      <c r="F57" s="14"/>
      <c r="G57" s="14" t="s">
        <v>169</v>
      </c>
      <c r="I57" s="65"/>
      <c r="K57" s="14"/>
      <c r="L57" s="65"/>
      <c r="N57" s="5"/>
      <c r="O57" s="5"/>
    </row>
    <row r="58" spans="1:16" x14ac:dyDescent="0.2">
      <c r="A58" s="15"/>
      <c r="B58" s="1"/>
      <c r="C58" s="14"/>
      <c r="D58" s="1"/>
      <c r="E58" s="6"/>
      <c r="F58" s="5"/>
      <c r="G58" s="14"/>
      <c r="I58" s="49"/>
      <c r="K58" s="14"/>
      <c r="L58" s="65"/>
    </row>
    <row r="59" spans="1:16" x14ac:dyDescent="0.2">
      <c r="A59" s="15" t="s">
        <v>177</v>
      </c>
      <c r="B59" s="1"/>
      <c r="C59" s="14"/>
      <c r="D59" s="1"/>
      <c r="E59" s="6"/>
      <c r="F59" s="5"/>
      <c r="G59" s="14"/>
      <c r="L59" s="7"/>
    </row>
    <row r="60" spans="1:16" x14ac:dyDescent="0.2">
      <c r="B60" s="1"/>
      <c r="C60" s="5"/>
      <c r="D60" s="1"/>
      <c r="E60" s="6"/>
      <c r="F60" s="5"/>
      <c r="G60" s="14"/>
      <c r="L60" s="7"/>
    </row>
    <row r="61" spans="1:16" x14ac:dyDescent="0.2">
      <c r="B61" s="1"/>
      <c r="C61" s="5"/>
      <c r="D61" s="1"/>
      <c r="E61" s="6"/>
      <c r="F61" s="5"/>
      <c r="G61" s="14"/>
      <c r="L61" s="7"/>
    </row>
    <row r="62" spans="1:16" x14ac:dyDescent="0.2">
      <c r="B62" s="1"/>
      <c r="C62" s="5"/>
      <c r="D62" s="1"/>
      <c r="E62" s="6"/>
      <c r="F62" s="5"/>
      <c r="G62" s="14"/>
      <c r="L62" s="7"/>
    </row>
    <row r="63" spans="1:16" x14ac:dyDescent="0.2">
      <c r="B63" s="1"/>
      <c r="C63" s="5"/>
      <c r="D63" s="1"/>
      <c r="E63" s="6"/>
      <c r="F63" s="5"/>
      <c r="G63" s="14"/>
      <c r="L63" s="7"/>
    </row>
    <row r="64" spans="1:16" x14ac:dyDescent="0.2">
      <c r="B64" s="1"/>
      <c r="C64" s="5"/>
      <c r="D64" s="1"/>
      <c r="E64" s="6"/>
      <c r="F64" s="5"/>
      <c r="G64" s="14"/>
      <c r="L64" s="7"/>
    </row>
    <row r="65" spans="1:12" x14ac:dyDescent="0.2">
      <c r="A65" s="15" t="s">
        <v>26</v>
      </c>
      <c r="B65" s="1" t="s">
        <v>9</v>
      </c>
      <c r="C65" s="14"/>
      <c r="D65" s="1" t="s">
        <v>10</v>
      </c>
      <c r="E65" s="6"/>
      <c r="F65" s="14">
        <v>727836.22</v>
      </c>
      <c r="G65" s="14"/>
      <c r="I65" s="82">
        <f>F65</f>
        <v>727836.22</v>
      </c>
      <c r="J65" t="s">
        <v>251</v>
      </c>
      <c r="L65" s="7"/>
    </row>
    <row r="66" spans="1:12" x14ac:dyDescent="0.2">
      <c r="A66" s="15"/>
      <c r="B66" s="1"/>
      <c r="C66" s="14"/>
      <c r="D66" s="1"/>
      <c r="E66" s="6"/>
      <c r="F66" s="5"/>
      <c r="G66" s="14"/>
      <c r="I66" s="44"/>
      <c r="L66" s="7"/>
    </row>
    <row r="67" spans="1:12" x14ac:dyDescent="0.2">
      <c r="A67" s="25" t="s">
        <v>69</v>
      </c>
      <c r="I67" s="50">
        <f>SUM(I27:I66)</f>
        <v>108488217.78</v>
      </c>
      <c r="J67" s="23"/>
      <c r="K67" s="23"/>
      <c r="L67" s="66"/>
    </row>
    <row r="68" spans="1:12" x14ac:dyDescent="0.2">
      <c r="J68" s="23"/>
      <c r="K68" s="23"/>
      <c r="L68" s="66"/>
    </row>
    <row r="69" spans="1:12" x14ac:dyDescent="0.2">
      <c r="A69" s="43"/>
      <c r="B69" s="1"/>
      <c r="C69" s="14"/>
      <c r="D69" s="1"/>
      <c r="E69" s="6"/>
      <c r="F69" s="5"/>
      <c r="G69" s="14"/>
      <c r="I69" s="23"/>
      <c r="J69" s="23"/>
      <c r="K69" s="23"/>
      <c r="L69" s="66"/>
    </row>
    <row r="70" spans="1:12" x14ac:dyDescent="0.2">
      <c r="B70" s="5"/>
      <c r="C70" s="41"/>
      <c r="D70" s="45"/>
      <c r="E70" s="55"/>
      <c r="G70" s="44"/>
      <c r="J70" s="24"/>
      <c r="K70" s="23"/>
      <c r="L70" s="66"/>
    </row>
    <row r="71" spans="1:12" x14ac:dyDescent="0.2">
      <c r="B71" s="5"/>
      <c r="C71" s="41"/>
      <c r="D71" s="45"/>
      <c r="E71" s="55"/>
      <c r="G71" s="44"/>
      <c r="L71" s="7"/>
    </row>
    <row r="72" spans="1:12" x14ac:dyDescent="0.2">
      <c r="B72" s="5"/>
      <c r="C72" s="41"/>
      <c r="D72" s="45"/>
      <c r="E72" s="55"/>
      <c r="G72" s="44"/>
      <c r="L72" s="7"/>
    </row>
    <row r="73" spans="1:12" x14ac:dyDescent="0.2">
      <c r="B73" s="5"/>
      <c r="C73" s="41"/>
      <c r="D73" s="45"/>
      <c r="E73" s="55"/>
      <c r="G73" s="44"/>
      <c r="L73" s="7"/>
    </row>
    <row r="74" spans="1:12" x14ac:dyDescent="0.2">
      <c r="B74" s="5"/>
      <c r="C74" s="41"/>
      <c r="D74" s="45"/>
      <c r="E74" s="55"/>
      <c r="G74" s="44"/>
      <c r="L74" s="7"/>
    </row>
    <row r="75" spans="1:12" x14ac:dyDescent="0.2">
      <c r="B75" s="5"/>
      <c r="C75" s="41"/>
      <c r="D75" s="45"/>
      <c r="E75" s="55"/>
      <c r="G75" s="44"/>
      <c r="L75" s="7"/>
    </row>
    <row r="76" spans="1:12" x14ac:dyDescent="0.2">
      <c r="B76" s="5"/>
      <c r="C76" s="41"/>
      <c r="D76" s="45"/>
      <c r="E76" s="55"/>
      <c r="G76" s="44"/>
      <c r="L76" s="7"/>
    </row>
    <row r="77" spans="1:12" x14ac:dyDescent="0.2">
      <c r="B77" s="5"/>
      <c r="C77" s="41"/>
      <c r="D77" s="45"/>
      <c r="E77" s="55"/>
      <c r="G77" s="44"/>
      <c r="L77" s="7"/>
    </row>
    <row r="78" spans="1:12" x14ac:dyDescent="0.2">
      <c r="B78" s="5"/>
      <c r="C78" s="41"/>
      <c r="D78" s="45"/>
      <c r="E78" s="55"/>
      <c r="G78" s="44"/>
      <c r="L78" s="7"/>
    </row>
    <row r="79" spans="1:12" x14ac:dyDescent="0.2">
      <c r="B79" s="5"/>
      <c r="C79" s="41"/>
      <c r="D79" s="45"/>
      <c r="E79" s="55"/>
      <c r="G79" s="44"/>
      <c r="L79" s="7"/>
    </row>
    <row r="80" spans="1:12" x14ac:dyDescent="0.2">
      <c r="B80" s="5"/>
      <c r="C80" s="41"/>
      <c r="D80" s="45"/>
      <c r="E80" s="55"/>
      <c r="G80" s="44"/>
      <c r="L80" s="7"/>
    </row>
    <row r="81" spans="2:12" x14ac:dyDescent="0.2">
      <c r="B81" s="5"/>
      <c r="C81" s="41"/>
      <c r="D81" s="45"/>
      <c r="E81" s="55"/>
      <c r="G81" s="44"/>
      <c r="L81" s="7"/>
    </row>
    <row r="82" spans="2:12" x14ac:dyDescent="0.2">
      <c r="B82" s="5"/>
      <c r="C82" s="41"/>
      <c r="D82" s="45"/>
      <c r="E82" s="55"/>
      <c r="G82" s="44"/>
    </row>
    <row r="83" spans="2:12" x14ac:dyDescent="0.2">
      <c r="B83" s="5"/>
      <c r="C83" s="41"/>
      <c r="D83" s="45"/>
      <c r="E83" s="55"/>
      <c r="G83" s="44"/>
    </row>
    <row r="84" spans="2:12" x14ac:dyDescent="0.2">
      <c r="B84" s="5"/>
      <c r="C84" s="41"/>
      <c r="D84" s="45"/>
      <c r="E84" s="55"/>
      <c r="G84" s="44"/>
    </row>
    <row r="85" spans="2:12" x14ac:dyDescent="0.2">
      <c r="B85" s="5"/>
      <c r="C85" s="41"/>
      <c r="D85" s="45"/>
      <c r="E85" s="55"/>
      <c r="G85" s="44"/>
    </row>
    <row r="86" spans="2:12" x14ac:dyDescent="0.2">
      <c r="B86" s="5"/>
      <c r="C86" s="41"/>
      <c r="D86" s="45"/>
      <c r="E86" s="55"/>
      <c r="G86" s="44"/>
    </row>
    <row r="87" spans="2:12" x14ac:dyDescent="0.2">
      <c r="B87" s="5"/>
      <c r="C87" s="41"/>
      <c r="D87" s="45"/>
      <c r="E87" s="55"/>
      <c r="G87" s="44"/>
    </row>
    <row r="88" spans="2:12" x14ac:dyDescent="0.2">
      <c r="B88" s="5"/>
      <c r="C88" s="41"/>
      <c r="D88" s="45"/>
      <c r="E88" s="55"/>
      <c r="G88" s="44"/>
    </row>
    <row r="90" spans="2:12" x14ac:dyDescent="0.2">
      <c r="B90" s="44"/>
      <c r="G90" s="44"/>
    </row>
    <row r="92" spans="2:12" x14ac:dyDescent="0.2">
      <c r="G92" s="61"/>
    </row>
  </sheetData>
  <mergeCells count="1">
    <mergeCell ref="N25:O2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M64"/>
  <sheetViews>
    <sheetView workbookViewId="0">
      <selection activeCell="A16" sqref="A16"/>
    </sheetView>
  </sheetViews>
  <sheetFormatPr defaultRowHeight="10.199999999999999" x14ac:dyDescent="0.2"/>
  <cols>
    <col min="1" max="1" width="25" bestFit="1" customWidth="1"/>
    <col min="3" max="3" width="10.42578125" bestFit="1" customWidth="1"/>
    <col min="4" max="4" width="12.85546875" customWidth="1"/>
    <col min="5" max="5" width="10.42578125" bestFit="1" customWidth="1"/>
    <col min="6" max="6" width="14" bestFit="1" customWidth="1"/>
    <col min="7" max="7" width="13.42578125" bestFit="1" customWidth="1"/>
    <col min="9" max="9" width="12.85546875" bestFit="1" customWidth="1"/>
    <col min="10" max="10" width="4.42578125" bestFit="1" customWidth="1"/>
    <col min="11" max="11" width="8.140625" bestFit="1" customWidth="1"/>
    <col min="12" max="12" width="7.85546875" bestFit="1" customWidth="1"/>
    <col min="13" max="13" width="12.7109375" customWidth="1"/>
  </cols>
  <sheetData>
    <row r="2" spans="1:13" ht="66.599999999999994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s="3"/>
      <c r="I2" t="s">
        <v>80</v>
      </c>
      <c r="J2" t="s">
        <v>75</v>
      </c>
      <c r="K2" t="s">
        <v>81</v>
      </c>
      <c r="L2" t="s">
        <v>0</v>
      </c>
      <c r="M2" t="s">
        <v>107</v>
      </c>
    </row>
    <row r="3" spans="1:13" x14ac:dyDescent="0.2">
      <c r="A3" t="s">
        <v>263</v>
      </c>
      <c r="B3" s="1" t="s">
        <v>15</v>
      </c>
      <c r="C3" s="91">
        <v>7809790</v>
      </c>
      <c r="D3" s="5" t="s">
        <v>7</v>
      </c>
      <c r="E3" s="6"/>
      <c r="F3" s="26"/>
      <c r="G3" s="7"/>
    </row>
    <row r="4" spans="1:13" x14ac:dyDescent="0.2">
      <c r="A4" t="s">
        <v>270</v>
      </c>
      <c r="B4" s="1" t="s">
        <v>15</v>
      </c>
      <c r="C4" s="92">
        <v>7919393</v>
      </c>
      <c r="D4" s="5" t="s">
        <v>283</v>
      </c>
      <c r="E4" s="6"/>
      <c r="F4" s="26"/>
      <c r="G4" s="26"/>
    </row>
    <row r="5" spans="1:13" x14ac:dyDescent="0.2">
      <c r="A5" t="s">
        <v>279</v>
      </c>
      <c r="B5" s="1" t="s">
        <v>15</v>
      </c>
      <c r="C5" s="93">
        <v>6326045</v>
      </c>
      <c r="D5" s="5" t="s">
        <v>283</v>
      </c>
      <c r="E5" s="6"/>
      <c r="F5" s="26"/>
      <c r="G5" s="26"/>
    </row>
    <row r="6" spans="1:13" ht="13.2" x14ac:dyDescent="0.25">
      <c r="A6" s="8" t="s">
        <v>8</v>
      </c>
      <c r="B6" s="9"/>
      <c r="C6" s="5"/>
      <c r="D6" s="5"/>
      <c r="E6" s="6"/>
      <c r="F6" s="7"/>
      <c r="G6" s="7"/>
    </row>
    <row r="7" spans="1:13" ht="13.2" x14ac:dyDescent="0.25">
      <c r="A7" s="8"/>
      <c r="B7" s="9"/>
      <c r="C7" s="5"/>
      <c r="D7" s="5"/>
      <c r="E7" s="6"/>
      <c r="F7" s="7"/>
      <c r="G7" s="7"/>
    </row>
    <row r="8" spans="1:13" ht="13.2" x14ac:dyDescent="0.25">
      <c r="A8" s="10" t="s">
        <v>20</v>
      </c>
      <c r="B8" s="9"/>
      <c r="C8" s="5"/>
      <c r="D8" s="5"/>
      <c r="E8" s="6"/>
      <c r="F8" s="7"/>
      <c r="G8" s="7"/>
    </row>
    <row r="9" spans="1:13" ht="13.2" x14ac:dyDescent="0.25">
      <c r="A9" s="8"/>
      <c r="B9" s="9"/>
      <c r="C9" s="5"/>
      <c r="D9" s="5"/>
      <c r="E9" s="6"/>
      <c r="F9" s="7"/>
      <c r="G9" s="7"/>
    </row>
    <row r="10" spans="1:13" ht="13.2" x14ac:dyDescent="0.25">
      <c r="A10" s="8"/>
      <c r="B10" s="9"/>
      <c r="C10" s="5"/>
      <c r="D10" s="5"/>
      <c r="E10" s="6"/>
      <c r="F10" s="7"/>
      <c r="G10" s="7"/>
    </row>
    <row r="11" spans="1:13" ht="13.2" x14ac:dyDescent="0.25">
      <c r="A11" s="11" t="s">
        <v>21</v>
      </c>
      <c r="B11" s="1"/>
      <c r="E11" s="12" t="s">
        <v>24</v>
      </c>
    </row>
    <row r="12" spans="1:13" x14ac:dyDescent="0.2">
      <c r="A12" t="s">
        <v>55</v>
      </c>
      <c r="B12" s="1" t="s">
        <v>9</v>
      </c>
      <c r="C12" s="5"/>
      <c r="D12" s="1" t="s">
        <v>10</v>
      </c>
      <c r="E12" s="6"/>
      <c r="F12" s="5">
        <v>58424000</v>
      </c>
      <c r="I12" s="44">
        <v>105135000</v>
      </c>
    </row>
    <row r="13" spans="1:13" x14ac:dyDescent="0.2">
      <c r="A13" t="s">
        <v>56</v>
      </c>
      <c r="B13" s="1" t="s">
        <v>9</v>
      </c>
      <c r="C13" s="5"/>
      <c r="D13" s="1" t="s">
        <v>10</v>
      </c>
      <c r="E13" s="6"/>
      <c r="F13" s="5">
        <v>66100000</v>
      </c>
      <c r="I13" s="44">
        <v>97200000</v>
      </c>
    </row>
    <row r="14" spans="1:13" x14ac:dyDescent="0.2">
      <c r="A14" t="s">
        <v>57</v>
      </c>
      <c r="B14" s="1" t="s">
        <v>9</v>
      </c>
      <c r="C14" s="5"/>
      <c r="D14" s="1" t="s">
        <v>10</v>
      </c>
      <c r="E14" s="6"/>
      <c r="F14" s="5">
        <v>3088000</v>
      </c>
      <c r="I14" s="44">
        <v>6439000</v>
      </c>
    </row>
    <row r="15" spans="1:13" x14ac:dyDescent="0.2">
      <c r="A15" t="s">
        <v>58</v>
      </c>
      <c r="B15" s="1" t="s">
        <v>9</v>
      </c>
      <c r="C15" s="5"/>
      <c r="D15" s="1" t="s">
        <v>10</v>
      </c>
      <c r="E15" s="6"/>
      <c r="F15" s="5">
        <v>12630000</v>
      </c>
      <c r="I15" s="44">
        <f>F15</f>
        <v>12630000</v>
      </c>
    </row>
    <row r="16" spans="1:13" x14ac:dyDescent="0.2">
      <c r="A16" s="25" t="s">
        <v>83</v>
      </c>
      <c r="B16" s="1"/>
      <c r="C16" s="5"/>
      <c r="D16" s="1"/>
      <c r="E16" s="6"/>
      <c r="I16" s="61"/>
      <c r="J16" s="23"/>
      <c r="K16" s="23"/>
      <c r="L16" s="23"/>
      <c r="M16" s="95"/>
    </row>
    <row r="17" spans="1:7" x14ac:dyDescent="0.2">
      <c r="B17" s="1"/>
      <c r="C17" s="5"/>
      <c r="D17" s="1"/>
      <c r="E17" s="6"/>
    </row>
    <row r="18" spans="1:7" x14ac:dyDescent="0.2">
      <c r="A18" s="25" t="s">
        <v>230</v>
      </c>
      <c r="B18" s="1"/>
      <c r="C18" s="5"/>
      <c r="D18" s="1"/>
      <c r="E18" s="6"/>
    </row>
    <row r="19" spans="1:7" x14ac:dyDescent="0.2">
      <c r="A19" t="s">
        <v>236</v>
      </c>
      <c r="B19" s="1" t="s">
        <v>231</v>
      </c>
      <c r="C19" s="51">
        <v>5523900</v>
      </c>
      <c r="D19" t="s">
        <v>235</v>
      </c>
      <c r="E19" s="71">
        <v>92.677999999999997</v>
      </c>
    </row>
    <row r="20" spans="1:7" x14ac:dyDescent="0.2">
      <c r="A20" s="83" t="s">
        <v>237</v>
      </c>
      <c r="B20" s="1" t="s">
        <v>232</v>
      </c>
      <c r="C20" s="51">
        <v>5523900</v>
      </c>
      <c r="D20" t="s">
        <v>234</v>
      </c>
      <c r="E20" s="72">
        <v>34.875</v>
      </c>
    </row>
    <row r="21" spans="1:7" x14ac:dyDescent="0.2">
      <c r="B21" s="1" t="s">
        <v>9</v>
      </c>
      <c r="C21" s="51">
        <v>5523900</v>
      </c>
      <c r="D21" t="s">
        <v>234</v>
      </c>
      <c r="E21" s="72">
        <v>44.875</v>
      </c>
    </row>
    <row r="22" spans="1:7" x14ac:dyDescent="0.2">
      <c r="C22" s="44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t="s">
        <v>265</v>
      </c>
      <c r="B25" s="83">
        <v>111.8633</v>
      </c>
      <c r="C25" t="s">
        <v>289</v>
      </c>
      <c r="D25" s="1"/>
      <c r="E25" s="6"/>
      <c r="F25" s="5"/>
      <c r="G25" s="14"/>
    </row>
    <row r="26" spans="1:7" x14ac:dyDescent="0.2">
      <c r="A26" t="s">
        <v>148</v>
      </c>
      <c r="B26" s="83">
        <v>78.875</v>
      </c>
      <c r="C26" s="14"/>
      <c r="D26" s="1"/>
      <c r="E26" s="6"/>
      <c r="F26" s="5"/>
      <c r="G26" s="14"/>
    </row>
    <row r="27" spans="1:7" x14ac:dyDescent="0.2">
      <c r="A27" s="15"/>
      <c r="B27" s="94"/>
      <c r="C27" s="14"/>
      <c r="D27" s="1"/>
      <c r="E27" s="6"/>
      <c r="F27" s="5"/>
      <c r="G27" s="14"/>
    </row>
    <row r="28" spans="1:7" x14ac:dyDescent="0.2">
      <c r="A28" t="s">
        <v>266</v>
      </c>
      <c r="B28" s="83">
        <v>91.02</v>
      </c>
      <c r="C28" t="s">
        <v>290</v>
      </c>
      <c r="D28" s="1"/>
      <c r="E28" s="6"/>
      <c r="F28" s="5"/>
      <c r="G28" s="14"/>
    </row>
    <row r="29" spans="1:7" x14ac:dyDescent="0.2">
      <c r="A29" t="s">
        <v>148</v>
      </c>
      <c r="B29" s="83">
        <v>61.48</v>
      </c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K19"/>
  <sheetViews>
    <sheetView workbookViewId="0">
      <selection activeCell="A4" sqref="A4"/>
    </sheetView>
  </sheetViews>
  <sheetFormatPr defaultRowHeight="10.199999999999999" x14ac:dyDescent="0.2"/>
  <cols>
    <col min="1" max="1" width="20.85546875" bestFit="1" customWidth="1"/>
    <col min="3" max="3" width="13" bestFit="1" customWidth="1"/>
    <col min="5" max="5" width="15" bestFit="1" customWidth="1"/>
    <col min="6" max="6" width="12.42578125" bestFit="1" customWidth="1"/>
    <col min="7" max="7" width="12.85546875" bestFit="1" customWidth="1"/>
    <col min="8" max="8" width="10.42578125" bestFit="1" customWidth="1"/>
    <col min="11" max="11" width="13" bestFit="1" customWidth="1"/>
  </cols>
  <sheetData>
    <row r="2" spans="1:11" ht="40.200000000000003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108</v>
      </c>
    </row>
    <row r="3" spans="1:11" s="21" customFormat="1" x14ac:dyDescent="0.2">
      <c r="A3" s="17" t="s">
        <v>176</v>
      </c>
      <c r="B3" s="18" t="s">
        <v>59</v>
      </c>
      <c r="C3" s="19">
        <v>24117800</v>
      </c>
      <c r="D3" s="20"/>
      <c r="E3" s="22"/>
      <c r="F3" s="114">
        <v>3.4</v>
      </c>
      <c r="G3" s="17"/>
      <c r="K3" s="84"/>
    </row>
    <row r="4" spans="1:11" x14ac:dyDescent="0.2">
      <c r="A4" t="s">
        <v>2</v>
      </c>
      <c r="B4" s="1"/>
      <c r="C4" s="5"/>
      <c r="D4" s="5"/>
      <c r="E4" s="6"/>
      <c r="F4" s="26"/>
      <c r="G4" s="26"/>
    </row>
    <row r="5" spans="1:11" x14ac:dyDescent="0.2">
      <c r="A5" t="s">
        <v>3</v>
      </c>
      <c r="B5" s="1"/>
      <c r="C5" s="5"/>
      <c r="D5" s="5"/>
      <c r="E5" s="6"/>
      <c r="F5" s="26"/>
      <c r="G5" s="26"/>
    </row>
    <row r="6" spans="1:11" ht="13.2" x14ac:dyDescent="0.25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5" t="s">
        <v>201</v>
      </c>
      <c r="B8" s="1"/>
      <c r="C8" s="5"/>
      <c r="D8" s="1"/>
      <c r="E8" s="6"/>
    </row>
    <row r="9" spans="1:11" x14ac:dyDescent="0.2">
      <c r="A9" t="s">
        <v>202</v>
      </c>
      <c r="B9" s="62">
        <v>36916</v>
      </c>
      <c r="F9" t="s">
        <v>371</v>
      </c>
    </row>
    <row r="11" spans="1:11" x14ac:dyDescent="0.2">
      <c r="A11" s="25" t="s">
        <v>203</v>
      </c>
      <c r="B11" s="25" t="s">
        <v>96</v>
      </c>
      <c r="C11" s="25" t="s">
        <v>204</v>
      </c>
      <c r="D11" s="25" t="s">
        <v>205</v>
      </c>
      <c r="E11" s="25" t="s">
        <v>206</v>
      </c>
      <c r="F11" s="25" t="s">
        <v>199</v>
      </c>
      <c r="G11" s="25" t="s">
        <v>207</v>
      </c>
      <c r="H11" s="25" t="s">
        <v>200</v>
      </c>
      <c r="I11" s="25" t="s">
        <v>208</v>
      </c>
      <c r="J11" s="25" t="s">
        <v>209</v>
      </c>
      <c r="K11" s="25" t="s">
        <v>210</v>
      </c>
    </row>
    <row r="12" spans="1:11" x14ac:dyDescent="0.2">
      <c r="A12" s="25" t="s">
        <v>211</v>
      </c>
      <c r="B12" s="102">
        <v>36616</v>
      </c>
      <c r="C12" s="2">
        <v>33832</v>
      </c>
      <c r="D12">
        <v>591</v>
      </c>
      <c r="E12" s="5">
        <f>C12*D12</f>
        <v>19994712</v>
      </c>
      <c r="F12" s="5">
        <v>18023750</v>
      </c>
      <c r="G12" s="51">
        <v>18131081</v>
      </c>
      <c r="H12" s="5">
        <v>1976250</v>
      </c>
      <c r="I12">
        <v>0.15</v>
      </c>
      <c r="J12">
        <v>300</v>
      </c>
      <c r="K12" s="51">
        <v>1998483</v>
      </c>
    </row>
    <row r="13" spans="1:11" x14ac:dyDescent="0.2">
      <c r="A13" s="25" t="s">
        <v>212</v>
      </c>
      <c r="B13" s="102">
        <v>36798</v>
      </c>
      <c r="C13" s="2">
        <v>42291</v>
      </c>
      <c r="D13">
        <v>2150</v>
      </c>
      <c r="E13" s="5">
        <f>C13*D13</f>
        <v>90925650</v>
      </c>
      <c r="F13" s="5">
        <v>86971504</v>
      </c>
      <c r="G13" s="51">
        <v>87527783</v>
      </c>
      <c r="H13" s="5">
        <v>3954146</v>
      </c>
      <c r="I13">
        <v>0.15</v>
      </c>
      <c r="J13">
        <v>118</v>
      </c>
      <c r="K13" s="51">
        <v>4001925</v>
      </c>
    </row>
    <row r="14" spans="1:11" x14ac:dyDescent="0.2">
      <c r="A14" s="25" t="s">
        <v>213</v>
      </c>
      <c r="B14" s="102">
        <v>36766</v>
      </c>
      <c r="C14" s="2">
        <v>13959</v>
      </c>
      <c r="D14">
        <v>2150.6162665711213</v>
      </c>
      <c r="E14" s="5">
        <f>C14*D14</f>
        <v>30020452.46506628</v>
      </c>
      <c r="F14" s="5">
        <v>29111495</v>
      </c>
      <c r="G14" s="51">
        <v>29304116</v>
      </c>
      <c r="H14" s="5">
        <v>900355</v>
      </c>
      <c r="I14">
        <v>0.15</v>
      </c>
      <c r="J14">
        <v>150</v>
      </c>
      <c r="K14" s="51">
        <v>911609</v>
      </c>
    </row>
    <row r="15" spans="1:11" x14ac:dyDescent="0.2">
      <c r="C15">
        <f>SUM(C12:C14)</f>
        <v>90082</v>
      </c>
      <c r="E15" s="5">
        <f>SUM(E12:E14)</f>
        <v>140940814.46506628</v>
      </c>
      <c r="F15" s="5">
        <v>134106749</v>
      </c>
      <c r="G15" s="5">
        <f>SUM(G12:G14)</f>
        <v>134962980</v>
      </c>
      <c r="H15" s="5">
        <v>6830751</v>
      </c>
      <c r="K15" s="5">
        <f>SUM(K12:K14)</f>
        <v>6912017</v>
      </c>
    </row>
    <row r="17" spans="3:6" x14ac:dyDescent="0.2">
      <c r="C17">
        <f>C12*200</f>
        <v>6766400</v>
      </c>
      <c r="F17" s="44"/>
    </row>
    <row r="18" spans="3:6" x14ac:dyDescent="0.2">
      <c r="C18">
        <f>C13*200</f>
        <v>8458200</v>
      </c>
      <c r="F18" s="44"/>
    </row>
    <row r="19" spans="3:6" x14ac:dyDescent="0.2">
      <c r="C19">
        <f>C14*200</f>
        <v>2791800</v>
      </c>
      <c r="F19" s="4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L17"/>
  <sheetViews>
    <sheetView workbookViewId="0">
      <selection activeCell="C16" sqref="C16"/>
    </sheetView>
  </sheetViews>
  <sheetFormatPr defaultRowHeight="10.199999999999999" x14ac:dyDescent="0.2"/>
  <cols>
    <col min="1" max="1" width="20.85546875" bestFit="1" customWidth="1"/>
    <col min="2" max="2" width="8.7109375" bestFit="1" customWidth="1"/>
    <col min="3" max="3" width="11.42578125" bestFit="1" customWidth="1"/>
    <col min="6" max="6" width="13.42578125" bestFit="1" customWidth="1"/>
    <col min="7" max="7" width="8.85546875" bestFit="1" customWidth="1"/>
    <col min="12" max="12" width="13" bestFit="1" customWidth="1"/>
  </cols>
  <sheetData>
    <row r="2" spans="1:12" ht="66.599999999999994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107</v>
      </c>
      <c r="L2" t="s">
        <v>108</v>
      </c>
    </row>
    <row r="3" spans="1:12" x14ac:dyDescent="0.2">
      <c r="A3" t="s">
        <v>19</v>
      </c>
      <c r="B3" s="1" t="s">
        <v>15</v>
      </c>
      <c r="C3" s="88">
        <v>6326045</v>
      </c>
      <c r="D3" s="5"/>
      <c r="E3" s="6"/>
      <c r="F3" s="26"/>
      <c r="G3" s="7"/>
      <c r="L3" s="23"/>
    </row>
    <row r="4" spans="1:12" x14ac:dyDescent="0.2">
      <c r="A4" t="s">
        <v>270</v>
      </c>
      <c r="B4" s="1" t="s">
        <v>15</v>
      </c>
      <c r="C4" s="89">
        <v>4080607</v>
      </c>
      <c r="D4" s="5" t="s">
        <v>283</v>
      </c>
      <c r="E4" s="6"/>
      <c r="F4" s="26"/>
      <c r="G4" s="26"/>
    </row>
    <row r="5" spans="1:12" x14ac:dyDescent="0.2">
      <c r="A5" t="s">
        <v>279</v>
      </c>
      <c r="B5" s="1" t="s">
        <v>15</v>
      </c>
      <c r="C5" s="90">
        <v>3876755</v>
      </c>
      <c r="D5" s="5" t="s">
        <v>283</v>
      </c>
      <c r="E5" s="6"/>
      <c r="F5" s="26"/>
      <c r="G5" s="26"/>
    </row>
    <row r="6" spans="1:12" x14ac:dyDescent="0.2">
      <c r="A6" t="s">
        <v>279</v>
      </c>
      <c r="B6" s="1" t="s">
        <v>15</v>
      </c>
      <c r="C6" s="90">
        <v>7809790</v>
      </c>
      <c r="D6" s="5" t="s">
        <v>283</v>
      </c>
      <c r="E6" s="6"/>
      <c r="F6" s="7"/>
      <c r="G6" s="7"/>
    </row>
    <row r="7" spans="1:12" ht="13.2" x14ac:dyDescent="0.25">
      <c r="A7" s="8"/>
      <c r="B7" s="9"/>
      <c r="C7" s="5"/>
      <c r="D7" s="5"/>
      <c r="E7" s="6"/>
      <c r="F7" s="7"/>
      <c r="G7" s="7"/>
    </row>
    <row r="8" spans="1:12" ht="13.2" x14ac:dyDescent="0.25">
      <c r="A8" s="10" t="s">
        <v>20</v>
      </c>
      <c r="B8" s="9"/>
      <c r="C8" s="5"/>
      <c r="D8" s="5"/>
      <c r="E8" s="6"/>
      <c r="F8" s="7"/>
      <c r="G8" s="7"/>
    </row>
    <row r="9" spans="1:12" ht="13.2" x14ac:dyDescent="0.25">
      <c r="A9" s="8"/>
      <c r="B9" s="9"/>
      <c r="C9" s="5"/>
      <c r="D9" s="5"/>
      <c r="E9" s="6"/>
      <c r="F9" s="7"/>
      <c r="G9" s="7"/>
    </row>
    <row r="10" spans="1:12" ht="13.2" x14ac:dyDescent="0.25">
      <c r="A10" s="63" t="s">
        <v>238</v>
      </c>
      <c r="B10" s="9"/>
      <c r="C10" s="5"/>
      <c r="D10" s="5"/>
      <c r="E10" s="6"/>
      <c r="F10" s="7"/>
      <c r="G10" s="7"/>
    </row>
    <row r="11" spans="1:12" ht="13.2" x14ac:dyDescent="0.25">
      <c r="A11" s="63"/>
      <c r="B11" s="9"/>
      <c r="E11" s="12"/>
    </row>
    <row r="12" spans="1:12" ht="13.2" x14ac:dyDescent="0.25">
      <c r="A12" s="63"/>
      <c r="B12" s="9"/>
      <c r="C12" s="5"/>
      <c r="D12" s="1"/>
      <c r="E12" s="6"/>
    </row>
    <row r="13" spans="1:12" x14ac:dyDescent="0.2">
      <c r="A13" t="s">
        <v>223</v>
      </c>
      <c r="B13" s="83">
        <v>112.41800000000001</v>
      </c>
      <c r="C13" t="s">
        <v>289</v>
      </c>
    </row>
    <row r="14" spans="1:12" x14ac:dyDescent="0.2">
      <c r="A14" t="s">
        <v>224</v>
      </c>
      <c r="B14" s="83">
        <v>83</v>
      </c>
    </row>
    <row r="16" spans="1:12" x14ac:dyDescent="0.2">
      <c r="A16" t="s">
        <v>268</v>
      </c>
      <c r="B16" s="83">
        <v>91.02</v>
      </c>
      <c r="C16" t="s">
        <v>290</v>
      </c>
    </row>
    <row r="17" spans="1:2" x14ac:dyDescent="0.2">
      <c r="A17" t="s">
        <v>224</v>
      </c>
      <c r="B17" s="83">
        <v>61.48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A7" sqref="A7"/>
    </sheetView>
  </sheetViews>
  <sheetFormatPr defaultRowHeight="10.199999999999999" x14ac:dyDescent="0.2"/>
  <cols>
    <col min="2" max="2" width="10.42578125" customWidth="1"/>
    <col min="3" max="3" width="12.140625" customWidth="1"/>
    <col min="4" max="4" width="10.7109375" customWidth="1"/>
    <col min="6" max="6" width="12.140625" customWidth="1"/>
    <col min="8" max="8" width="13.28515625" bestFit="1" customWidth="1"/>
    <col min="9" max="9" width="16.7109375" bestFit="1" customWidth="1"/>
    <col min="10" max="10" width="15.140625" bestFit="1" customWidth="1"/>
  </cols>
  <sheetData>
    <row r="1" spans="1:17" ht="20.399999999999999" x14ac:dyDescent="0.35">
      <c r="F1" s="103" t="s">
        <v>325</v>
      </c>
    </row>
    <row r="3" spans="1:17" ht="21" x14ac:dyDescent="0.4">
      <c r="F3" s="85" t="s">
        <v>122</v>
      </c>
    </row>
    <row r="4" spans="1:17" x14ac:dyDescent="0.2">
      <c r="O4" s="5"/>
      <c r="P4" s="5"/>
      <c r="Q4" s="6"/>
    </row>
    <row r="5" spans="1:17" x14ac:dyDescent="0.2">
      <c r="Q5" s="122"/>
    </row>
    <row r="6" spans="1:17" ht="13.2" x14ac:dyDescent="0.25">
      <c r="I6" s="128" t="s">
        <v>393</v>
      </c>
      <c r="J6" s="5"/>
      <c r="K6" s="5"/>
      <c r="Q6" s="124"/>
    </row>
    <row r="7" spans="1:17" ht="13.2" x14ac:dyDescent="0.25">
      <c r="A7" t="s">
        <v>292</v>
      </c>
      <c r="I7" t="s">
        <v>394</v>
      </c>
      <c r="K7" s="100">
        <v>100</v>
      </c>
      <c r="Q7" s="125"/>
    </row>
    <row r="8" spans="1:17" x14ac:dyDescent="0.2">
      <c r="B8" t="s">
        <v>1</v>
      </c>
      <c r="C8">
        <v>26.44</v>
      </c>
      <c r="I8" t="s">
        <v>385</v>
      </c>
      <c r="K8" s="122">
        <f>K7*EXP((C9-C12)*2)</f>
        <v>103.27018440967844</v>
      </c>
      <c r="Q8" s="41"/>
    </row>
    <row r="9" spans="1:17" x14ac:dyDescent="0.2">
      <c r="B9" t="s">
        <v>293</v>
      </c>
      <c r="C9">
        <v>3.5000000000000003E-2</v>
      </c>
      <c r="I9" t="s">
        <v>386</v>
      </c>
      <c r="K9" s="124">
        <f>K8</f>
        <v>103.27018440967844</v>
      </c>
      <c r="Q9" s="126"/>
    </row>
    <row r="10" spans="1:17" ht="13.2" x14ac:dyDescent="0.25">
      <c r="B10" t="s">
        <v>294</v>
      </c>
      <c r="C10" s="30">
        <f ca="1">(C14-C13)</f>
        <v>527</v>
      </c>
      <c r="D10" t="s">
        <v>307</v>
      </c>
      <c r="E10" t="s">
        <v>308</v>
      </c>
      <c r="F10" s="30">
        <f ca="1">C10/365.25</f>
        <v>1.4428473648186173</v>
      </c>
      <c r="G10" t="s">
        <v>135</v>
      </c>
      <c r="I10" t="s">
        <v>387</v>
      </c>
      <c r="K10" s="129">
        <f>_xll.AMERB(K8,K9,C9,C9,K12,K14,K15,400,K16)</f>
        <v>21.80560540929655</v>
      </c>
      <c r="Q10" s="47"/>
    </row>
    <row r="11" spans="1:17" x14ac:dyDescent="0.2">
      <c r="B11" t="s">
        <v>0</v>
      </c>
      <c r="C11" s="41">
        <v>0.4909</v>
      </c>
      <c r="I11" t="s">
        <v>388</v>
      </c>
      <c r="K11" s="41">
        <f>K10/K7</f>
        <v>0.2180560540929655</v>
      </c>
      <c r="Q11" s="127"/>
    </row>
    <row r="12" spans="1:17" x14ac:dyDescent="0.2">
      <c r="B12" t="s">
        <v>295</v>
      </c>
      <c r="C12">
        <f>0.5/C8</f>
        <v>1.8910741301058999E-2</v>
      </c>
      <c r="I12" t="s">
        <v>0</v>
      </c>
      <c r="K12" s="126">
        <v>0.4</v>
      </c>
      <c r="Q12" s="100"/>
    </row>
    <row r="13" spans="1:17" ht="13.2" x14ac:dyDescent="0.25">
      <c r="B13" s="5" t="s">
        <v>296</v>
      </c>
      <c r="C13" s="96">
        <f ca="1">TODAY()</f>
        <v>37154</v>
      </c>
      <c r="I13" t="s">
        <v>389</v>
      </c>
      <c r="K13" s="30">
        <v>2</v>
      </c>
      <c r="Q13" s="30"/>
    </row>
    <row r="14" spans="1:17" ht="13.2" x14ac:dyDescent="0.25">
      <c r="B14" t="s">
        <v>294</v>
      </c>
      <c r="C14" s="96">
        <v>37681</v>
      </c>
      <c r="I14" t="s">
        <v>390</v>
      </c>
      <c r="K14" s="30">
        <f>K13*365.25</f>
        <v>730.5</v>
      </c>
      <c r="Q14" s="30"/>
    </row>
    <row r="15" spans="1:17" x14ac:dyDescent="0.2">
      <c r="I15" t="s">
        <v>391</v>
      </c>
      <c r="K15">
        <v>0</v>
      </c>
    </row>
    <row r="16" spans="1:17" x14ac:dyDescent="0.2">
      <c r="I16" t="s">
        <v>392</v>
      </c>
      <c r="K16">
        <v>0</v>
      </c>
    </row>
    <row r="18" spans="1:10" x14ac:dyDescent="0.2">
      <c r="A18" s="25" t="s">
        <v>291</v>
      </c>
      <c r="G18" s="1" t="s">
        <v>297</v>
      </c>
      <c r="H18" s="1" t="s">
        <v>298</v>
      </c>
    </row>
    <row r="19" spans="1:10" x14ac:dyDescent="0.2">
      <c r="A19" t="s">
        <v>310</v>
      </c>
      <c r="G19" s="1" t="s">
        <v>299</v>
      </c>
      <c r="H19" s="1" t="s">
        <v>300</v>
      </c>
      <c r="I19" s="1" t="s">
        <v>311</v>
      </c>
    </row>
    <row r="20" spans="1:10" x14ac:dyDescent="0.2">
      <c r="B20" t="s">
        <v>303</v>
      </c>
      <c r="D20" s="97">
        <f>D21</f>
        <v>52.630728822310743</v>
      </c>
      <c r="E20" t="s">
        <v>93</v>
      </c>
      <c r="F20" s="5">
        <f>'Input and Calc'!N11</f>
        <v>3876755</v>
      </c>
      <c r="G20">
        <v>1</v>
      </c>
      <c r="H20" s="98">
        <f ca="1">_xll.EURO($C$8,D20,$C$9,$C$12,$C$11,$C$10,G20,0)</f>
        <v>1.3341217868677653</v>
      </c>
      <c r="I20" s="52">
        <f ca="1">H20*F20</f>
        <v>5172063.3078485429</v>
      </c>
      <c r="J20" s="52"/>
    </row>
    <row r="21" spans="1:10" x14ac:dyDescent="0.2">
      <c r="B21" t="s">
        <v>309</v>
      </c>
      <c r="D21" s="97">
        <f>'Input and Calc'!N21</f>
        <v>52.630728822310743</v>
      </c>
      <c r="E21" t="s">
        <v>93</v>
      </c>
      <c r="F21" s="44">
        <f>F22</f>
        <v>50000000</v>
      </c>
      <c r="G21">
        <v>1</v>
      </c>
      <c r="H21" s="98">
        <f ca="1">-_xll.EURO($C$8,D21,$C$9,$C$12,$C$11,$C$10,G21,0)</f>
        <v>-1.3341217868677653</v>
      </c>
      <c r="I21" s="52">
        <f ca="1">H21*F21</f>
        <v>-66706089.343388267</v>
      </c>
      <c r="J21" s="52"/>
    </row>
    <row r="22" spans="1:10" x14ac:dyDescent="0.2">
      <c r="B22" t="s">
        <v>303</v>
      </c>
      <c r="D22" s="97">
        <f>D23</f>
        <v>50</v>
      </c>
      <c r="E22" t="s">
        <v>93</v>
      </c>
      <c r="F22" s="44">
        <f>'Input and Calc'!N4</f>
        <v>50000000</v>
      </c>
      <c r="G22">
        <v>1</v>
      </c>
      <c r="H22" s="98">
        <f ca="1">_xll.EURO($C$8,D22,$C$9,$C$12,$C$11,$C$10,G22,0)</f>
        <v>1.5439319352505825</v>
      </c>
      <c r="I22" s="116">
        <f ca="1">H22*F22</f>
        <v>77196596.76252912</v>
      </c>
      <c r="J22" s="52"/>
    </row>
    <row r="23" spans="1:10" ht="10.8" thickBot="1" x14ac:dyDescent="0.25">
      <c r="B23" t="s">
        <v>374</v>
      </c>
      <c r="D23" s="97">
        <v>50</v>
      </c>
      <c r="E23" t="s">
        <v>375</v>
      </c>
      <c r="F23" s="44">
        <f>'Input and Calc'!P20</f>
        <v>72500000</v>
      </c>
      <c r="G23">
        <v>1</v>
      </c>
      <c r="H23" s="14">
        <f ca="1">_xll.DIGITAL(F23,$C$8,D23,$C$9,$C$12,$C$11,$C$10,G23,0)</f>
        <v>6257209.4755803486</v>
      </c>
      <c r="I23" s="99">
        <f ca="1">H23</f>
        <v>6257209.4755803486</v>
      </c>
      <c r="J23" s="52"/>
    </row>
    <row r="24" spans="1:10" ht="10.8" thickTop="1" x14ac:dyDescent="0.2">
      <c r="I24" s="52"/>
      <c r="J24" s="52">
        <f ca="1">SUM(I20:I23)</f>
        <v>21919780.202569745</v>
      </c>
    </row>
    <row r="25" spans="1:10" x14ac:dyDescent="0.2">
      <c r="D25" s="97"/>
      <c r="I25" s="52"/>
      <c r="J25" s="52"/>
    </row>
    <row r="26" spans="1:10" x14ac:dyDescent="0.2">
      <c r="A26" s="25" t="s">
        <v>312</v>
      </c>
      <c r="F26" s="35">
        <f>'Input and Calc'!M27</f>
        <v>3739175</v>
      </c>
      <c r="I26" s="5">
        <f>F26*C8</f>
        <v>98863787</v>
      </c>
      <c r="J26" s="5">
        <f>I26</f>
        <v>98863787</v>
      </c>
    </row>
    <row r="28" spans="1:10" x14ac:dyDescent="0.2">
      <c r="A28" s="25" t="s">
        <v>313</v>
      </c>
    </row>
    <row r="29" spans="1:10" x14ac:dyDescent="0.2">
      <c r="B29" t="s">
        <v>309</v>
      </c>
      <c r="D29" s="97">
        <f>'Input and Calc'!M37</f>
        <v>116</v>
      </c>
      <c r="E29" t="s">
        <v>93</v>
      </c>
      <c r="F29" s="44">
        <f>F30</f>
        <v>7615930</v>
      </c>
      <c r="G29">
        <v>1</v>
      </c>
      <c r="H29" s="98">
        <f ca="1">-_xll.EURO($C$8,D29,$C$9,$C$12,$C$11,$C$10,G29,0)</f>
        <v>-6.6940779061800904E-2</v>
      </c>
      <c r="I29" s="52">
        <f ca="1">H29*F29</f>
        <v>-509816.28748014133</v>
      </c>
    </row>
    <row r="30" spans="1:10" ht="10.8" thickBot="1" x14ac:dyDescent="0.25">
      <c r="B30" t="s">
        <v>301</v>
      </c>
      <c r="D30" s="97">
        <f>'Input and Calc'!M38</f>
        <v>81</v>
      </c>
      <c r="E30" t="s">
        <v>93</v>
      </c>
      <c r="F30" s="44">
        <f>'Input and Calc'!M27+'Input and Calc'!N11</f>
        <v>7615930</v>
      </c>
      <c r="G30">
        <v>0</v>
      </c>
      <c r="H30" s="98">
        <f ca="1">_xll.EURO($C$8,D30,$C$9,$C$12,$C$11,$C$10,G30,0)</f>
        <v>51.594453787883822</v>
      </c>
      <c r="I30" s="99">
        <f ca="1">H30*F30</f>
        <v>392939748.43675804</v>
      </c>
    </row>
    <row r="31" spans="1:10" ht="10.8" thickTop="1" x14ac:dyDescent="0.2">
      <c r="I31" s="52"/>
      <c r="J31" s="52">
        <f ca="1">SUM(I29:I30)</f>
        <v>392429932.14927793</v>
      </c>
    </row>
    <row r="33" spans="1:10" x14ac:dyDescent="0.2">
      <c r="A33" s="25" t="s">
        <v>314</v>
      </c>
      <c r="H33" t="s">
        <v>1</v>
      </c>
    </row>
    <row r="34" spans="1:10" x14ac:dyDescent="0.2">
      <c r="B34" t="s">
        <v>315</v>
      </c>
      <c r="C34" s="1" t="s">
        <v>9</v>
      </c>
      <c r="D34" s="30">
        <f>'Raptor 1'!F15</f>
        <v>5.9</v>
      </c>
      <c r="E34" t="s">
        <v>93</v>
      </c>
      <c r="F34" s="44">
        <v>324000</v>
      </c>
      <c r="G34" s="1" t="s">
        <v>10</v>
      </c>
      <c r="H34" s="30"/>
      <c r="I34" s="5">
        <f ca="1">D34*F34*(1+0)^$F$10</f>
        <v>1911600</v>
      </c>
    </row>
    <row r="35" spans="1:10" x14ac:dyDescent="0.2">
      <c r="B35" t="s">
        <v>316</v>
      </c>
      <c r="C35" s="1" t="s">
        <v>9</v>
      </c>
      <c r="D35" s="30">
        <f>'Raptor 1'!F16</f>
        <v>3.45</v>
      </c>
      <c r="E35" t="s">
        <v>93</v>
      </c>
      <c r="F35" s="5">
        <f>1093426-1000</f>
        <v>1092426</v>
      </c>
      <c r="G35" s="1" t="s">
        <v>10</v>
      </c>
      <c r="H35" s="30"/>
      <c r="I35" s="5">
        <f ca="1">D35*F35*(1+0)^$F$10</f>
        <v>3768869.7</v>
      </c>
    </row>
    <row r="36" spans="1:10" x14ac:dyDescent="0.2">
      <c r="B36" t="s">
        <v>317</v>
      </c>
      <c r="C36" s="1" t="s">
        <v>9</v>
      </c>
      <c r="D36" s="30">
        <f>'Raptor 1'!F18</f>
        <v>8</v>
      </c>
      <c r="E36" t="s">
        <v>93</v>
      </c>
      <c r="F36" s="44">
        <v>1342889</v>
      </c>
      <c r="G36" s="1" t="s">
        <v>10</v>
      </c>
      <c r="H36" s="30"/>
      <c r="I36" s="5">
        <f ca="1">D36*F36*(1+0)^$F$10</f>
        <v>10743112</v>
      </c>
    </row>
    <row r="37" spans="1:10" x14ac:dyDescent="0.2">
      <c r="C37" s="1"/>
      <c r="D37" s="44"/>
      <c r="F37" s="44"/>
      <c r="G37" s="1"/>
      <c r="H37" s="30"/>
      <c r="I37" s="5">
        <f ca="1">SUM(I34:I36)</f>
        <v>16423581.699999999</v>
      </c>
      <c r="J37" s="44"/>
    </row>
    <row r="38" spans="1:10" x14ac:dyDescent="0.2">
      <c r="C38" s="1"/>
      <c r="D38" s="44"/>
      <c r="F38" s="44"/>
      <c r="G38" s="1"/>
      <c r="H38" s="30"/>
      <c r="I38" s="5"/>
    </row>
    <row r="39" spans="1:10" x14ac:dyDescent="0.2">
      <c r="A39" s="25" t="s">
        <v>318</v>
      </c>
    </row>
    <row r="40" spans="1:10" x14ac:dyDescent="0.2">
      <c r="B40" t="s">
        <v>8</v>
      </c>
      <c r="D40">
        <v>1</v>
      </c>
      <c r="H40" s="5">
        <f>'Raptor 1'!I67</f>
        <v>108488217.78</v>
      </c>
      <c r="I40" s="5">
        <f>H40</f>
        <v>108488217.78</v>
      </c>
      <c r="J40" s="44"/>
    </row>
    <row r="41" spans="1:10" x14ac:dyDescent="0.2">
      <c r="A41" s="25" t="s">
        <v>182</v>
      </c>
      <c r="I41" s="33"/>
      <c r="J41" s="33"/>
    </row>
    <row r="43" spans="1:10" x14ac:dyDescent="0.2">
      <c r="A43" s="25" t="s">
        <v>8</v>
      </c>
      <c r="I43" s="44"/>
      <c r="J43" s="119">
        <f ca="1">SUM(J24:J41)</f>
        <v>513213499.35184765</v>
      </c>
    </row>
    <row r="46" spans="1:10" ht="21" x14ac:dyDescent="0.4">
      <c r="F46" s="85" t="s">
        <v>123</v>
      </c>
    </row>
    <row r="48" spans="1:10" ht="13.2" x14ac:dyDescent="0.25">
      <c r="B48" s="101" t="s">
        <v>189</v>
      </c>
      <c r="C48" s="96">
        <f>C14</f>
        <v>37681</v>
      </c>
      <c r="E48" t="s">
        <v>384</v>
      </c>
      <c r="F48" s="121">
        <v>38412</v>
      </c>
      <c r="G48" t="s">
        <v>307</v>
      </c>
      <c r="H48" s="123">
        <f ca="1">F48-C13</f>
        <v>1258</v>
      </c>
    </row>
    <row r="49" spans="1:10" x14ac:dyDescent="0.2">
      <c r="B49" s="101" t="s">
        <v>319</v>
      </c>
      <c r="C49" s="30">
        <f ca="1">(C48-$C$13)</f>
        <v>527</v>
      </c>
      <c r="D49" t="s">
        <v>307</v>
      </c>
      <c r="E49" t="s">
        <v>308</v>
      </c>
      <c r="F49" s="30">
        <f ca="1">C49/365.25</f>
        <v>1.4428473648186173</v>
      </c>
      <c r="G49" t="s">
        <v>135</v>
      </c>
    </row>
    <row r="51" spans="1:10" x14ac:dyDescent="0.2">
      <c r="A51" s="25" t="s">
        <v>291</v>
      </c>
      <c r="G51" s="1" t="s">
        <v>297</v>
      </c>
      <c r="H51" s="1" t="s">
        <v>298</v>
      </c>
    </row>
    <row r="52" spans="1:10" x14ac:dyDescent="0.2">
      <c r="A52" t="s">
        <v>310</v>
      </c>
      <c r="G52" s="1" t="s">
        <v>299</v>
      </c>
      <c r="H52" s="1" t="s">
        <v>300</v>
      </c>
      <c r="I52" s="1" t="s">
        <v>311</v>
      </c>
    </row>
    <row r="53" spans="1:10" x14ac:dyDescent="0.2">
      <c r="B53" t="s">
        <v>303</v>
      </c>
      <c r="D53" s="97">
        <f>D54</f>
        <v>63.358942700416861</v>
      </c>
      <c r="E53" t="s">
        <v>93</v>
      </c>
      <c r="F53" s="5">
        <f>'Input and Calc'!N12</f>
        <v>7809790</v>
      </c>
      <c r="G53">
        <v>1</v>
      </c>
      <c r="H53" s="98">
        <f ca="1">_xll.EURO($C$8,D53,$C$9,$C$12,$C$11,$C$10,G53,0)</f>
        <v>0.75057129866330685</v>
      </c>
      <c r="I53" s="52">
        <f ca="1">H53*F53</f>
        <v>5861804.2225877075</v>
      </c>
    </row>
    <row r="54" spans="1:10" x14ac:dyDescent="0.2">
      <c r="B54" t="s">
        <v>309</v>
      </c>
      <c r="D54" s="97">
        <f>'Input and Calc'!N22</f>
        <v>63.358942700416861</v>
      </c>
      <c r="E54" t="s">
        <v>93</v>
      </c>
      <c r="F54" s="44">
        <f>F55</f>
        <v>46123245</v>
      </c>
      <c r="G54">
        <v>1</v>
      </c>
      <c r="H54" s="98">
        <f ca="1">-_xll.EURO($C$8,D54,$C$9,$C$12,$C$11,$C$10,G54,0)</f>
        <v>-0.75057129866330685</v>
      </c>
      <c r="I54" s="52">
        <f ca="1">H54*F54</f>
        <v>-34618783.898215875</v>
      </c>
    </row>
    <row r="55" spans="1:10" ht="10.8" thickBot="1" x14ac:dyDescent="0.25">
      <c r="B55" t="s">
        <v>303</v>
      </c>
      <c r="D55" s="97">
        <f>'Input and Calc'!N21</f>
        <v>52.630728822310743</v>
      </c>
      <c r="E55" t="s">
        <v>93</v>
      </c>
      <c r="F55" s="44">
        <f>F22-F20</f>
        <v>46123245</v>
      </c>
      <c r="G55">
        <v>1</v>
      </c>
      <c r="H55" s="98">
        <f ca="1">_xll.EURO($C$8,D55,$C$9,$C$12,$C$11,$C$10,G55,0)</f>
        <v>1.3341217868677653</v>
      </c>
      <c r="I55" s="99">
        <f ca="1">H55*F55</f>
        <v>61534026.035539724</v>
      </c>
    </row>
    <row r="56" spans="1:10" ht="10.8" thickTop="1" x14ac:dyDescent="0.2">
      <c r="I56" s="52"/>
      <c r="J56" s="52">
        <f ca="1">SUM(I53:I55)</f>
        <v>32777046.359911557</v>
      </c>
    </row>
    <row r="57" spans="1:10" x14ac:dyDescent="0.2">
      <c r="I57" s="52"/>
    </row>
    <row r="58" spans="1:10" x14ac:dyDescent="0.2">
      <c r="A58" s="25" t="s">
        <v>320</v>
      </c>
    </row>
    <row r="59" spans="1:10" x14ac:dyDescent="0.2">
      <c r="B59" t="s">
        <v>309</v>
      </c>
      <c r="D59" s="97">
        <f>'Input and Calc'!M39</f>
        <v>111.8633</v>
      </c>
      <c r="E59" t="s">
        <v>93</v>
      </c>
      <c r="F59" s="44">
        <f>F60</f>
        <v>7809790</v>
      </c>
      <c r="G59">
        <v>1</v>
      </c>
      <c r="H59" s="98">
        <f ca="1">-_xll.EURO($C$8,D59,$C$9,$C$12,$C$11,$C$10,G59,0)</f>
        <v>-7.9315074243401895E-2</v>
      </c>
      <c r="I59" s="52">
        <f ca="1">H59*F59</f>
        <v>-619434.07367537764</v>
      </c>
    </row>
    <row r="60" spans="1:10" ht="10.8" thickBot="1" x14ac:dyDescent="0.25">
      <c r="B60" t="s">
        <v>301</v>
      </c>
      <c r="D60" s="97">
        <f>'Input and Calc'!M40</f>
        <v>78.875</v>
      </c>
      <c r="E60" t="s">
        <v>93</v>
      </c>
      <c r="F60" s="44">
        <f>F53</f>
        <v>7809790</v>
      </c>
      <c r="G60">
        <v>0</v>
      </c>
      <c r="H60" s="98">
        <f ca="1">_xll.EURO($C$8,D60,$C$9,$C$12,$C$11,$C$10,G60,0)</f>
        <v>49.607485579263582</v>
      </c>
      <c r="I60" s="99">
        <f ca="1">H60*F60</f>
        <v>387424044.80207694</v>
      </c>
    </row>
    <row r="61" spans="1:10" ht="10.8" thickTop="1" x14ac:dyDescent="0.2">
      <c r="I61" s="52"/>
      <c r="J61" s="52">
        <f ca="1">SUM(I59:I60)</f>
        <v>386804610.72840154</v>
      </c>
    </row>
    <row r="62" spans="1:10" x14ac:dyDescent="0.2">
      <c r="A62" s="25" t="s">
        <v>321</v>
      </c>
    </row>
    <row r="63" spans="1:10" x14ac:dyDescent="0.2">
      <c r="B63" t="s">
        <v>309</v>
      </c>
      <c r="D63" s="97">
        <f>'Input and Calc'!Q39</f>
        <v>91.02</v>
      </c>
      <c r="E63" t="s">
        <v>93</v>
      </c>
      <c r="F63" s="44">
        <f>F64</f>
        <v>7919393</v>
      </c>
      <c r="G63">
        <v>1</v>
      </c>
      <c r="H63" s="98">
        <f ca="1">-_xll.EURO($C$8,D63,$C$9,$C$12,$C$11,H48,G63,0)</f>
        <v>-1.7409494923981379</v>
      </c>
      <c r="I63" s="52">
        <f ca="1">H63*F63</f>
        <v>-13787263.223451367</v>
      </c>
    </row>
    <row r="64" spans="1:10" ht="10.8" thickBot="1" x14ac:dyDescent="0.25">
      <c r="B64" t="s">
        <v>301</v>
      </c>
      <c r="D64" s="97">
        <f>'Input and Calc'!Q40</f>
        <v>61.48</v>
      </c>
      <c r="E64" t="s">
        <v>93</v>
      </c>
      <c r="F64" s="44">
        <f>F67</f>
        <v>7919393</v>
      </c>
      <c r="G64">
        <v>0</v>
      </c>
      <c r="H64" s="98">
        <f ca="1">_xll.EURO($C$8,D64,$C$9,$C$12,$C$11,H48,G64,0)</f>
        <v>33.088754157697707</v>
      </c>
      <c r="I64" s="99">
        <f ca="1">H64*F64</f>
        <v>262042848.05519211</v>
      </c>
    </row>
    <row r="65" spans="1:10" ht="10.8" thickTop="1" x14ac:dyDescent="0.2">
      <c r="C65" s="1"/>
      <c r="D65" s="30"/>
      <c r="F65" s="5"/>
      <c r="G65" s="1"/>
      <c r="H65" s="30"/>
      <c r="I65" s="5"/>
      <c r="J65" s="52">
        <f ca="1">SUM(I63:I64)</f>
        <v>248255584.83174074</v>
      </c>
    </row>
    <row r="66" spans="1:10" x14ac:dyDescent="0.2">
      <c r="C66" s="1"/>
      <c r="D66" s="30"/>
      <c r="F66" s="44"/>
      <c r="G66" s="1"/>
      <c r="H66" s="30"/>
      <c r="I66" s="5"/>
    </row>
    <row r="67" spans="1:10" x14ac:dyDescent="0.2">
      <c r="A67" s="25" t="s">
        <v>322</v>
      </c>
      <c r="F67" s="35">
        <f>'Input and Calc'!M28</f>
        <v>7919393</v>
      </c>
      <c r="I67" s="5">
        <f>F67*$C$8*(1-0.266)</f>
        <v>153691343.17528</v>
      </c>
      <c r="J67" s="5"/>
    </row>
    <row r="68" spans="1:10" x14ac:dyDescent="0.2">
      <c r="A68" s="25"/>
      <c r="F68" s="35"/>
      <c r="I68" s="5"/>
      <c r="J68" s="5"/>
    </row>
    <row r="69" spans="1:10" x14ac:dyDescent="0.2">
      <c r="A69" s="25" t="s">
        <v>376</v>
      </c>
      <c r="C69" s="1"/>
      <c r="D69" s="44"/>
      <c r="F69" s="44"/>
      <c r="G69" s="1"/>
      <c r="H69" s="30"/>
      <c r="I69" s="5"/>
    </row>
    <row r="70" spans="1:10" x14ac:dyDescent="0.2">
      <c r="B70" t="s">
        <v>301</v>
      </c>
      <c r="D70" s="97">
        <f>'Input and Calc'!N23</f>
        <v>75.889232669978597</v>
      </c>
      <c r="E70" t="s">
        <v>93</v>
      </c>
      <c r="F70" s="44">
        <f>'Input and Calc'!N4-SUM('Input and Calc'!N11:N14)</f>
        <v>31987410</v>
      </c>
      <c r="G70">
        <v>0</v>
      </c>
      <c r="H70" s="98">
        <f ca="1">_xll.EURO($C$8,D70,$C$9,$C$12,$C$11,$C$10,G70,0)</f>
        <v>46.822519522755599</v>
      </c>
      <c r="I70" s="52">
        <f ca="1">H70*F70</f>
        <v>1497731129.2073877</v>
      </c>
    </row>
    <row r="71" spans="1:10" x14ac:dyDescent="0.2">
      <c r="B71" t="s">
        <v>302</v>
      </c>
      <c r="D71" s="97">
        <f>D72</f>
        <v>63.358942700416861</v>
      </c>
      <c r="E71" t="s">
        <v>93</v>
      </c>
      <c r="F71" s="44">
        <f>F70</f>
        <v>31987410</v>
      </c>
      <c r="G71">
        <v>0</v>
      </c>
      <c r="H71" s="98">
        <f ca="1">-_xll.EURO($C$8,D71,$C$9,$C$12,$C$11,$C$10,G71,0)</f>
        <v>-35.261026057989262</v>
      </c>
      <c r="I71" s="52">
        <f ca="1">H71*F71</f>
        <v>-1127908897.5375862</v>
      </c>
    </row>
    <row r="72" spans="1:10" ht="10.8" thickBot="1" x14ac:dyDescent="0.25">
      <c r="B72" t="s">
        <v>302</v>
      </c>
      <c r="D72" s="97">
        <f>'Input and Calc'!N22</f>
        <v>63.358942700416861</v>
      </c>
      <c r="E72" t="s">
        <v>93</v>
      </c>
      <c r="F72" s="44">
        <f>'Input and Calc'!N14</f>
        <v>6326045</v>
      </c>
      <c r="G72">
        <v>0</v>
      </c>
      <c r="H72" s="98">
        <f ca="1">-_xll.EURO($C$8,D72,$C$9,$C$12,$C$11,$C$10,G72,0)</f>
        <v>-35.261026057989262</v>
      </c>
      <c r="I72" s="99">
        <f ca="1">H72*F72</f>
        <v>-223062837.58901268</v>
      </c>
    </row>
    <row r="73" spans="1:10" ht="10.8" thickTop="1" x14ac:dyDescent="0.2">
      <c r="F73" s="44"/>
      <c r="I73" s="52"/>
      <c r="J73" s="52">
        <f ca="1">SUM(I70:I72)*(1-0.266)</f>
        <v>107721395.25529897</v>
      </c>
    </row>
    <row r="74" spans="1:10" x14ac:dyDescent="0.2">
      <c r="H74" s="5"/>
      <c r="I74" s="5"/>
    </row>
    <row r="75" spans="1:10" x14ac:dyDescent="0.2">
      <c r="A75" s="25" t="s">
        <v>182</v>
      </c>
      <c r="I75" s="33"/>
      <c r="J75" s="33"/>
    </row>
    <row r="77" spans="1:10" x14ac:dyDescent="0.2">
      <c r="A77" s="25" t="s">
        <v>8</v>
      </c>
      <c r="I77" s="44"/>
      <c r="J77" s="120">
        <f ca="1">SUM(J56:J75)</f>
        <v>775558637.17535281</v>
      </c>
    </row>
    <row r="79" spans="1:10" ht="21" x14ac:dyDescent="0.4">
      <c r="F79" s="85" t="s">
        <v>125</v>
      </c>
    </row>
    <row r="81" spans="1:10" ht="13.2" x14ac:dyDescent="0.25">
      <c r="B81" s="101" t="s">
        <v>189</v>
      </c>
      <c r="C81" s="96">
        <f>+C48</f>
        <v>37681</v>
      </c>
      <c r="E81" t="s">
        <v>384</v>
      </c>
      <c r="F81" s="121">
        <v>38412</v>
      </c>
      <c r="G81" t="s">
        <v>307</v>
      </c>
      <c r="H81" s="123">
        <f ca="1">+F81-C13</f>
        <v>1258</v>
      </c>
    </row>
    <row r="82" spans="1:10" x14ac:dyDescent="0.2">
      <c r="B82" s="101" t="s">
        <v>319</v>
      </c>
      <c r="C82" s="30">
        <f ca="1">(C81-$C$13)</f>
        <v>527</v>
      </c>
      <c r="D82" t="s">
        <v>307</v>
      </c>
      <c r="E82" t="s">
        <v>308</v>
      </c>
      <c r="F82" s="30">
        <f ca="1">C82/365.25</f>
        <v>1.4428473648186173</v>
      </c>
      <c r="G82" t="s">
        <v>135</v>
      </c>
    </row>
    <row r="84" spans="1:10" x14ac:dyDescent="0.2">
      <c r="A84" s="25" t="s">
        <v>291</v>
      </c>
      <c r="G84" s="1" t="s">
        <v>297</v>
      </c>
      <c r="H84" s="1" t="s">
        <v>298</v>
      </c>
    </row>
    <row r="85" spans="1:10" x14ac:dyDescent="0.2">
      <c r="A85" t="s">
        <v>310</v>
      </c>
      <c r="G85" s="1" t="s">
        <v>299</v>
      </c>
      <c r="H85" s="1" t="s">
        <v>300</v>
      </c>
      <c r="I85" s="1" t="s">
        <v>311</v>
      </c>
    </row>
    <row r="86" spans="1:10" x14ac:dyDescent="0.2">
      <c r="B86" t="s">
        <v>303</v>
      </c>
      <c r="D86" s="97">
        <f>D87</f>
        <v>75.889232669978597</v>
      </c>
      <c r="E86" t="s">
        <v>93</v>
      </c>
      <c r="F86" s="5">
        <f>'Input and Calc'!N14</f>
        <v>6326045</v>
      </c>
      <c r="G86">
        <v>1</v>
      </c>
      <c r="H86" s="98">
        <f ca="1">_xll.EURO($C$8,D86,$C$9,$C$12,$C$11,$C$10,G86,0)</f>
        <v>0.39883827038649966</v>
      </c>
      <c r="I86" s="52">
        <f ca="1">H86*F86</f>
        <v>2523068.8461871641</v>
      </c>
    </row>
    <row r="87" spans="1:10" x14ac:dyDescent="0.2">
      <c r="B87" t="s">
        <v>309</v>
      </c>
      <c r="D87" s="97">
        <f>'Input and Calc'!N23</f>
        <v>75.889232669978597</v>
      </c>
      <c r="E87" t="s">
        <v>93</v>
      </c>
      <c r="F87" s="44">
        <f>F88</f>
        <v>38313455</v>
      </c>
      <c r="G87">
        <v>1</v>
      </c>
      <c r="H87" s="98">
        <f ca="1">-_xll.EURO($C$8,D87,$C$9,$C$12,$C$11,$C$10,G87,0)</f>
        <v>-0.39883827038649966</v>
      </c>
      <c r="I87" s="52">
        <f ca="1">H87*F87</f>
        <v>-15280872.124730987</v>
      </c>
    </row>
    <row r="88" spans="1:10" ht="10.8" thickBot="1" x14ac:dyDescent="0.25">
      <c r="B88" t="s">
        <v>303</v>
      </c>
      <c r="D88" s="97">
        <f>'Input and Calc'!N22</f>
        <v>63.358942700416861</v>
      </c>
      <c r="E88" t="s">
        <v>93</v>
      </c>
      <c r="F88" s="44">
        <f>F54-F53</f>
        <v>38313455</v>
      </c>
      <c r="G88">
        <v>1</v>
      </c>
      <c r="H88" s="98">
        <f ca="1">_xll.EURO($C$8,D88,$C$9,$C$12,$C$11,$C$10,G88,0)</f>
        <v>0.75057129866330685</v>
      </c>
      <c r="I88" s="99">
        <f ca="1">H88*F88</f>
        <v>28756979.675628167</v>
      </c>
    </row>
    <row r="89" spans="1:10" ht="10.8" thickTop="1" x14ac:dyDescent="0.2">
      <c r="I89" s="52"/>
      <c r="J89" s="52">
        <f ca="1">SUM(I86:I88)</f>
        <v>15999176.397084344</v>
      </c>
    </row>
    <row r="90" spans="1:10" x14ac:dyDescent="0.2">
      <c r="I90" s="52"/>
    </row>
    <row r="91" spans="1:10" x14ac:dyDescent="0.2">
      <c r="A91" s="25" t="s">
        <v>320</v>
      </c>
    </row>
    <row r="92" spans="1:10" x14ac:dyDescent="0.2">
      <c r="B92" t="s">
        <v>309</v>
      </c>
      <c r="D92" s="97">
        <f>'Input and Calc'!O39</f>
        <v>112.41800000000001</v>
      </c>
      <c r="E92" t="s">
        <v>93</v>
      </c>
      <c r="F92" s="44">
        <f>F93</f>
        <v>6326045</v>
      </c>
      <c r="G92">
        <v>1</v>
      </c>
      <c r="H92" s="98">
        <f ca="1">-_xll.EURO($C$8,D92,$C$9,$C$12,$C$11,$C$10,G92,0)</f>
        <v>-7.751814918488048E-2</v>
      </c>
      <c r="I92" s="52">
        <f ca="1">H92*F92</f>
        <v>-490383.30006026721</v>
      </c>
    </row>
    <row r="93" spans="1:10" ht="10.8" thickBot="1" x14ac:dyDescent="0.25">
      <c r="B93" t="s">
        <v>301</v>
      </c>
      <c r="D93" s="97">
        <f>'Input and Calc'!O40</f>
        <v>83</v>
      </c>
      <c r="E93" t="s">
        <v>93</v>
      </c>
      <c r="F93" s="44">
        <f>F86</f>
        <v>6326045</v>
      </c>
      <c r="G93">
        <v>0</v>
      </c>
      <c r="H93" s="98">
        <f ca="1">_xll.EURO($C$8,D93,$C$9,$C$12,$C$11,$C$10,G93,0)</f>
        <v>53.467772014437543</v>
      </c>
      <c r="I93" s="99">
        <f ca="1">H93*F93</f>
        <v>338239531.81307256</v>
      </c>
    </row>
    <row r="94" spans="1:10" ht="10.8" thickTop="1" x14ac:dyDescent="0.2">
      <c r="I94" s="52"/>
      <c r="J94" s="52">
        <f ca="1">SUM(I92:I93)</f>
        <v>337749148.51301229</v>
      </c>
    </row>
    <row r="95" spans="1:10" x14ac:dyDescent="0.2">
      <c r="A95" s="25" t="s">
        <v>321</v>
      </c>
    </row>
    <row r="96" spans="1:10" x14ac:dyDescent="0.2">
      <c r="B96" t="s">
        <v>309</v>
      </c>
      <c r="D96" s="97">
        <f>'Input and Calc'!S39</f>
        <v>91.02</v>
      </c>
      <c r="E96" t="s">
        <v>93</v>
      </c>
      <c r="F96" s="44">
        <f>F97</f>
        <v>4080607</v>
      </c>
      <c r="G96">
        <v>1</v>
      </c>
      <c r="H96" s="98">
        <f ca="1">-_xll.EURO($C$8,D96,$C$9,$C$12,$C$11,H81,G96,0)</f>
        <v>-1.7409494923981379</v>
      </c>
      <c r="I96" s="52">
        <f ca="1">H96*F96</f>
        <v>-7104130.6853262885</v>
      </c>
    </row>
    <row r="97" spans="1:10" ht="10.8" thickBot="1" x14ac:dyDescent="0.25">
      <c r="B97" t="s">
        <v>301</v>
      </c>
      <c r="D97" s="97">
        <f>'Input and Calc'!S40</f>
        <v>61.48</v>
      </c>
      <c r="E97" t="s">
        <v>93</v>
      </c>
      <c r="F97" s="44">
        <f>F100</f>
        <v>4080607</v>
      </c>
      <c r="G97">
        <v>0</v>
      </c>
      <c r="H97" s="98">
        <f ca="1">_xll.EURO($C$8,D97,$C$9,$C$12,$C$11,H81,G97,0)</f>
        <v>33.088754157697707</v>
      </c>
      <c r="I97" s="99">
        <f ca="1">H97*F97</f>
        <v>135022201.83718038</v>
      </c>
    </row>
    <row r="98" spans="1:10" ht="10.8" thickTop="1" x14ac:dyDescent="0.2">
      <c r="C98" s="1"/>
      <c r="D98" s="30"/>
      <c r="F98" s="5"/>
      <c r="G98" s="1"/>
      <c r="H98" s="30"/>
      <c r="I98" s="5"/>
      <c r="J98" s="52">
        <f ca="1">SUM(I96:I97)</f>
        <v>127918071.15185408</v>
      </c>
    </row>
    <row r="99" spans="1:10" x14ac:dyDescent="0.2">
      <c r="C99" s="1"/>
      <c r="D99" s="30"/>
      <c r="F99" s="44"/>
      <c r="G99" s="1"/>
      <c r="H99" s="30"/>
      <c r="I99" s="5"/>
    </row>
    <row r="100" spans="1:10" x14ac:dyDescent="0.2">
      <c r="A100" s="25" t="s">
        <v>322</v>
      </c>
      <c r="F100" s="35">
        <f>'Input and Calc'!M29</f>
        <v>4080607</v>
      </c>
      <c r="I100" s="5">
        <f>F100*$C$8*(1-0.266)</f>
        <v>79192176.824719995</v>
      </c>
      <c r="J100" s="5">
        <f ca="1">I100*('Input and Calc'!$B$6+1)^$F$82/(1+$C$9)^$F$82</f>
        <v>86165374.641943797</v>
      </c>
    </row>
    <row r="101" spans="1:10" x14ac:dyDescent="0.2">
      <c r="A101" s="25"/>
      <c r="F101" s="35"/>
      <c r="I101" s="5"/>
      <c r="J101" s="5"/>
    </row>
    <row r="102" spans="1:10" x14ac:dyDescent="0.2">
      <c r="A102" s="25" t="s">
        <v>323</v>
      </c>
      <c r="C102" s="1"/>
      <c r="D102" s="44"/>
      <c r="F102" s="44"/>
      <c r="G102" s="1"/>
      <c r="H102" s="30"/>
      <c r="I102" s="5"/>
    </row>
    <row r="103" spans="1:10" x14ac:dyDescent="0.2">
      <c r="B103" t="s">
        <v>377</v>
      </c>
      <c r="D103" s="97">
        <v>50</v>
      </c>
      <c r="E103" s="5" t="str">
        <f>E23</f>
        <v>$</v>
      </c>
      <c r="F103" s="5">
        <f>F23</f>
        <v>72500000</v>
      </c>
      <c r="G103">
        <v>0</v>
      </c>
      <c r="H103" s="14">
        <f ca="1">_xll.DIGITAL(F103,$C$8,D103,$C$9,$C$12,$C$11,$C$10,G103,0)</f>
        <v>62672473.943057813</v>
      </c>
      <c r="I103" s="52">
        <f ca="1">H103</f>
        <v>62672473.943057813</v>
      </c>
    </row>
    <row r="104" spans="1:10" x14ac:dyDescent="0.2">
      <c r="B104" t="s">
        <v>301</v>
      </c>
      <c r="D104" s="97">
        <f>'Input and Calc'!N21</f>
        <v>52.630728822310743</v>
      </c>
      <c r="E104" t="s">
        <v>93</v>
      </c>
      <c r="F104" s="44">
        <f>'Input and Calc'!N4-'Input and Calc'!N11</f>
        <v>46123245</v>
      </c>
      <c r="G104">
        <v>0</v>
      </c>
      <c r="H104" s="98">
        <f ca="1">_xll.EURO($C$8,D104,$C$9,$C$12,$C$11,$C$10,G104,0)</f>
        <v>25.644681563224133</v>
      </c>
      <c r="I104" s="52">
        <f ca="1">H104*F104</f>
        <v>1182815930.6875696</v>
      </c>
    </row>
    <row r="105" spans="1:10" x14ac:dyDescent="0.2">
      <c r="B105" t="s">
        <v>302</v>
      </c>
      <c r="D105" s="97">
        <v>50</v>
      </c>
      <c r="E105" t="s">
        <v>93</v>
      </c>
      <c r="F105" s="44">
        <f>F104</f>
        <v>46123245</v>
      </c>
      <c r="G105">
        <v>0</v>
      </c>
      <c r="H105" s="98">
        <f ca="1">-_xll.EURO($C$8,D105,$C$9,$C$12,$C$11,$C$10,G105,0)</f>
        <v>-23.353315092542577</v>
      </c>
      <c r="I105" s="52">
        <f ca="1">H105*F105</f>
        <v>-1077130673.5755389</v>
      </c>
      <c r="J105" s="52"/>
    </row>
    <row r="106" spans="1:10" ht="10.8" thickBot="1" x14ac:dyDescent="0.25">
      <c r="B106" t="s">
        <v>302</v>
      </c>
      <c r="D106" s="97">
        <v>50</v>
      </c>
      <c r="E106" t="s">
        <v>93</v>
      </c>
      <c r="F106" s="44">
        <v>3876755</v>
      </c>
      <c r="G106">
        <v>0</v>
      </c>
      <c r="H106" s="98">
        <f ca="1">-_xll.EURO($C$8,D106,$C$9,$C$12,$C$11,$C$10,G106,0)</f>
        <v>-23.353315092542577</v>
      </c>
      <c r="I106" s="99">
        <f ca="1">H106*F106</f>
        <v>-90535081.051589891</v>
      </c>
    </row>
    <row r="107" spans="1:10" ht="10.8" thickTop="1" x14ac:dyDescent="0.2">
      <c r="J107" s="52">
        <f ca="1">SUM(I103:I106)</f>
        <v>77822650.003498629</v>
      </c>
    </row>
    <row r="108" spans="1:10" x14ac:dyDescent="0.2">
      <c r="A108" s="25" t="s">
        <v>324</v>
      </c>
      <c r="J108" s="52"/>
    </row>
    <row r="109" spans="1:10" x14ac:dyDescent="0.2">
      <c r="B109" t="s">
        <v>301</v>
      </c>
      <c r="D109" s="97">
        <f>'Input and Calc'!N22</f>
        <v>63.358942700416861</v>
      </c>
      <c r="E109" t="s">
        <v>93</v>
      </c>
      <c r="F109" s="44">
        <f>'Input and Calc'!N4-SUM('Input and Calc'!N11:N12)</f>
        <v>38313455</v>
      </c>
      <c r="G109">
        <v>0</v>
      </c>
      <c r="H109" s="98">
        <f ca="1">_xll.EURO($C$8,D109,$C$9,$C$12,$C$11,$C$10,G109,0)</f>
        <v>35.261026057989262</v>
      </c>
      <c r="I109" s="52">
        <f ca="1">H109*F109</f>
        <v>1350971735.1265991</v>
      </c>
      <c r="J109" s="52"/>
    </row>
    <row r="110" spans="1:10" x14ac:dyDescent="0.2">
      <c r="B110" t="s">
        <v>302</v>
      </c>
      <c r="D110" s="97">
        <f>D104</f>
        <v>52.630728822310743</v>
      </c>
      <c r="E110" t="s">
        <v>93</v>
      </c>
      <c r="F110" s="44">
        <f>F109</f>
        <v>38313455</v>
      </c>
      <c r="G110">
        <v>0</v>
      </c>
      <c r="H110" s="98">
        <f ca="1">-_xll.EURO($C$8,D110,$C$9,$C$12,$C$11,$C$10,G110,0)</f>
        <v>-25.644681563224133</v>
      </c>
      <c r="I110" s="52">
        <f ca="1">H110*F110</f>
        <v>-982536353.06191742</v>
      </c>
      <c r="J110" s="52"/>
    </row>
    <row r="111" spans="1:10" ht="10.8" thickBot="1" x14ac:dyDescent="0.25">
      <c r="B111" t="s">
        <v>302</v>
      </c>
      <c r="D111" s="97">
        <f>+D110</f>
        <v>52.630728822310743</v>
      </c>
      <c r="E111" t="s">
        <v>93</v>
      </c>
      <c r="F111" s="44">
        <f>'Input and Calc'!N12</f>
        <v>7809790</v>
      </c>
      <c r="G111">
        <v>0</v>
      </c>
      <c r="H111" s="98">
        <f ca="1">-_xll.EURO($C$8,D111,$C$9,$C$12,$C$11,$C$10,G111,0)</f>
        <v>-25.644681563224133</v>
      </c>
      <c r="I111" s="99">
        <f ca="1">H111*F111</f>
        <v>-200279577.62565219</v>
      </c>
      <c r="J111" s="52"/>
    </row>
    <row r="112" spans="1:10" ht="10.8" thickTop="1" x14ac:dyDescent="0.2">
      <c r="J112" s="52">
        <f ca="1">SUM(I109:I111)</f>
        <v>168155804.43902946</v>
      </c>
    </row>
    <row r="113" spans="1:10" x14ac:dyDescent="0.2">
      <c r="J113" s="52"/>
    </row>
    <row r="114" spans="1:10" x14ac:dyDescent="0.2">
      <c r="A114" s="25"/>
      <c r="J114" s="52"/>
    </row>
    <row r="115" spans="1:10" x14ac:dyDescent="0.2">
      <c r="A115" s="25" t="s">
        <v>182</v>
      </c>
      <c r="I115" s="33"/>
      <c r="J115" s="33"/>
    </row>
    <row r="117" spans="1:10" x14ac:dyDescent="0.2">
      <c r="A117" s="25" t="s">
        <v>8</v>
      </c>
      <c r="I117" s="44"/>
      <c r="J117" s="12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86"/>
  <sheetViews>
    <sheetView topLeftCell="A4" workbookViewId="0">
      <selection activeCell="C5" sqref="C5"/>
    </sheetView>
  </sheetViews>
  <sheetFormatPr defaultRowHeight="10.199999999999999" x14ac:dyDescent="0.2"/>
  <cols>
    <col min="1" max="1" width="12.85546875" customWidth="1"/>
    <col min="20" max="20" width="14.28515625" customWidth="1"/>
    <col min="28" max="28" width="13.42578125" customWidth="1"/>
  </cols>
  <sheetData>
    <row r="1" spans="1:49" x14ac:dyDescent="0.2">
      <c r="A1" t="s">
        <v>326</v>
      </c>
      <c r="B1" s="46">
        <v>0.14000000000000001</v>
      </c>
      <c r="D1" t="s">
        <v>16</v>
      </c>
      <c r="E1" t="s">
        <v>14</v>
      </c>
      <c r="F1" t="s">
        <v>21</v>
      </c>
      <c r="G1" t="s">
        <v>22</v>
      </c>
      <c r="H1" t="s">
        <v>222</v>
      </c>
      <c r="I1" t="s">
        <v>327</v>
      </c>
      <c r="J1" t="s">
        <v>176</v>
      </c>
    </row>
    <row r="2" spans="1:49" x14ac:dyDescent="0.2">
      <c r="A2" t="s">
        <v>328</v>
      </c>
      <c r="B2" s="46">
        <v>0.04</v>
      </c>
      <c r="D2" t="s">
        <v>329</v>
      </c>
      <c r="E2">
        <f>AV30</f>
        <v>0.57341637438144255</v>
      </c>
      <c r="F2" s="30">
        <f>X74</f>
        <v>2.2220102511975153</v>
      </c>
      <c r="H2">
        <f>AI30</f>
        <v>0.47653392482642948</v>
      </c>
      <c r="J2">
        <f>S99</f>
        <v>1.4954805334452008</v>
      </c>
    </row>
    <row r="3" spans="1:49" x14ac:dyDescent="0.2">
      <c r="D3" t="s">
        <v>330</v>
      </c>
      <c r="E3" s="41">
        <f>$B$2+($B$1-$B$2)*E2</f>
        <v>9.7341637438144252E-2</v>
      </c>
      <c r="F3" s="41">
        <f>$B$2+($B$1-$B$2)*F2</f>
        <v>0.26220102511975152</v>
      </c>
      <c r="G3" s="41"/>
      <c r="H3" s="41">
        <f>$B$2+($B$1-$B$2)*H2</f>
        <v>8.765339248264295E-2</v>
      </c>
      <c r="I3" s="41"/>
      <c r="J3" s="41">
        <f>$B$2+($B$1-$B$2)*J2</f>
        <v>0.1895480533445201</v>
      </c>
    </row>
    <row r="4" spans="1:49" x14ac:dyDescent="0.2">
      <c r="A4" t="s">
        <v>370</v>
      </c>
      <c r="B4" t="s">
        <v>14</v>
      </c>
      <c r="C4" t="s">
        <v>77</v>
      </c>
      <c r="D4" t="s">
        <v>78</v>
      </c>
      <c r="E4" t="s">
        <v>336</v>
      </c>
      <c r="F4" t="s">
        <v>79</v>
      </c>
      <c r="G4" t="s">
        <v>176</v>
      </c>
      <c r="H4" s="41"/>
      <c r="I4" s="41"/>
      <c r="J4" s="41"/>
    </row>
    <row r="5" spans="1:49" x14ac:dyDescent="0.2">
      <c r="A5" t="s">
        <v>14</v>
      </c>
      <c r="B5" s="30">
        <f>CORREL($AS$16:$AS$771,AS16:AS771)</f>
        <v>0.99999999999999989</v>
      </c>
      <c r="C5" s="30">
        <f>CORREL($AS$16:$AS$282,O16:O282)</f>
        <v>0.15997810412839597</v>
      </c>
      <c r="D5" s="30"/>
      <c r="E5" s="30">
        <f>CORREL($AS$16:$AS$771,AE16:AE771)</f>
        <v>0.20936285396472423</v>
      </c>
      <c r="F5" s="30"/>
      <c r="G5" s="30">
        <f>CORREL($AS$16:$AS$241,K16:K241)</f>
        <v>0.23067113116211294</v>
      </c>
      <c r="H5" s="41"/>
      <c r="I5" s="41"/>
      <c r="J5" s="41"/>
    </row>
    <row r="6" spans="1:49" x14ac:dyDescent="0.2">
      <c r="A6" t="s">
        <v>77</v>
      </c>
      <c r="B6" s="30"/>
      <c r="C6" s="30"/>
      <c r="D6" s="30"/>
      <c r="E6" s="30">
        <f>CORREL($O$16:$O$282,AE16:AE282)</f>
        <v>0.19408185489736654</v>
      </c>
      <c r="F6" s="30"/>
      <c r="G6" s="30">
        <f>CORREL($O$16:$O$241,K16:K241)</f>
        <v>0.34969437506231915</v>
      </c>
      <c r="H6" s="41"/>
      <c r="I6" s="41"/>
      <c r="J6" s="41"/>
    </row>
    <row r="7" spans="1:49" x14ac:dyDescent="0.2">
      <c r="A7" t="s">
        <v>78</v>
      </c>
      <c r="B7" s="30"/>
      <c r="C7" s="30"/>
      <c r="D7" s="30"/>
      <c r="E7" s="30"/>
      <c r="F7" s="30"/>
      <c r="G7" s="30"/>
      <c r="H7" s="41"/>
      <c r="I7" s="41"/>
      <c r="J7" s="41"/>
    </row>
    <row r="8" spans="1:49" x14ac:dyDescent="0.2">
      <c r="A8" t="s">
        <v>336</v>
      </c>
      <c r="B8" s="30"/>
      <c r="C8" s="30"/>
      <c r="D8" s="30"/>
      <c r="E8" s="30"/>
      <c r="F8" s="30"/>
      <c r="G8" s="30">
        <f>CORREL(K16:K241,AE16:AE241)</f>
        <v>0.17428957103361362</v>
      </c>
      <c r="H8" s="41"/>
      <c r="I8" s="41"/>
      <c r="J8" s="41"/>
    </row>
    <row r="9" spans="1:49" x14ac:dyDescent="0.2">
      <c r="A9" t="s">
        <v>79</v>
      </c>
      <c r="B9" s="30"/>
      <c r="C9" s="30"/>
      <c r="D9" s="30"/>
      <c r="E9" s="30"/>
      <c r="F9" s="30"/>
      <c r="G9" s="30"/>
      <c r="H9" s="41"/>
      <c r="I9" s="41"/>
      <c r="J9" s="41"/>
    </row>
    <row r="10" spans="1:49" x14ac:dyDescent="0.2">
      <c r="A10" t="s">
        <v>176</v>
      </c>
      <c r="B10" s="30"/>
      <c r="C10" s="30"/>
      <c r="D10" s="30"/>
      <c r="E10" s="30"/>
      <c r="F10" s="30"/>
      <c r="G10" s="30"/>
      <c r="H10" s="41"/>
      <c r="I10" s="41"/>
      <c r="J10" s="41"/>
    </row>
    <row r="11" spans="1:49" x14ac:dyDescent="0.2">
      <c r="E11" s="41"/>
      <c r="F11" s="41"/>
      <c r="G11" s="41"/>
      <c r="H11" s="41"/>
      <c r="I11" s="41"/>
      <c r="J11" s="41"/>
    </row>
    <row r="12" spans="1:49" x14ac:dyDescent="0.2">
      <c r="E12" s="41"/>
      <c r="F12" s="41"/>
      <c r="G12" s="41"/>
      <c r="H12" s="41"/>
      <c r="I12" s="41"/>
      <c r="J12" s="41"/>
    </row>
    <row r="13" spans="1:49" ht="13.2" x14ac:dyDescent="0.25">
      <c r="B13" s="131" t="s">
        <v>331</v>
      </c>
      <c r="C13" s="131"/>
      <c r="D13" s="131"/>
      <c r="E13" s="131"/>
      <c r="F13" s="131"/>
      <c r="G13" s="131"/>
      <c r="H13" s="132" t="s">
        <v>332</v>
      </c>
      <c r="I13" s="132"/>
      <c r="J13" s="132"/>
      <c r="K13" s="132"/>
      <c r="L13" s="132"/>
      <c r="M13" s="132"/>
      <c r="N13" s="104"/>
      <c r="O13" t="s">
        <v>333</v>
      </c>
      <c r="P13" s="104"/>
      <c r="AB13" t="s">
        <v>334</v>
      </c>
      <c r="AH13" t="s">
        <v>335</v>
      </c>
      <c r="AJ13" t="s">
        <v>336</v>
      </c>
      <c r="AU13" t="s">
        <v>335</v>
      </c>
      <c r="AW13" t="s">
        <v>14</v>
      </c>
    </row>
    <row r="14" spans="1:49" ht="10.8" thickBot="1" x14ac:dyDescent="0.25">
      <c r="A14" t="s">
        <v>337</v>
      </c>
      <c r="B14" t="s">
        <v>315</v>
      </c>
      <c r="C14" t="s">
        <v>317</v>
      </c>
      <c r="D14" t="s">
        <v>316</v>
      </c>
      <c r="E14" t="s">
        <v>176</v>
      </c>
      <c r="F14" t="s">
        <v>336</v>
      </c>
      <c r="G14" t="s">
        <v>338</v>
      </c>
      <c r="H14" t="s">
        <v>315</v>
      </c>
      <c r="I14" t="s">
        <v>317</v>
      </c>
      <c r="J14" t="s">
        <v>316</v>
      </c>
      <c r="K14" t="s">
        <v>176</v>
      </c>
      <c r="M14" t="s">
        <v>338</v>
      </c>
      <c r="O14" t="s">
        <v>339</v>
      </c>
      <c r="R14" t="s">
        <v>335</v>
      </c>
      <c r="T14" t="s">
        <v>315</v>
      </c>
      <c r="AB14" t="s">
        <v>337</v>
      </c>
      <c r="AC14" t="s">
        <v>336</v>
      </c>
      <c r="AD14" t="s">
        <v>338</v>
      </c>
      <c r="AR14" t="s">
        <v>14</v>
      </c>
    </row>
    <row r="15" spans="1:49" ht="13.8" thickBot="1" x14ac:dyDescent="0.3">
      <c r="A15" s="29">
        <v>37132</v>
      </c>
      <c r="B15">
        <v>6.04</v>
      </c>
      <c r="C15">
        <v>7.9</v>
      </c>
      <c r="D15">
        <v>3.5</v>
      </c>
      <c r="E15">
        <v>3.75</v>
      </c>
      <c r="F15">
        <v>26.1</v>
      </c>
      <c r="G15">
        <v>1148.56</v>
      </c>
      <c r="N15">
        <v>0.43736422881969589</v>
      </c>
      <c r="O15">
        <v>0.24927588703837797</v>
      </c>
      <c r="P15">
        <v>0.31335988414192617</v>
      </c>
      <c r="AB15" s="29">
        <v>37132</v>
      </c>
      <c r="AC15">
        <v>26.1</v>
      </c>
      <c r="AD15">
        <v>1148.56</v>
      </c>
      <c r="AH15" s="105" t="s">
        <v>340</v>
      </c>
      <c r="AI15" s="105"/>
      <c r="AR15">
        <v>37.299999999999997</v>
      </c>
      <c r="AU15" s="105" t="s">
        <v>340</v>
      </c>
      <c r="AV15" s="105"/>
    </row>
    <row r="16" spans="1:49" ht="13.2" x14ac:dyDescent="0.25">
      <c r="A16" s="29">
        <v>37131</v>
      </c>
      <c r="B16">
        <v>6.34</v>
      </c>
      <c r="C16">
        <v>8.35</v>
      </c>
      <c r="D16">
        <v>3.69</v>
      </c>
      <c r="E16">
        <v>3.95</v>
      </c>
      <c r="F16">
        <v>26.5</v>
      </c>
      <c r="G16">
        <v>1161.51</v>
      </c>
      <c r="H16">
        <f t="shared" ref="H16:H47" si="0">LN(B15/B16)</f>
        <v>-4.8474756502410898E-2</v>
      </c>
      <c r="I16">
        <f t="shared" ref="I16:K79" si="1">LN(C15/C16)</f>
        <v>-5.5398779389788169E-2</v>
      </c>
      <c r="J16">
        <f t="shared" si="1"/>
        <v>-5.2863489557067767E-2</v>
      </c>
      <c r="K16">
        <f t="shared" si="1"/>
        <v>-5.1959738930711104E-2</v>
      </c>
      <c r="M16">
        <f t="shared" ref="M16:M79" si="2">LN(G15/G16)</f>
        <v>-1.1211898910571217E-2</v>
      </c>
      <c r="O16">
        <f>$N$15*H16+$O$15*I16+$P$15*J16</f>
        <v>-5.1576001331073013E-2</v>
      </c>
      <c r="R16" s="105" t="s">
        <v>340</v>
      </c>
      <c r="S16" s="105"/>
      <c r="AB16" s="29">
        <v>37131</v>
      </c>
      <c r="AC16">
        <v>26.5</v>
      </c>
      <c r="AD16">
        <v>1161.51</v>
      </c>
      <c r="AE16">
        <f>LN(AC15/AC16)</f>
        <v>-1.5209418663528795E-2</v>
      </c>
      <c r="AF16">
        <f t="shared" ref="AF16:AF79" si="3">LN(AD15/AD16)</f>
        <v>-1.1211898910571217E-2</v>
      </c>
      <c r="AH16" s="106" t="s">
        <v>341</v>
      </c>
      <c r="AI16" s="106">
        <v>0.2158894913270431</v>
      </c>
      <c r="AR16">
        <v>38.159999999999997</v>
      </c>
      <c r="AS16">
        <f>LN(AR15/AR16)</f>
        <v>-2.2794519930315896E-2</v>
      </c>
      <c r="AU16" s="106" t="s">
        <v>341</v>
      </c>
      <c r="AV16" s="106">
        <v>0.26500007561615779</v>
      </c>
    </row>
    <row r="17" spans="1:55" x14ac:dyDescent="0.2">
      <c r="A17" s="29">
        <v>37130</v>
      </c>
      <c r="B17">
        <v>6.75</v>
      </c>
      <c r="C17">
        <v>8.75</v>
      </c>
      <c r="D17">
        <v>3.8</v>
      </c>
      <c r="E17">
        <v>4.12</v>
      </c>
      <c r="F17">
        <v>27.14</v>
      </c>
      <c r="G17">
        <v>1179.21</v>
      </c>
      <c r="H17">
        <f t="shared" si="0"/>
        <v>-6.2663736435303916E-2</v>
      </c>
      <c r="I17">
        <f t="shared" si="1"/>
        <v>-4.6792161506758939E-2</v>
      </c>
      <c r="J17">
        <f t="shared" si="1"/>
        <v>-2.9374608679904244E-2</v>
      </c>
      <c r="K17">
        <f t="shared" si="1"/>
        <v>-4.21375844484045E-2</v>
      </c>
      <c r="M17">
        <f t="shared" si="2"/>
        <v>-1.5123839994749332E-2</v>
      </c>
      <c r="O17">
        <f t="shared" ref="O17:O80" si="4">$N$15*H17+$O$15*I17+$P$15*J17</f>
        <v>-4.8275858299676969E-2</v>
      </c>
      <c r="R17" s="106" t="s">
        <v>341</v>
      </c>
      <c r="S17" s="106">
        <v>0.33935888660934266</v>
      </c>
      <c r="AB17" s="29">
        <v>37130</v>
      </c>
      <c r="AC17">
        <v>27.14</v>
      </c>
      <c r="AD17">
        <v>1179.21</v>
      </c>
      <c r="AE17">
        <f t="shared" ref="AE17:AF80" si="5">LN(AC16/AC17)</f>
        <v>-2.3863921414546574E-2</v>
      </c>
      <c r="AF17">
        <f t="shared" si="3"/>
        <v>-1.5123839994749332E-2</v>
      </c>
      <c r="AH17" s="106" t="s">
        <v>342</v>
      </c>
      <c r="AI17" s="106">
        <v>4.6608272465449414E-2</v>
      </c>
      <c r="AR17">
        <v>37.76</v>
      </c>
      <c r="AS17">
        <f t="shared" ref="AS17:AS80" si="6">LN(AR16/AR17)</f>
        <v>1.05375053027857E-2</v>
      </c>
      <c r="AU17" s="106" t="s">
        <v>342</v>
      </c>
      <c r="AV17" s="106">
        <v>7.0225040076569351E-2</v>
      </c>
    </row>
    <row r="18" spans="1:55" x14ac:dyDescent="0.2">
      <c r="A18" s="29">
        <v>37127</v>
      </c>
      <c r="B18">
        <v>6.9</v>
      </c>
      <c r="C18">
        <v>9</v>
      </c>
      <c r="D18">
        <v>4.21</v>
      </c>
      <c r="E18">
        <v>4.5999999999999996</v>
      </c>
      <c r="F18">
        <v>28.33</v>
      </c>
      <c r="G18">
        <v>1184.93</v>
      </c>
      <c r="H18">
        <f t="shared" si="0"/>
        <v>-2.1978906718775341E-2</v>
      </c>
      <c r="I18">
        <f t="shared" si="1"/>
        <v>-2.8170876966696335E-2</v>
      </c>
      <c r="J18">
        <f t="shared" si="1"/>
        <v>-0.10246158096194996</v>
      </c>
      <c r="K18">
        <f t="shared" si="1"/>
        <v>-0.11020314013361424</v>
      </c>
      <c r="M18">
        <f t="shared" si="2"/>
        <v>-4.8389783697115087E-3</v>
      </c>
      <c r="O18">
        <f t="shared" si="4"/>
        <v>-4.8742457071114673E-2</v>
      </c>
      <c r="R18" s="106" t="s">
        <v>342</v>
      </c>
      <c r="S18" s="106">
        <v>0.11516445392073267</v>
      </c>
      <c r="AB18" s="29">
        <v>37127</v>
      </c>
      <c r="AC18">
        <v>28.33</v>
      </c>
      <c r="AD18">
        <v>1184.93</v>
      </c>
      <c r="AE18">
        <f t="shared" si="5"/>
        <v>-4.2912659435701973E-2</v>
      </c>
      <c r="AF18">
        <f t="shared" si="3"/>
        <v>-4.8389783697115087E-3</v>
      </c>
      <c r="AH18" s="106" t="s">
        <v>343</v>
      </c>
      <c r="AI18" s="106">
        <v>4.5697678647364834E-2</v>
      </c>
      <c r="AR18">
        <v>36.35</v>
      </c>
      <c r="AS18">
        <f t="shared" si="6"/>
        <v>3.8056137297771457E-2</v>
      </c>
      <c r="AU18" s="106" t="s">
        <v>343</v>
      </c>
      <c r="AV18" s="106">
        <v>6.8991916787546237E-2</v>
      </c>
    </row>
    <row r="19" spans="1:55" x14ac:dyDescent="0.2">
      <c r="A19" s="29">
        <v>37126</v>
      </c>
      <c r="B19">
        <v>6.9</v>
      </c>
      <c r="C19">
        <v>8.73</v>
      </c>
      <c r="D19">
        <v>4.04</v>
      </c>
      <c r="E19">
        <v>4.9400000000000004</v>
      </c>
      <c r="F19">
        <v>29.24</v>
      </c>
      <c r="G19">
        <v>1162.0899999999999</v>
      </c>
      <c r="H19">
        <f t="shared" si="0"/>
        <v>0</v>
      </c>
      <c r="I19">
        <f t="shared" si="1"/>
        <v>3.0459207484708439E-2</v>
      </c>
      <c r="J19">
        <f t="shared" si="1"/>
        <v>4.1217955721231381E-2</v>
      </c>
      <c r="K19">
        <f t="shared" si="1"/>
        <v>-7.1309027704781924E-2</v>
      </c>
      <c r="M19">
        <f t="shared" si="2"/>
        <v>1.9463593014102953E-2</v>
      </c>
      <c r="O19">
        <f t="shared" si="4"/>
        <v>2.0508799793608805E-2</v>
      </c>
      <c r="R19" s="106" t="s">
        <v>343</v>
      </c>
      <c r="S19" s="106">
        <v>0.11182545186005619</v>
      </c>
      <c r="AB19" s="29">
        <v>37126</v>
      </c>
      <c r="AC19">
        <v>29.24</v>
      </c>
      <c r="AD19">
        <v>1162.0899999999999</v>
      </c>
      <c r="AE19">
        <f t="shared" si="5"/>
        <v>-3.1616321039152573E-2</v>
      </c>
      <c r="AF19">
        <f t="shared" si="3"/>
        <v>1.9463593014102953E-2</v>
      </c>
      <c r="AH19" s="106" t="s">
        <v>344</v>
      </c>
      <c r="AI19" s="106">
        <v>2.7890524835187978E-2</v>
      </c>
      <c r="AR19">
        <v>36.96</v>
      </c>
      <c r="AS19">
        <f t="shared" si="6"/>
        <v>-1.6642042793954998E-2</v>
      </c>
      <c r="AU19" s="106" t="s">
        <v>344</v>
      </c>
      <c r="AV19" s="106">
        <v>2.7683823480735763E-2</v>
      </c>
    </row>
    <row r="20" spans="1:55" ht="10.8" thickBot="1" x14ac:dyDescent="0.25">
      <c r="A20" s="29">
        <v>37125</v>
      </c>
      <c r="B20">
        <v>6.93</v>
      </c>
      <c r="C20">
        <v>8.4</v>
      </c>
      <c r="D20">
        <v>3.78</v>
      </c>
      <c r="E20">
        <v>5</v>
      </c>
      <c r="F20">
        <v>29.4</v>
      </c>
      <c r="G20">
        <v>1165.31</v>
      </c>
      <c r="H20">
        <f t="shared" si="0"/>
        <v>-4.3384015985980188E-3</v>
      </c>
      <c r="I20">
        <f t="shared" si="1"/>
        <v>3.8533664002242986E-2</v>
      </c>
      <c r="J20">
        <f t="shared" si="1"/>
        <v>6.6520682341562429E-2</v>
      </c>
      <c r="K20">
        <f t="shared" si="1"/>
        <v>-1.2072581234269136E-2</v>
      </c>
      <c r="M20">
        <f t="shared" si="2"/>
        <v>-2.7670379431929538E-3</v>
      </c>
      <c r="O20">
        <f t="shared" si="4"/>
        <v>2.8552964917110853E-2</v>
      </c>
      <c r="R20" s="106" t="s">
        <v>344</v>
      </c>
      <c r="S20" s="106">
        <v>7.4499850215618876E-2</v>
      </c>
      <c r="AB20" s="29">
        <v>37125</v>
      </c>
      <c r="AC20">
        <v>29.4</v>
      </c>
      <c r="AD20">
        <v>1165.31</v>
      </c>
      <c r="AE20">
        <f t="shared" si="5"/>
        <v>-5.4570394630582006E-3</v>
      </c>
      <c r="AF20">
        <f t="shared" si="3"/>
        <v>-2.7670379431929538E-3</v>
      </c>
      <c r="AH20" s="107" t="s">
        <v>345</v>
      </c>
      <c r="AI20" s="107">
        <v>1049</v>
      </c>
      <c r="AR20">
        <v>37.26</v>
      </c>
      <c r="AS20">
        <f t="shared" si="6"/>
        <v>-8.084118399958911E-3</v>
      </c>
      <c r="AU20" s="107" t="s">
        <v>345</v>
      </c>
      <c r="AV20" s="107">
        <v>756</v>
      </c>
    </row>
    <row r="21" spans="1:55" ht="10.8" thickBot="1" x14ac:dyDescent="0.25">
      <c r="A21" s="29">
        <v>37124</v>
      </c>
      <c r="B21">
        <v>6.89</v>
      </c>
      <c r="C21">
        <v>9.02</v>
      </c>
      <c r="D21">
        <v>3.65</v>
      </c>
      <c r="E21">
        <v>5</v>
      </c>
      <c r="F21">
        <v>29.99</v>
      </c>
      <c r="G21">
        <v>1157.26</v>
      </c>
      <c r="H21">
        <f t="shared" si="0"/>
        <v>5.7887281762447453E-3</v>
      </c>
      <c r="I21">
        <f t="shared" si="1"/>
        <v>-7.1212628225264224E-2</v>
      </c>
      <c r="J21">
        <f t="shared" si="1"/>
        <v>3.4996842037096153E-2</v>
      </c>
      <c r="K21">
        <f t="shared" si="1"/>
        <v>0</v>
      </c>
      <c r="M21">
        <f t="shared" si="2"/>
        <v>6.932003974315531E-3</v>
      </c>
      <c r="O21">
        <f t="shared" si="4"/>
        <v>-4.253202068459104E-3</v>
      </c>
      <c r="R21" s="107" t="s">
        <v>345</v>
      </c>
      <c r="S21" s="107">
        <v>267</v>
      </c>
      <c r="AB21" s="29">
        <v>37124</v>
      </c>
      <c r="AC21">
        <v>29.99</v>
      </c>
      <c r="AD21">
        <v>1157.26</v>
      </c>
      <c r="AE21">
        <f t="shared" si="5"/>
        <v>-1.9869318416281763E-2</v>
      </c>
      <c r="AF21">
        <f t="shared" si="3"/>
        <v>6.932003974315531E-3</v>
      </c>
      <c r="AR21">
        <v>36.880000000000003</v>
      </c>
      <c r="AS21">
        <f t="shared" si="6"/>
        <v>1.0250966485049138E-2</v>
      </c>
    </row>
    <row r="22" spans="1:55" ht="10.8" thickBot="1" x14ac:dyDescent="0.25">
      <c r="A22" s="29">
        <v>37123</v>
      </c>
      <c r="B22">
        <v>6.36</v>
      </c>
      <c r="C22">
        <v>9.06</v>
      </c>
      <c r="D22">
        <v>3.65</v>
      </c>
      <c r="E22">
        <v>5</v>
      </c>
      <c r="F22">
        <v>30.07</v>
      </c>
      <c r="G22">
        <v>1171.4100000000001</v>
      </c>
      <c r="H22">
        <f t="shared" si="0"/>
        <v>8.0042707673536356E-2</v>
      </c>
      <c r="I22">
        <f t="shared" si="1"/>
        <v>-4.4247859803558066E-3</v>
      </c>
      <c r="J22">
        <f t="shared" si="1"/>
        <v>0</v>
      </c>
      <c r="K22">
        <f t="shared" si="1"/>
        <v>0</v>
      </c>
      <c r="M22">
        <f t="shared" si="2"/>
        <v>-1.2153009363579151E-2</v>
      </c>
      <c r="O22">
        <f t="shared" si="4"/>
        <v>3.3904824664068411E-2</v>
      </c>
      <c r="AB22" s="29">
        <v>37123</v>
      </c>
      <c r="AC22">
        <v>30.07</v>
      </c>
      <c r="AD22">
        <v>1171.4100000000001</v>
      </c>
      <c r="AE22">
        <f t="shared" si="5"/>
        <v>-2.6640042395200312E-3</v>
      </c>
      <c r="AF22">
        <f t="shared" si="3"/>
        <v>-1.2153009363579151E-2</v>
      </c>
      <c r="AH22" t="s">
        <v>346</v>
      </c>
      <c r="AR22">
        <v>36.25</v>
      </c>
      <c r="AS22">
        <f t="shared" si="6"/>
        <v>1.7230017387709354E-2</v>
      </c>
      <c r="AU22" t="s">
        <v>346</v>
      </c>
    </row>
    <row r="23" spans="1:55" ht="13.8" thickBot="1" x14ac:dyDescent="0.3">
      <c r="A23" s="29">
        <v>37120</v>
      </c>
      <c r="B23">
        <v>5.95</v>
      </c>
      <c r="C23">
        <v>9.0500000000000007</v>
      </c>
      <c r="D23">
        <v>3.81</v>
      </c>
      <c r="E23">
        <v>5.2</v>
      </c>
      <c r="F23">
        <v>30.55</v>
      </c>
      <c r="G23">
        <v>1161.97</v>
      </c>
      <c r="H23">
        <f t="shared" si="0"/>
        <v>6.6637157794492363E-2</v>
      </c>
      <c r="I23">
        <f t="shared" si="1"/>
        <v>1.1043623430532275E-3</v>
      </c>
      <c r="J23">
        <f t="shared" si="1"/>
        <v>-4.2902021544209461E-2</v>
      </c>
      <c r="K23">
        <f t="shared" si="1"/>
        <v>-3.9220713153281385E-2</v>
      </c>
      <c r="M23">
        <f t="shared" si="2"/>
        <v>8.0913108901843975E-3</v>
      </c>
      <c r="O23">
        <f t="shared" si="4"/>
        <v>1.5976227531653016E-2</v>
      </c>
      <c r="R23" t="s">
        <v>346</v>
      </c>
      <c r="AB23" s="29">
        <v>37120</v>
      </c>
      <c r="AC23">
        <v>30.55</v>
      </c>
      <c r="AD23">
        <v>1161.97</v>
      </c>
      <c r="AE23">
        <f t="shared" si="5"/>
        <v>-1.5836688617166635E-2</v>
      </c>
      <c r="AF23">
        <f t="shared" si="3"/>
        <v>8.0913108901843975E-3</v>
      </c>
      <c r="AH23" s="108"/>
      <c r="AI23" s="108" t="s">
        <v>347</v>
      </c>
      <c r="AJ23" s="108" t="s">
        <v>348</v>
      </c>
      <c r="AK23" s="108" t="s">
        <v>349</v>
      </c>
      <c r="AL23" s="108" t="s">
        <v>350</v>
      </c>
      <c r="AM23" s="108" t="s">
        <v>351</v>
      </c>
      <c r="AR23">
        <v>36.67</v>
      </c>
      <c r="AS23">
        <f t="shared" si="6"/>
        <v>-1.1519600782550907E-2</v>
      </c>
      <c r="AU23" s="108"/>
      <c r="AV23" s="108" t="s">
        <v>347</v>
      </c>
      <c r="AW23" s="108" t="s">
        <v>348</v>
      </c>
      <c r="AX23" s="108" t="s">
        <v>349</v>
      </c>
      <c r="AY23" s="108" t="s">
        <v>350</v>
      </c>
      <c r="AZ23" s="108" t="s">
        <v>351</v>
      </c>
    </row>
    <row r="24" spans="1:55" ht="13.2" x14ac:dyDescent="0.25">
      <c r="A24" s="29">
        <v>37119</v>
      </c>
      <c r="B24">
        <v>6.06</v>
      </c>
      <c r="C24">
        <v>9.4600000000000009</v>
      </c>
      <c r="D24">
        <v>3.91</v>
      </c>
      <c r="E24">
        <v>5.2</v>
      </c>
      <c r="F24">
        <v>31.01</v>
      </c>
      <c r="G24">
        <v>1181.6600000000001</v>
      </c>
      <c r="H24">
        <f t="shared" si="0"/>
        <v>-1.8318580523684631E-2</v>
      </c>
      <c r="I24">
        <f t="shared" si="1"/>
        <v>-4.4307625351952207E-2</v>
      </c>
      <c r="J24">
        <f t="shared" si="1"/>
        <v>-2.5908184858664803E-2</v>
      </c>
      <c r="K24">
        <f t="shared" si="1"/>
        <v>0</v>
      </c>
      <c r="M24">
        <f t="shared" si="2"/>
        <v>-1.6803389010621714E-2</v>
      </c>
      <c r="O24">
        <f t="shared" si="4"/>
        <v>-2.7175300261623646E-2</v>
      </c>
      <c r="R24" s="108"/>
      <c r="S24" s="108" t="s">
        <v>347</v>
      </c>
      <c r="T24" s="108" t="s">
        <v>348</v>
      </c>
      <c r="U24" s="108" t="s">
        <v>349</v>
      </c>
      <c r="V24" s="108" t="s">
        <v>350</v>
      </c>
      <c r="W24" s="108" t="s">
        <v>351</v>
      </c>
      <c r="AB24" s="29">
        <v>37119</v>
      </c>
      <c r="AC24">
        <v>31.01</v>
      </c>
      <c r="AD24">
        <v>1181.6600000000001</v>
      </c>
      <c r="AE24">
        <f t="shared" si="5"/>
        <v>-1.4945047494753264E-2</v>
      </c>
      <c r="AF24">
        <f t="shared" si="3"/>
        <v>-1.6803389010621714E-2</v>
      </c>
      <c r="AH24" s="106" t="s">
        <v>352</v>
      </c>
      <c r="AI24" s="106">
        <v>1</v>
      </c>
      <c r="AJ24" s="106">
        <v>3.981545490304228E-2</v>
      </c>
      <c r="AK24" s="106">
        <v>3.981545490304228E-2</v>
      </c>
      <c r="AL24" s="106">
        <v>51.184481532599705</v>
      </c>
      <c r="AM24" s="106">
        <v>1.5779999156500701E-12</v>
      </c>
      <c r="AR24">
        <v>36.85</v>
      </c>
      <c r="AS24">
        <f t="shared" si="6"/>
        <v>-4.8966365521109665E-3</v>
      </c>
      <c r="AU24" s="106" t="s">
        <v>352</v>
      </c>
      <c r="AV24" s="106">
        <v>1</v>
      </c>
      <c r="AW24" s="106">
        <v>4.3645315629003201E-2</v>
      </c>
      <c r="AX24" s="106">
        <v>4.3645315629003201E-2</v>
      </c>
      <c r="AY24" s="106">
        <v>56.948920437794797</v>
      </c>
      <c r="AZ24" s="106">
        <v>1.2912577260681552E-13</v>
      </c>
    </row>
    <row r="25" spans="1:55" x14ac:dyDescent="0.2">
      <c r="A25" s="29">
        <v>37118</v>
      </c>
      <c r="B25">
        <v>6</v>
      </c>
      <c r="C25">
        <v>10</v>
      </c>
      <c r="D25">
        <v>4.0999999999999996</v>
      </c>
      <c r="E25">
        <v>5.15</v>
      </c>
      <c r="F25">
        <v>31.46</v>
      </c>
      <c r="G25">
        <v>1178.02</v>
      </c>
      <c r="H25">
        <f t="shared" si="0"/>
        <v>9.950330853168092E-3</v>
      </c>
      <c r="I25">
        <f t="shared" si="1"/>
        <v>-5.5512709930258711E-2</v>
      </c>
      <c r="J25">
        <f t="shared" si="1"/>
        <v>-4.7449599712987643E-2</v>
      </c>
      <c r="K25">
        <f t="shared" si="1"/>
        <v>9.6619109117368901E-3</v>
      </c>
      <c r="M25">
        <f t="shared" si="2"/>
        <v>3.0851665371600823E-3</v>
      </c>
      <c r="O25">
        <f t="shared" si="4"/>
        <v>-2.4354862298315308E-2</v>
      </c>
      <c r="R25" s="106" t="s">
        <v>352</v>
      </c>
      <c r="S25" s="106">
        <v>1</v>
      </c>
      <c r="T25" s="106">
        <v>0.19143113077953555</v>
      </c>
      <c r="U25" s="106">
        <v>0.19143113077953555</v>
      </c>
      <c r="V25" s="106">
        <v>34.490680696794897</v>
      </c>
      <c r="W25" s="106">
        <v>1.2788713547091679E-8</v>
      </c>
      <c r="AB25" s="29">
        <v>37118</v>
      </c>
      <c r="AC25">
        <v>31.46</v>
      </c>
      <c r="AD25">
        <v>1178.02</v>
      </c>
      <c r="AE25">
        <f t="shared" si="5"/>
        <v>-1.4407164517774185E-2</v>
      </c>
      <c r="AF25">
        <f t="shared" si="3"/>
        <v>3.0851665371600823E-3</v>
      </c>
      <c r="AH25" s="106" t="s">
        <v>119</v>
      </c>
      <c r="AI25" s="106">
        <v>1047</v>
      </c>
      <c r="AJ25" s="106">
        <v>0.81444180023460244</v>
      </c>
      <c r="AK25" s="106">
        <v>7.7788137558223731E-4</v>
      </c>
      <c r="AL25" s="106"/>
      <c r="AM25" s="106"/>
      <c r="AR25">
        <v>40.25</v>
      </c>
      <c r="AS25">
        <f t="shared" si="6"/>
        <v>-8.8254385229226767E-2</v>
      </c>
      <c r="AU25" s="106" t="s">
        <v>119</v>
      </c>
      <c r="AV25" s="106">
        <v>754</v>
      </c>
      <c r="AW25" s="106">
        <v>0.57786113821445284</v>
      </c>
      <c r="AX25" s="106">
        <v>7.6639408251253695E-4</v>
      </c>
      <c r="AY25" s="106"/>
      <c r="AZ25" s="106"/>
    </row>
    <row r="26" spans="1:55" ht="10.8" thickBot="1" x14ac:dyDescent="0.25">
      <c r="A26" s="29">
        <v>37117</v>
      </c>
      <c r="B26">
        <v>5.63</v>
      </c>
      <c r="C26">
        <v>10.45</v>
      </c>
      <c r="D26">
        <v>4.2</v>
      </c>
      <c r="E26">
        <v>5.22</v>
      </c>
      <c r="F26">
        <v>31.1</v>
      </c>
      <c r="G26">
        <v>1186.73</v>
      </c>
      <c r="H26">
        <f t="shared" si="0"/>
        <v>6.3650027076456006E-2</v>
      </c>
      <c r="I26">
        <f t="shared" si="1"/>
        <v>-4.4016885416774211E-2</v>
      </c>
      <c r="J26">
        <f t="shared" si="1"/>
        <v>-2.4097551579060641E-2</v>
      </c>
      <c r="K26">
        <f t="shared" si="1"/>
        <v>-1.3500687218902463E-2</v>
      </c>
      <c r="M26">
        <f t="shared" si="2"/>
        <v>-7.366562544212309E-3</v>
      </c>
      <c r="O26">
        <f t="shared" si="4"/>
        <v>9.3146908787953772E-3</v>
      </c>
      <c r="R26" s="106" t="s">
        <v>119</v>
      </c>
      <c r="S26" s="106">
        <v>265</v>
      </c>
      <c r="T26" s="106">
        <v>1.4708103357696567</v>
      </c>
      <c r="U26" s="106">
        <v>5.550227682149648E-3</v>
      </c>
      <c r="V26" s="106"/>
      <c r="W26" s="106"/>
      <c r="AB26" s="29">
        <v>37117</v>
      </c>
      <c r="AC26">
        <v>31.1</v>
      </c>
      <c r="AD26">
        <v>1186.73</v>
      </c>
      <c r="AE26">
        <f t="shared" si="5"/>
        <v>1.150907844494329E-2</v>
      </c>
      <c r="AF26">
        <f t="shared" si="3"/>
        <v>-7.366562544212309E-3</v>
      </c>
      <c r="AH26" s="107" t="s">
        <v>8</v>
      </c>
      <c r="AI26" s="107">
        <v>1048</v>
      </c>
      <c r="AJ26" s="107">
        <v>0.85425725513764472</v>
      </c>
      <c r="AK26" s="107"/>
      <c r="AL26" s="107"/>
      <c r="AM26" s="107"/>
      <c r="AR26">
        <v>42.93</v>
      </c>
      <c r="AS26">
        <f t="shared" si="6"/>
        <v>-6.4460878371896846E-2</v>
      </c>
      <c r="AU26" s="107" t="s">
        <v>8</v>
      </c>
      <c r="AV26" s="107">
        <v>755</v>
      </c>
      <c r="AW26" s="107">
        <v>0.62150645384345604</v>
      </c>
      <c r="AX26" s="107"/>
      <c r="AY26" s="107"/>
      <c r="AZ26" s="107"/>
    </row>
    <row r="27" spans="1:55" ht="10.8" thickBot="1" x14ac:dyDescent="0.25">
      <c r="A27" s="29">
        <v>37116</v>
      </c>
      <c r="B27">
        <v>6.35</v>
      </c>
      <c r="C27">
        <v>10.66</v>
      </c>
      <c r="D27">
        <v>4.32</v>
      </c>
      <c r="E27">
        <v>5.15</v>
      </c>
      <c r="F27">
        <v>30.95</v>
      </c>
      <c r="G27">
        <v>1191.29</v>
      </c>
      <c r="H27">
        <f t="shared" si="0"/>
        <v>-0.12034537075300127</v>
      </c>
      <c r="I27">
        <f t="shared" si="1"/>
        <v>-1.9896440326878585E-2</v>
      </c>
      <c r="J27">
        <f t="shared" si="1"/>
        <v>-2.8170876966696335E-2</v>
      </c>
      <c r="K27">
        <f t="shared" si="1"/>
        <v>1.3500687218902524E-2</v>
      </c>
      <c r="M27">
        <f t="shared" si="2"/>
        <v>-3.8351280385507487E-3</v>
      </c>
      <c r="O27">
        <f t="shared" si="4"/>
        <v>-6.6422085825256022E-2</v>
      </c>
      <c r="R27" s="107" t="s">
        <v>8</v>
      </c>
      <c r="S27" s="107">
        <v>266</v>
      </c>
      <c r="T27" s="107">
        <v>1.6622414665491922</v>
      </c>
      <c r="U27" s="107"/>
      <c r="V27" s="107"/>
      <c r="W27" s="107"/>
      <c r="AB27" s="29">
        <v>37116</v>
      </c>
      <c r="AC27">
        <v>30.95</v>
      </c>
      <c r="AD27">
        <v>1191.29</v>
      </c>
      <c r="AE27">
        <f t="shared" si="5"/>
        <v>4.8348200545833111E-3</v>
      </c>
      <c r="AF27">
        <f t="shared" si="3"/>
        <v>-3.8351280385507487E-3</v>
      </c>
      <c r="AR27">
        <v>42.15</v>
      </c>
      <c r="AS27">
        <f t="shared" si="6"/>
        <v>1.8336197788604753E-2</v>
      </c>
    </row>
    <row r="28" spans="1:55" ht="13.8" thickBot="1" x14ac:dyDescent="0.3">
      <c r="A28" s="29">
        <v>37113</v>
      </c>
      <c r="B28">
        <v>7</v>
      </c>
      <c r="C28">
        <v>10.63</v>
      </c>
      <c r="D28">
        <v>4.28</v>
      </c>
      <c r="E28">
        <v>4.9800000000000004</v>
      </c>
      <c r="F28">
        <v>31.3</v>
      </c>
      <c r="G28">
        <v>1190.1600000000001</v>
      </c>
      <c r="H28">
        <f t="shared" si="0"/>
        <v>-9.7455336150713029E-2</v>
      </c>
      <c r="I28">
        <f t="shared" si="1"/>
        <v>2.8182263838417909E-3</v>
      </c>
      <c r="J28">
        <f t="shared" si="1"/>
        <v>9.3023926623136306E-3</v>
      </c>
      <c r="K28">
        <f t="shared" si="1"/>
        <v>3.3566823639083199E-2</v>
      </c>
      <c r="M28">
        <f t="shared" si="2"/>
        <v>9.4900172987619647E-4</v>
      </c>
      <c r="O28">
        <f t="shared" si="4"/>
        <v>-3.9005965371308404E-2</v>
      </c>
      <c r="AB28" s="29">
        <v>37113</v>
      </c>
      <c r="AC28">
        <v>31.3</v>
      </c>
      <c r="AD28">
        <v>1190.1600000000001</v>
      </c>
      <c r="AE28">
        <f t="shared" si="5"/>
        <v>-1.1245098415502515E-2</v>
      </c>
      <c r="AF28">
        <f t="shared" si="3"/>
        <v>9.4900172987619647E-4</v>
      </c>
      <c r="AH28" s="108"/>
      <c r="AI28" s="108" t="s">
        <v>353</v>
      </c>
      <c r="AJ28" s="108" t="s">
        <v>344</v>
      </c>
      <c r="AK28" s="108" t="s">
        <v>354</v>
      </c>
      <c r="AL28" s="108" t="s">
        <v>355</v>
      </c>
      <c r="AM28" s="108" t="s">
        <v>356</v>
      </c>
      <c r="AN28" s="108" t="s">
        <v>357</v>
      </c>
      <c r="AO28" s="108" t="s">
        <v>358</v>
      </c>
      <c r="AP28" s="108" t="s">
        <v>359</v>
      </c>
      <c r="AR28">
        <v>42.81</v>
      </c>
      <c r="AS28">
        <f t="shared" si="6"/>
        <v>-1.5537035708990392E-2</v>
      </c>
      <c r="AU28" s="108"/>
      <c r="AV28" s="108" t="s">
        <v>353</v>
      </c>
      <c r="AW28" s="108" t="s">
        <v>344</v>
      </c>
      <c r="AX28" s="108" t="s">
        <v>354</v>
      </c>
      <c r="AY28" s="108" t="s">
        <v>355</v>
      </c>
      <c r="AZ28" s="108" t="s">
        <v>356</v>
      </c>
      <c r="BA28" s="108" t="s">
        <v>357</v>
      </c>
      <c r="BB28" s="108" t="s">
        <v>358</v>
      </c>
      <c r="BC28" s="108" t="s">
        <v>359</v>
      </c>
    </row>
    <row r="29" spans="1:55" ht="13.2" x14ac:dyDescent="0.25">
      <c r="A29" s="29">
        <v>37112</v>
      </c>
      <c r="B29">
        <v>7.54</v>
      </c>
      <c r="C29">
        <v>10.45</v>
      </c>
      <c r="D29">
        <v>4.42</v>
      </c>
      <c r="E29">
        <v>4.91</v>
      </c>
      <c r="F29">
        <v>30.73</v>
      </c>
      <c r="G29">
        <v>1183.43</v>
      </c>
      <c r="H29">
        <f t="shared" si="0"/>
        <v>-7.4312032964551356E-2</v>
      </c>
      <c r="I29">
        <f t="shared" si="1"/>
        <v>1.7078213943036682E-2</v>
      </c>
      <c r="J29">
        <f t="shared" si="1"/>
        <v>-3.2186686495901215E-2</v>
      </c>
      <c r="K29">
        <f t="shared" si="1"/>
        <v>1.4155949230132459E-2</v>
      </c>
      <c r="M29">
        <f t="shared" si="2"/>
        <v>5.670750243249055E-3</v>
      </c>
      <c r="O29">
        <f t="shared" si="4"/>
        <v>-3.833025441115126E-2</v>
      </c>
      <c r="R29" s="108"/>
      <c r="S29" s="108" t="s">
        <v>353</v>
      </c>
      <c r="T29" s="108" t="s">
        <v>344</v>
      </c>
      <c r="U29" s="108" t="s">
        <v>354</v>
      </c>
      <c r="V29" s="108" t="s">
        <v>355</v>
      </c>
      <c r="W29" s="108" t="s">
        <v>356</v>
      </c>
      <c r="X29" s="108" t="s">
        <v>357</v>
      </c>
      <c r="Y29" s="108" t="s">
        <v>358</v>
      </c>
      <c r="Z29" s="108" t="s">
        <v>359</v>
      </c>
      <c r="AB29" s="29">
        <v>37112</v>
      </c>
      <c r="AC29">
        <v>30.73</v>
      </c>
      <c r="AD29">
        <v>1183.43</v>
      </c>
      <c r="AE29">
        <f t="shared" si="5"/>
        <v>1.8378721403714243E-2</v>
      </c>
      <c r="AF29">
        <f t="shared" si="3"/>
        <v>5.670750243249055E-3</v>
      </c>
      <c r="AH29" s="106" t="s">
        <v>360</v>
      </c>
      <c r="AI29" s="106">
        <v>7.1492564504547476E-4</v>
      </c>
      <c r="AJ29" s="106">
        <v>8.6126460174429441E-4</v>
      </c>
      <c r="AK29" s="106">
        <v>0.83008827205664371</v>
      </c>
      <c r="AL29" s="106">
        <v>0.40667810522295944</v>
      </c>
      <c r="AM29" s="106">
        <v>-9.7507774493402254E-4</v>
      </c>
      <c r="AN29" s="106">
        <v>2.4049290350249722E-3</v>
      </c>
      <c r="AO29" s="106">
        <v>-9.7507774493402254E-4</v>
      </c>
      <c r="AP29" s="106">
        <v>2.4049290350249722E-3</v>
      </c>
      <c r="AR29">
        <v>42.78</v>
      </c>
      <c r="AS29">
        <f t="shared" si="6"/>
        <v>7.0101650259529551E-4</v>
      </c>
      <c r="AU29" s="106" t="s">
        <v>360</v>
      </c>
      <c r="AV29" s="106">
        <v>6.1191993162454633E-4</v>
      </c>
      <c r="AW29" s="106">
        <v>1.0070173917010366E-3</v>
      </c>
      <c r="AX29" s="106">
        <v>0.60765577304568852</v>
      </c>
      <c r="AY29" s="106">
        <v>0.54359876671544383</v>
      </c>
      <c r="AZ29" s="106">
        <v>-1.364973058458284E-3</v>
      </c>
      <c r="BA29" s="106">
        <v>2.5888129217073769E-3</v>
      </c>
      <c r="BB29" s="106">
        <v>-1.364973058458284E-3</v>
      </c>
      <c r="BC29" s="106">
        <v>2.5888129217073769E-3</v>
      </c>
    </row>
    <row r="30" spans="1:55" ht="10.8" thickBot="1" x14ac:dyDescent="0.25">
      <c r="A30" s="29">
        <v>37111</v>
      </c>
      <c r="B30">
        <v>7.83</v>
      </c>
      <c r="C30">
        <v>10.51</v>
      </c>
      <c r="D30">
        <v>4.79</v>
      </c>
      <c r="E30">
        <v>4.99</v>
      </c>
      <c r="F30">
        <v>29.77</v>
      </c>
      <c r="G30">
        <v>1183.53</v>
      </c>
      <c r="H30">
        <f t="shared" si="0"/>
        <v>-3.7740327982847086E-2</v>
      </c>
      <c r="I30">
        <f t="shared" si="1"/>
        <v>-5.7252064780398491E-3</v>
      </c>
      <c r="J30">
        <f t="shared" si="1"/>
        <v>-8.0390715333217164E-2</v>
      </c>
      <c r="K30">
        <f t="shared" si="1"/>
        <v>-1.6161967956998102E-2</v>
      </c>
      <c r="M30">
        <f t="shared" si="2"/>
        <v>-8.449656948946516E-5</v>
      </c>
      <c r="O30">
        <f t="shared" si="4"/>
        <v>-4.3124650609815053E-2</v>
      </c>
      <c r="R30" s="106" t="s">
        <v>360</v>
      </c>
      <c r="S30" s="106">
        <v>-6.1866731000436324E-3</v>
      </c>
      <c r="T30" s="106">
        <v>4.5711453986836872E-3</v>
      </c>
      <c r="U30" s="106">
        <v>-1.3534185768462221</v>
      </c>
      <c r="V30" s="106">
        <v>0.17707525774326183</v>
      </c>
      <c r="W30" s="106">
        <v>-1.5187057190726858E-2</v>
      </c>
      <c r="X30" s="106">
        <v>2.8137109906395943E-3</v>
      </c>
      <c r="Y30" s="106">
        <v>-1.5187057190726858E-2</v>
      </c>
      <c r="Z30" s="106">
        <v>2.8137109906395943E-3</v>
      </c>
      <c r="AB30" s="29">
        <v>37111</v>
      </c>
      <c r="AC30">
        <v>29.77</v>
      </c>
      <c r="AD30">
        <v>1183.53</v>
      </c>
      <c r="AE30">
        <f t="shared" si="5"/>
        <v>3.1738201114708244E-2</v>
      </c>
      <c r="AF30">
        <f t="shared" si="3"/>
        <v>-8.449656948946516E-5</v>
      </c>
      <c r="AH30" s="107" t="s">
        <v>361</v>
      </c>
      <c r="AI30" s="107">
        <v>0.47653392482642948</v>
      </c>
      <c r="AJ30" s="107">
        <v>6.6607735596557915E-2</v>
      </c>
      <c r="AK30" s="107">
        <v>7.1543330599434958</v>
      </c>
      <c r="AL30" s="107">
        <v>1.5779999156493261E-12</v>
      </c>
      <c r="AM30" s="107">
        <v>0.34583390681911608</v>
      </c>
      <c r="AN30" s="107">
        <v>0.60723394283374288</v>
      </c>
      <c r="AO30" s="107">
        <v>0.34583390681911608</v>
      </c>
      <c r="AP30" s="107">
        <v>0.60723394283374288</v>
      </c>
      <c r="AR30">
        <v>42.85</v>
      </c>
      <c r="AS30">
        <f t="shared" si="6"/>
        <v>-1.6349413895292452E-3</v>
      </c>
      <c r="AU30" s="107" t="s">
        <v>361</v>
      </c>
      <c r="AV30" s="107">
        <v>0.57341637438144255</v>
      </c>
      <c r="AW30" s="107">
        <v>7.5984908104129237E-2</v>
      </c>
      <c r="AX30" s="107">
        <v>7.5464508504193537</v>
      </c>
      <c r="AY30" s="107">
        <v>1.2912577260681484E-13</v>
      </c>
      <c r="AZ30" s="107">
        <v>0.42424910734010363</v>
      </c>
      <c r="BA30" s="107">
        <v>0.72258364142278153</v>
      </c>
      <c r="BB30" s="107">
        <v>0.42424910734010363</v>
      </c>
      <c r="BC30" s="107">
        <v>0.72258364142278153</v>
      </c>
    </row>
    <row r="31" spans="1:55" ht="10.8" thickBot="1" x14ac:dyDescent="0.25">
      <c r="A31" s="29">
        <v>37110</v>
      </c>
      <c r="B31">
        <v>7.75</v>
      </c>
      <c r="C31">
        <v>12.18</v>
      </c>
      <c r="D31">
        <v>5.04</v>
      </c>
      <c r="E31">
        <v>5.08</v>
      </c>
      <c r="F31">
        <v>30.44</v>
      </c>
      <c r="G31">
        <v>1204.4000000000001</v>
      </c>
      <c r="H31">
        <f t="shared" si="0"/>
        <v>1.0269666637456045E-2</v>
      </c>
      <c r="I31">
        <f t="shared" si="1"/>
        <v>-0.14746807739289119</v>
      </c>
      <c r="J31">
        <f t="shared" si="1"/>
        <v>-5.0875670660453426E-2</v>
      </c>
      <c r="K31">
        <f t="shared" si="1"/>
        <v>-1.7875351826963193E-2</v>
      </c>
      <c r="M31">
        <f t="shared" si="2"/>
        <v>-1.7480019432350342E-2</v>
      </c>
      <c r="O31">
        <f t="shared" si="4"/>
        <v>-4.8211045236633283E-2</v>
      </c>
      <c r="R31" s="107" t="s">
        <v>361</v>
      </c>
      <c r="S31" s="107">
        <v>2.0175067324952138</v>
      </c>
      <c r="T31" s="107">
        <v>0.34352955742556301</v>
      </c>
      <c r="U31" s="107">
        <v>5.8728766968832753</v>
      </c>
      <c r="V31" s="107">
        <v>1.2788713547093952E-8</v>
      </c>
      <c r="W31" s="107">
        <v>1.3411121544048223</v>
      </c>
      <c r="X31" s="107">
        <v>2.6939013105856056</v>
      </c>
      <c r="Y31" s="107">
        <v>1.3411121544048223</v>
      </c>
      <c r="Z31" s="107">
        <v>2.6939013105856056</v>
      </c>
      <c r="AB31" s="29">
        <v>37110</v>
      </c>
      <c r="AC31">
        <v>30.44</v>
      </c>
      <c r="AD31">
        <v>1204.4000000000001</v>
      </c>
      <c r="AE31">
        <f t="shared" si="5"/>
        <v>-2.2256357965800156E-2</v>
      </c>
      <c r="AF31">
        <f t="shared" si="3"/>
        <v>-1.7480019432350342E-2</v>
      </c>
      <c r="AK31">
        <f>(AI30-1)/AJ30</f>
        <v>-7.8589381621407588</v>
      </c>
      <c r="AR31">
        <v>43.6</v>
      </c>
      <c r="AS31">
        <f t="shared" si="6"/>
        <v>-1.7351505311199875E-2</v>
      </c>
      <c r="AX31">
        <f>(AV30-1)/AW30</f>
        <v>-5.6140572682402929</v>
      </c>
    </row>
    <row r="32" spans="1:55" x14ac:dyDescent="0.2">
      <c r="A32" s="29">
        <v>37109</v>
      </c>
      <c r="B32">
        <v>7.83</v>
      </c>
      <c r="C32">
        <v>13.89</v>
      </c>
      <c r="D32">
        <v>4.71</v>
      </c>
      <c r="E32">
        <v>7.35</v>
      </c>
      <c r="F32">
        <v>31.24</v>
      </c>
      <c r="G32">
        <v>1200.48</v>
      </c>
      <c r="H32">
        <f t="shared" si="0"/>
        <v>-1.0269666637456156E-2</v>
      </c>
      <c r="I32">
        <f t="shared" si="1"/>
        <v>-0.13137389448450149</v>
      </c>
      <c r="J32">
        <f t="shared" si="1"/>
        <v>6.7718174054950855E-2</v>
      </c>
      <c r="K32">
        <f t="shared" si="1"/>
        <v>-0.36938905163435476</v>
      </c>
      <c r="M32">
        <f t="shared" si="2"/>
        <v>3.2600408101602064E-3</v>
      </c>
      <c r="O32">
        <f t="shared" si="4"/>
        <v>-1.6019769734274561E-2</v>
      </c>
      <c r="U32">
        <f>(S31-1)/T31</f>
        <v>2.9619190270569082</v>
      </c>
      <c r="AB32" s="29">
        <v>37109</v>
      </c>
      <c r="AC32">
        <v>31.24</v>
      </c>
      <c r="AD32">
        <v>1200.48</v>
      </c>
      <c r="AE32">
        <f t="shared" si="5"/>
        <v>-2.594179197800003E-2</v>
      </c>
      <c r="AF32">
        <f t="shared" si="3"/>
        <v>3.2600408101602064E-3</v>
      </c>
      <c r="AR32">
        <v>44.5</v>
      </c>
      <c r="AS32">
        <f t="shared" si="6"/>
        <v>-2.0432038817205855E-2</v>
      </c>
    </row>
    <row r="33" spans="1:51" x14ac:dyDescent="0.2">
      <c r="A33" s="29">
        <v>37106</v>
      </c>
      <c r="B33">
        <v>8.5500000000000007</v>
      </c>
      <c r="C33">
        <v>15.75</v>
      </c>
      <c r="D33">
        <v>4.6500000000000004</v>
      </c>
      <c r="E33">
        <v>7.36</v>
      </c>
      <c r="F33">
        <v>31.9</v>
      </c>
      <c r="G33">
        <v>1214.3499999999999</v>
      </c>
      <c r="H33">
        <f t="shared" si="0"/>
        <v>-8.796877294595716E-2</v>
      </c>
      <c r="I33">
        <f t="shared" si="1"/>
        <v>-0.1256712085053896</v>
      </c>
      <c r="J33">
        <f t="shared" si="1"/>
        <v>1.282068842906125E-2</v>
      </c>
      <c r="K33">
        <f t="shared" si="1"/>
        <v>-1.3596195160397067E-3</v>
      </c>
      <c r="M33">
        <f t="shared" si="2"/>
        <v>-1.1487477400811763E-2</v>
      </c>
      <c r="O33">
        <f t="shared" si="4"/>
        <v>-6.578370707433906E-2</v>
      </c>
      <c r="R33" t="s">
        <v>335</v>
      </c>
      <c r="T33" t="s">
        <v>317</v>
      </c>
      <c r="AB33" s="29">
        <v>37106</v>
      </c>
      <c r="AC33">
        <v>31.9</v>
      </c>
      <c r="AD33">
        <v>1214.3499999999999</v>
      </c>
      <c r="AE33">
        <f t="shared" si="5"/>
        <v>-2.0906684819313712E-2</v>
      </c>
      <c r="AF33">
        <f t="shared" si="3"/>
        <v>-1.1487477400811763E-2</v>
      </c>
      <c r="AH33" t="s">
        <v>362</v>
      </c>
      <c r="AR33">
        <v>45.36</v>
      </c>
      <c r="AS33">
        <f t="shared" si="6"/>
        <v>-1.9141470247302058E-2</v>
      </c>
      <c r="AU33" t="s">
        <v>362</v>
      </c>
    </row>
    <row r="34" spans="1:51" ht="10.8" thickBot="1" x14ac:dyDescent="0.25">
      <c r="A34" s="29">
        <v>37105</v>
      </c>
      <c r="B34">
        <v>8.51</v>
      </c>
      <c r="C34">
        <v>16.02</v>
      </c>
      <c r="D34">
        <v>4.53</v>
      </c>
      <c r="E34">
        <v>7.19</v>
      </c>
      <c r="F34">
        <v>32.89</v>
      </c>
      <c r="G34">
        <v>1220.75</v>
      </c>
      <c r="H34">
        <f t="shared" si="0"/>
        <v>4.6893403633861208E-3</v>
      </c>
      <c r="I34">
        <f t="shared" si="1"/>
        <v>-1.6997576368571021E-2</v>
      </c>
      <c r="J34">
        <f t="shared" si="1"/>
        <v>2.6145280104322207E-2</v>
      </c>
      <c r="K34">
        <f t="shared" si="1"/>
        <v>2.3368761007829617E-2</v>
      </c>
      <c r="M34">
        <f t="shared" si="2"/>
        <v>-5.2564697435392152E-3</v>
      </c>
      <c r="O34">
        <f t="shared" si="4"/>
        <v>6.0067457492759442E-3</v>
      </c>
      <c r="AB34" s="29">
        <v>37105</v>
      </c>
      <c r="AC34">
        <v>32.89</v>
      </c>
      <c r="AD34">
        <v>1220.75</v>
      </c>
      <c r="AE34">
        <f t="shared" si="5"/>
        <v>-3.056265041016681E-2</v>
      </c>
      <c r="AF34">
        <f t="shared" si="3"/>
        <v>-5.2564697435392152E-3</v>
      </c>
      <c r="AH34" t="s">
        <v>363</v>
      </c>
      <c r="AI34" s="80">
        <v>0.12</v>
      </c>
      <c r="AK34" t="s">
        <v>364</v>
      </c>
      <c r="AL34" s="80">
        <v>0.04</v>
      </c>
      <c r="AR34">
        <v>45.58</v>
      </c>
      <c r="AS34">
        <f t="shared" si="6"/>
        <v>-4.8383643980415515E-3</v>
      </c>
      <c r="AU34" t="s">
        <v>363</v>
      </c>
      <c r="AV34" s="80">
        <v>0.14000000000000001</v>
      </c>
      <c r="AX34" t="s">
        <v>364</v>
      </c>
      <c r="AY34" s="80">
        <v>0.04</v>
      </c>
    </row>
    <row r="35" spans="1:51" ht="13.2" x14ac:dyDescent="0.25">
      <c r="A35" s="29">
        <v>37104</v>
      </c>
      <c r="B35">
        <v>8.8000000000000007</v>
      </c>
      <c r="C35">
        <v>16.670000000000002</v>
      </c>
      <c r="D35">
        <v>4.41</v>
      </c>
      <c r="E35">
        <v>6.9</v>
      </c>
      <c r="F35">
        <v>33.619999999999997</v>
      </c>
      <c r="G35">
        <v>1215.93</v>
      </c>
      <c r="H35">
        <f t="shared" si="0"/>
        <v>-3.3509778898878143E-2</v>
      </c>
      <c r="I35">
        <f t="shared" si="1"/>
        <v>-3.9772755122489602E-2</v>
      </c>
      <c r="J35">
        <f t="shared" si="1"/>
        <v>2.6847250036188056E-2</v>
      </c>
      <c r="K35">
        <f t="shared" si="1"/>
        <v>4.1169760129741675E-2</v>
      </c>
      <c r="M35">
        <f t="shared" si="2"/>
        <v>3.9562078621046349E-3</v>
      </c>
      <c r="O35">
        <f t="shared" si="4"/>
        <v>-1.6157516258275932E-2</v>
      </c>
      <c r="R35" s="105" t="s">
        <v>340</v>
      </c>
      <c r="S35" s="105"/>
      <c r="AB35" s="29">
        <v>37104</v>
      </c>
      <c r="AC35">
        <v>33.619999999999997</v>
      </c>
      <c r="AD35">
        <v>1215.93</v>
      </c>
      <c r="AE35">
        <f t="shared" si="5"/>
        <v>-2.1952467779503826E-2</v>
      </c>
      <c r="AF35">
        <f t="shared" si="3"/>
        <v>3.9562078621046349E-3</v>
      </c>
      <c r="AH35" t="s">
        <v>365</v>
      </c>
      <c r="AJ35" s="109">
        <f>AL34+(AI34-AL34)*AI30</f>
        <v>7.8122713986114353E-2</v>
      </c>
      <c r="AR35">
        <v>45.61</v>
      </c>
      <c r="AS35">
        <f t="shared" si="6"/>
        <v>-6.5796690607084309E-4</v>
      </c>
      <c r="AU35" t="s">
        <v>365</v>
      </c>
      <c r="AW35" s="109">
        <f>AY34+(AV34-AY34)*AV30</f>
        <v>9.7341637438144252E-2</v>
      </c>
    </row>
    <row r="36" spans="1:51" x14ac:dyDescent="0.2">
      <c r="A36" s="29">
        <v>37103</v>
      </c>
      <c r="B36">
        <v>8.9</v>
      </c>
      <c r="C36">
        <v>16.2</v>
      </c>
      <c r="D36">
        <v>4.45</v>
      </c>
      <c r="E36">
        <v>7</v>
      </c>
      <c r="F36">
        <v>33.47</v>
      </c>
      <c r="G36">
        <v>1211.23</v>
      </c>
      <c r="H36">
        <f t="shared" si="0"/>
        <v>-1.1299555253933282E-2</v>
      </c>
      <c r="I36">
        <f t="shared" si="1"/>
        <v>2.8599454524364454E-2</v>
      </c>
      <c r="J36">
        <f t="shared" si="1"/>
        <v>-9.0294067193942649E-3</v>
      </c>
      <c r="K36">
        <f t="shared" si="1"/>
        <v>-1.4388737452099556E-2</v>
      </c>
      <c r="M36">
        <f t="shared" si="2"/>
        <v>3.8728438789164764E-3</v>
      </c>
      <c r="O36">
        <f t="shared" si="4"/>
        <v>-6.4232071772708831E-4</v>
      </c>
      <c r="R36" s="106" t="s">
        <v>341</v>
      </c>
      <c r="S36" s="106">
        <v>0.18976526216519382</v>
      </c>
      <c r="AB36" s="29">
        <v>37103</v>
      </c>
      <c r="AC36">
        <v>33.47</v>
      </c>
      <c r="AD36">
        <v>1211.23</v>
      </c>
      <c r="AE36">
        <f t="shared" si="5"/>
        <v>4.4716127572343592E-3</v>
      </c>
      <c r="AF36">
        <f t="shared" si="3"/>
        <v>3.8728438789164764E-3</v>
      </c>
      <c r="AR36">
        <v>45.35</v>
      </c>
      <c r="AS36">
        <f t="shared" si="6"/>
        <v>5.7168141624634608E-3</v>
      </c>
    </row>
    <row r="37" spans="1:51" x14ac:dyDescent="0.2">
      <c r="A37" s="29">
        <v>37102</v>
      </c>
      <c r="B37">
        <v>9.4600000000000009</v>
      </c>
      <c r="C37">
        <v>15.9</v>
      </c>
      <c r="D37">
        <v>4.7</v>
      </c>
      <c r="E37">
        <v>6.79</v>
      </c>
      <c r="F37">
        <v>32.96</v>
      </c>
      <c r="G37">
        <v>1204.52</v>
      </c>
      <c r="H37">
        <f t="shared" si="0"/>
        <v>-6.1021106325692756E-2</v>
      </c>
      <c r="I37">
        <f t="shared" si="1"/>
        <v>1.8692133012152546E-2</v>
      </c>
      <c r="J37">
        <f t="shared" si="1"/>
        <v>-5.4658412537864083E-2</v>
      </c>
      <c r="K37">
        <f t="shared" si="1"/>
        <v>3.0459207484708439E-2</v>
      </c>
      <c r="M37">
        <f t="shared" si="2"/>
        <v>5.5552248835080463E-3</v>
      </c>
      <c r="O37">
        <f t="shared" si="4"/>
        <v>-3.9156704892864297E-2</v>
      </c>
      <c r="R37" s="106" t="s">
        <v>342</v>
      </c>
      <c r="S37" s="106">
        <v>3.6010854724624737E-2</v>
      </c>
      <c r="AB37" s="29">
        <v>37102</v>
      </c>
      <c r="AC37">
        <v>32.96</v>
      </c>
      <c r="AD37">
        <v>1204.52</v>
      </c>
      <c r="AE37">
        <f t="shared" si="5"/>
        <v>1.5354810181964135E-2</v>
      </c>
      <c r="AF37">
        <f t="shared" si="3"/>
        <v>5.5552248835080463E-3</v>
      </c>
      <c r="AR37">
        <v>45.73</v>
      </c>
      <c r="AS37">
        <f t="shared" si="6"/>
        <v>-8.3443611088181366E-3</v>
      </c>
    </row>
    <row r="38" spans="1:51" x14ac:dyDescent="0.2">
      <c r="A38" s="29">
        <v>37099</v>
      </c>
      <c r="B38">
        <v>9.4</v>
      </c>
      <c r="C38">
        <v>16.149999999999999</v>
      </c>
      <c r="D38">
        <v>4.8600000000000003</v>
      </c>
      <c r="E38">
        <v>7</v>
      </c>
      <c r="F38">
        <v>32.590000000000003</v>
      </c>
      <c r="G38">
        <v>1205.82</v>
      </c>
      <c r="H38">
        <f t="shared" si="0"/>
        <v>6.3626937878286504E-3</v>
      </c>
      <c r="I38">
        <f t="shared" si="1"/>
        <v>-1.5600940442479548E-2</v>
      </c>
      <c r="J38">
        <f t="shared" si="1"/>
        <v>-3.3475929196389573E-2</v>
      </c>
      <c r="K38">
        <f t="shared" si="1"/>
        <v>-3.0459207484708574E-2</v>
      </c>
      <c r="M38">
        <f t="shared" si="2"/>
        <v>-1.0786860991002832E-3</v>
      </c>
      <c r="O38">
        <f t="shared" si="4"/>
        <v>-1.1596136900226407E-2</v>
      </c>
      <c r="R38" s="106" t="s">
        <v>343</v>
      </c>
      <c r="S38" s="106">
        <v>3.0502345323051162E-2</v>
      </c>
      <c r="AB38" s="29">
        <v>37099</v>
      </c>
      <c r="AC38">
        <v>32.590000000000003</v>
      </c>
      <c r="AD38">
        <v>1205.82</v>
      </c>
      <c r="AE38">
        <f t="shared" si="5"/>
        <v>1.1289212191800711E-2</v>
      </c>
      <c r="AF38">
        <f t="shared" si="3"/>
        <v>-1.0786860991002832E-3</v>
      </c>
      <c r="AR38">
        <v>46.1</v>
      </c>
      <c r="AS38">
        <f t="shared" si="6"/>
        <v>-8.0584123326391636E-3</v>
      </c>
    </row>
    <row r="39" spans="1:51" x14ac:dyDescent="0.2">
      <c r="A39" s="29">
        <v>37098</v>
      </c>
      <c r="B39">
        <v>9.0500000000000007</v>
      </c>
      <c r="C39">
        <v>16.45</v>
      </c>
      <c r="D39">
        <v>4.68</v>
      </c>
      <c r="E39">
        <v>7.01</v>
      </c>
      <c r="F39">
        <v>32.4</v>
      </c>
      <c r="G39">
        <v>1202.93</v>
      </c>
      <c r="H39">
        <f t="shared" si="0"/>
        <v>3.7944931564123471E-2</v>
      </c>
      <c r="I39">
        <f t="shared" si="1"/>
        <v>-1.8405427542715409E-2</v>
      </c>
      <c r="J39">
        <f t="shared" si="1"/>
        <v>3.7740327982847113E-2</v>
      </c>
      <c r="K39">
        <f t="shared" si="1"/>
        <v>-1.427551991185335E-3</v>
      </c>
      <c r="M39">
        <f t="shared" si="2"/>
        <v>2.3995859983154313E-3</v>
      </c>
      <c r="O39">
        <f t="shared" si="4"/>
        <v>2.3834031258311288E-2</v>
      </c>
      <c r="R39" s="106" t="s">
        <v>344</v>
      </c>
      <c r="S39" s="106">
        <v>4.4462214694626634E-2</v>
      </c>
      <c r="AB39" s="29">
        <v>37098</v>
      </c>
      <c r="AC39">
        <v>32.4</v>
      </c>
      <c r="AD39">
        <v>1202.93</v>
      </c>
      <c r="AE39">
        <f t="shared" si="5"/>
        <v>5.8470700511866983E-3</v>
      </c>
      <c r="AF39">
        <f t="shared" si="3"/>
        <v>2.3995859983154313E-3</v>
      </c>
      <c r="AR39">
        <v>46.84</v>
      </c>
      <c r="AS39">
        <f t="shared" si="6"/>
        <v>-1.5924588726913786E-2</v>
      </c>
    </row>
    <row r="40" spans="1:51" ht="10.8" thickBot="1" x14ac:dyDescent="0.25">
      <c r="A40" s="29">
        <v>37097</v>
      </c>
      <c r="B40">
        <v>7.95</v>
      </c>
      <c r="C40">
        <v>16.5</v>
      </c>
      <c r="D40">
        <v>4.53</v>
      </c>
      <c r="E40">
        <v>7.15</v>
      </c>
      <c r="F40">
        <v>32.42</v>
      </c>
      <c r="G40">
        <v>1190.49</v>
      </c>
      <c r="H40">
        <f t="shared" si="0"/>
        <v>0.12959282904559419</v>
      </c>
      <c r="I40">
        <f t="shared" si="1"/>
        <v>-3.034903695154047E-3</v>
      </c>
      <c r="J40">
        <f t="shared" si="1"/>
        <v>3.2576170434612667E-2</v>
      </c>
      <c r="K40">
        <f t="shared" si="1"/>
        <v>-1.9774655659417658E-2</v>
      </c>
      <c r="M40">
        <f t="shared" si="2"/>
        <v>1.0395260358389983E-2</v>
      </c>
      <c r="O40">
        <f t="shared" si="4"/>
        <v>6.6130804418581282E-2</v>
      </c>
      <c r="R40" s="107" t="s">
        <v>345</v>
      </c>
      <c r="S40" s="107">
        <v>177</v>
      </c>
      <c r="AB40" s="29">
        <v>37097</v>
      </c>
      <c r="AC40">
        <v>32.42</v>
      </c>
      <c r="AD40">
        <v>1190.49</v>
      </c>
      <c r="AE40">
        <f t="shared" si="5"/>
        <v>-6.1709350924640273E-4</v>
      </c>
      <c r="AF40">
        <f t="shared" si="3"/>
        <v>1.0395260358389983E-2</v>
      </c>
      <c r="AR40">
        <v>44.96</v>
      </c>
      <c r="AS40">
        <f t="shared" si="6"/>
        <v>4.0964333144080906E-2</v>
      </c>
    </row>
    <row r="41" spans="1:51" x14ac:dyDescent="0.2">
      <c r="A41" s="29">
        <v>37096</v>
      </c>
      <c r="B41">
        <v>8.0500000000000007</v>
      </c>
      <c r="C41">
        <v>16.649999999999999</v>
      </c>
      <c r="D41">
        <v>4.2699999999999996</v>
      </c>
      <c r="E41">
        <v>6.72</v>
      </c>
      <c r="F41">
        <v>31.19</v>
      </c>
      <c r="G41">
        <v>1171.6500000000001</v>
      </c>
      <c r="H41">
        <f t="shared" si="0"/>
        <v>-1.2500162764231494E-2</v>
      </c>
      <c r="I41">
        <f t="shared" si="1"/>
        <v>-9.0498355199178145E-3</v>
      </c>
      <c r="J41">
        <f t="shared" si="1"/>
        <v>5.9108112254409532E-2</v>
      </c>
      <c r="K41">
        <f t="shared" si="1"/>
        <v>6.202420217085821E-2</v>
      </c>
      <c r="M41">
        <f t="shared" si="2"/>
        <v>1.5951975335219318E-2</v>
      </c>
      <c r="O41">
        <f t="shared" si="4"/>
        <v>1.0799081383612019E-2</v>
      </c>
      <c r="AB41" s="29">
        <v>37096</v>
      </c>
      <c r="AC41">
        <v>31.19</v>
      </c>
      <c r="AD41">
        <v>1171.6500000000001</v>
      </c>
      <c r="AE41">
        <f t="shared" si="5"/>
        <v>3.8677985687818238E-2</v>
      </c>
      <c r="AF41">
        <f t="shared" si="3"/>
        <v>1.5951975335219318E-2</v>
      </c>
      <c r="AR41">
        <v>43.24</v>
      </c>
      <c r="AS41">
        <f t="shared" si="6"/>
        <v>3.9007212814427997E-2</v>
      </c>
    </row>
    <row r="42" spans="1:51" ht="10.8" thickBot="1" x14ac:dyDescent="0.25">
      <c r="A42" s="29">
        <v>37095</v>
      </c>
      <c r="B42">
        <v>8.4</v>
      </c>
      <c r="C42">
        <v>17.649999999999999</v>
      </c>
      <c r="D42">
        <v>5.0199999999999996</v>
      </c>
      <c r="E42">
        <v>8.2100000000000009</v>
      </c>
      <c r="F42">
        <v>31.85</v>
      </c>
      <c r="G42">
        <v>1191.03</v>
      </c>
      <c r="H42">
        <f t="shared" si="0"/>
        <v>-4.2559614418795889E-2</v>
      </c>
      <c r="I42">
        <f t="shared" si="1"/>
        <v>-5.8325566952852945E-2</v>
      </c>
      <c r="J42">
        <f t="shared" si="1"/>
        <v>-0.16181610646310463</v>
      </c>
      <c r="K42">
        <f t="shared" si="1"/>
        <v>-0.20026476892927877</v>
      </c>
      <c r="M42">
        <f t="shared" si="2"/>
        <v>-1.6405467230525106E-2</v>
      </c>
      <c r="O42">
        <f t="shared" si="4"/>
        <v>-8.3859886751905061E-2</v>
      </c>
      <c r="R42" t="s">
        <v>346</v>
      </c>
      <c r="AB42" s="29">
        <v>37095</v>
      </c>
      <c r="AC42">
        <v>31.85</v>
      </c>
      <c r="AD42">
        <v>1191.03</v>
      </c>
      <c r="AE42">
        <f t="shared" si="5"/>
        <v>-2.0939851398460416E-2</v>
      </c>
      <c r="AF42">
        <f t="shared" si="3"/>
        <v>-1.6405467230525106E-2</v>
      </c>
      <c r="AR42">
        <v>46.66</v>
      </c>
      <c r="AS42">
        <f t="shared" si="6"/>
        <v>-7.6121273822276278E-2</v>
      </c>
    </row>
    <row r="43" spans="1:51" ht="13.2" x14ac:dyDescent="0.25">
      <c r="A43" s="29">
        <v>37092</v>
      </c>
      <c r="B43">
        <v>7.95</v>
      </c>
      <c r="C43">
        <v>18.5</v>
      </c>
      <c r="D43">
        <v>5.25</v>
      </c>
      <c r="E43">
        <v>8.3800000000000008</v>
      </c>
      <c r="F43">
        <v>31.03</v>
      </c>
      <c r="G43">
        <v>1210.8499999999999</v>
      </c>
      <c r="H43">
        <f t="shared" si="0"/>
        <v>5.5059777183027389E-2</v>
      </c>
      <c r="I43">
        <f t="shared" si="1"/>
        <v>-4.7034948704973448E-2</v>
      </c>
      <c r="J43">
        <f t="shared" si="1"/>
        <v>-4.4798142899894595E-2</v>
      </c>
      <c r="K43">
        <f t="shared" si="1"/>
        <v>-2.0494991029654852E-2</v>
      </c>
      <c r="M43">
        <f t="shared" si="2"/>
        <v>-1.6504113351569351E-2</v>
      </c>
      <c r="O43">
        <f t="shared" si="4"/>
        <v>-1.6814424424822245E-3</v>
      </c>
      <c r="R43" s="108"/>
      <c r="S43" s="108" t="s">
        <v>347</v>
      </c>
      <c r="T43" s="108" t="s">
        <v>348</v>
      </c>
      <c r="U43" s="108" t="s">
        <v>349</v>
      </c>
      <c r="V43" s="108" t="s">
        <v>350</v>
      </c>
      <c r="W43" s="108" t="s">
        <v>351</v>
      </c>
      <c r="AB43" s="29">
        <v>37092</v>
      </c>
      <c r="AC43">
        <v>31.03</v>
      </c>
      <c r="AD43">
        <v>1210.8499999999999</v>
      </c>
      <c r="AE43">
        <f t="shared" si="5"/>
        <v>2.6082903557883428E-2</v>
      </c>
      <c r="AF43">
        <f t="shared" si="3"/>
        <v>-1.6504113351569351E-2</v>
      </c>
      <c r="AR43">
        <v>48.16</v>
      </c>
      <c r="AS43">
        <f t="shared" si="6"/>
        <v>-3.1641534407281714E-2</v>
      </c>
    </row>
    <row r="44" spans="1:51" x14ac:dyDescent="0.2">
      <c r="A44" s="29">
        <v>37091</v>
      </c>
      <c r="B44">
        <v>9.1999999999999993</v>
      </c>
      <c r="C44">
        <v>17.95</v>
      </c>
      <c r="D44">
        <v>5.79</v>
      </c>
      <c r="E44">
        <v>8.4</v>
      </c>
      <c r="F44">
        <v>30.46</v>
      </c>
      <c r="G44">
        <v>1215.02</v>
      </c>
      <c r="H44">
        <f t="shared" si="0"/>
        <v>-0.14603155538875401</v>
      </c>
      <c r="I44">
        <f t="shared" si="1"/>
        <v>3.0180617149991238E-2</v>
      </c>
      <c r="J44">
        <f t="shared" si="1"/>
        <v>-9.7904214981371501E-2</v>
      </c>
      <c r="K44">
        <f t="shared" si="1"/>
        <v>-2.3837913552762504E-3</v>
      </c>
      <c r="M44">
        <f t="shared" si="2"/>
        <v>-3.4379452380088292E-3</v>
      </c>
      <c r="O44">
        <f t="shared" si="4"/>
        <v>-8.7024931958082169E-2</v>
      </c>
      <c r="R44" s="106" t="s">
        <v>352</v>
      </c>
      <c r="S44" s="106">
        <v>1</v>
      </c>
      <c r="T44" s="106">
        <v>1.2923540774963493E-2</v>
      </c>
      <c r="U44" s="106">
        <v>1.2923540774963493E-2</v>
      </c>
      <c r="V44" s="106">
        <v>6.5373138356336105</v>
      </c>
      <c r="W44" s="106">
        <v>1.1412598315539388E-2</v>
      </c>
      <c r="AB44" s="29">
        <v>37091</v>
      </c>
      <c r="AC44">
        <v>30.46</v>
      </c>
      <c r="AD44">
        <v>1215.02</v>
      </c>
      <c r="AE44">
        <f t="shared" si="5"/>
        <v>1.8540130993273177E-2</v>
      </c>
      <c r="AF44">
        <f t="shared" si="3"/>
        <v>-3.4379452380088292E-3</v>
      </c>
      <c r="AR44">
        <v>49.08</v>
      </c>
      <c r="AS44">
        <f t="shared" si="6"/>
        <v>-1.8922818842145122E-2</v>
      </c>
    </row>
    <row r="45" spans="1:51" x14ac:dyDescent="0.2">
      <c r="A45" s="29">
        <v>37090</v>
      </c>
      <c r="B45">
        <v>12.38</v>
      </c>
      <c r="C45">
        <v>18.45</v>
      </c>
      <c r="D45">
        <v>5.76</v>
      </c>
      <c r="E45">
        <v>8.36</v>
      </c>
      <c r="F45">
        <v>29.65</v>
      </c>
      <c r="G45">
        <v>1207.71</v>
      </c>
      <c r="H45">
        <f t="shared" si="0"/>
        <v>-0.2968787832014555</v>
      </c>
      <c r="I45">
        <f t="shared" si="1"/>
        <v>-2.7474255552248351E-2</v>
      </c>
      <c r="J45">
        <f t="shared" si="1"/>
        <v>5.1948168771041511E-3</v>
      </c>
      <c r="K45">
        <f t="shared" si="1"/>
        <v>4.7732787526578117E-3</v>
      </c>
      <c r="M45">
        <f t="shared" si="2"/>
        <v>6.034533095433536E-3</v>
      </c>
      <c r="O45">
        <f t="shared" si="4"/>
        <v>-0.13506498227659219</v>
      </c>
      <c r="R45" s="106" t="s">
        <v>119</v>
      </c>
      <c r="S45" s="106">
        <v>175</v>
      </c>
      <c r="T45" s="106">
        <v>0.34595549372143775</v>
      </c>
      <c r="U45" s="106">
        <v>1.9768885355510727E-3</v>
      </c>
      <c r="V45" s="106"/>
      <c r="W45" s="106"/>
      <c r="AB45" s="29">
        <v>37090</v>
      </c>
      <c r="AC45">
        <v>29.65</v>
      </c>
      <c r="AD45">
        <v>1207.71</v>
      </c>
      <c r="AE45">
        <f t="shared" si="5"/>
        <v>2.6952222023281302E-2</v>
      </c>
      <c r="AF45">
        <f t="shared" si="3"/>
        <v>6.034533095433536E-3</v>
      </c>
      <c r="AR45">
        <v>48.97</v>
      </c>
      <c r="AS45">
        <f t="shared" si="6"/>
        <v>2.2437541284847772E-3</v>
      </c>
    </row>
    <row r="46" spans="1:51" ht="10.8" thickBot="1" x14ac:dyDescent="0.25">
      <c r="A46" s="29">
        <v>37089</v>
      </c>
      <c r="B46">
        <v>14.15</v>
      </c>
      <c r="C46">
        <v>18.89</v>
      </c>
      <c r="D46">
        <v>6.15</v>
      </c>
      <c r="E46">
        <v>8.6999999999999993</v>
      </c>
      <c r="F46">
        <v>30.13</v>
      </c>
      <c r="G46">
        <v>1214.44</v>
      </c>
      <c r="H46">
        <f t="shared" si="0"/>
        <v>-0.13363235683279648</v>
      </c>
      <c r="I46">
        <f t="shared" si="1"/>
        <v>-2.3568311026882036E-2</v>
      </c>
      <c r="J46">
        <f t="shared" si="1"/>
        <v>-6.5514607110626691E-2</v>
      </c>
      <c r="K46">
        <f t="shared" si="1"/>
        <v>-3.9864598563927822E-2</v>
      </c>
      <c r="M46">
        <f t="shared" si="2"/>
        <v>-5.5570607262494416E-3</v>
      </c>
      <c r="O46">
        <f t="shared" si="4"/>
        <v>-8.4850674022546646E-2</v>
      </c>
      <c r="R46" s="107" t="s">
        <v>8</v>
      </c>
      <c r="S46" s="107">
        <v>176</v>
      </c>
      <c r="T46" s="107">
        <v>0.35887903449640124</v>
      </c>
      <c r="U46" s="107"/>
      <c r="V46" s="107"/>
      <c r="W46" s="107"/>
      <c r="AB46" s="29">
        <v>37089</v>
      </c>
      <c r="AC46">
        <v>30.13</v>
      </c>
      <c r="AD46">
        <v>1214.44</v>
      </c>
      <c r="AE46">
        <f t="shared" si="5"/>
        <v>-1.6059227698475464E-2</v>
      </c>
      <c r="AF46">
        <f t="shared" si="3"/>
        <v>-5.5570607262494416E-3</v>
      </c>
      <c r="AR46">
        <v>49.85</v>
      </c>
      <c r="AS46">
        <f t="shared" si="6"/>
        <v>-1.7810630693621429E-2</v>
      </c>
    </row>
    <row r="47" spans="1:51" ht="10.8" thickBot="1" x14ac:dyDescent="0.25">
      <c r="A47" s="29">
        <v>37088</v>
      </c>
      <c r="B47">
        <v>14.1</v>
      </c>
      <c r="C47">
        <v>18.66</v>
      </c>
      <c r="D47">
        <v>6.51</v>
      </c>
      <c r="E47">
        <v>8.25</v>
      </c>
      <c r="F47">
        <v>30.69</v>
      </c>
      <c r="G47">
        <v>1202.45</v>
      </c>
      <c r="H47">
        <f t="shared" si="0"/>
        <v>3.5398267051239868E-3</v>
      </c>
      <c r="I47">
        <f t="shared" si="1"/>
        <v>1.2250486094220478E-2</v>
      </c>
      <c r="J47">
        <f t="shared" si="1"/>
        <v>-5.6887374402051237E-2</v>
      </c>
      <c r="K47">
        <f t="shared" si="1"/>
        <v>5.3109825313948332E-2</v>
      </c>
      <c r="M47">
        <f t="shared" si="2"/>
        <v>9.9219231014730062E-3</v>
      </c>
      <c r="O47">
        <f t="shared" si="4"/>
        <v>-1.322427668693511E-2</v>
      </c>
      <c r="AB47" s="29">
        <v>37088</v>
      </c>
      <c r="AC47">
        <v>30.69</v>
      </c>
      <c r="AD47">
        <v>1202.45</v>
      </c>
      <c r="AE47">
        <f t="shared" si="5"/>
        <v>-1.8415515489434958E-2</v>
      </c>
      <c r="AF47">
        <f t="shared" si="3"/>
        <v>9.9219231014730062E-3</v>
      </c>
      <c r="AR47">
        <v>49.12</v>
      </c>
      <c r="AS47">
        <f t="shared" si="6"/>
        <v>1.4752212568960458E-2</v>
      </c>
    </row>
    <row r="48" spans="1:51" ht="13.2" x14ac:dyDescent="0.25">
      <c r="A48" s="29">
        <v>37085</v>
      </c>
      <c r="B48">
        <v>13.61</v>
      </c>
      <c r="C48">
        <v>19.45</v>
      </c>
      <c r="D48">
        <v>6.86</v>
      </c>
      <c r="E48">
        <v>8.42</v>
      </c>
      <c r="F48">
        <v>30.99</v>
      </c>
      <c r="G48">
        <v>1215.68</v>
      </c>
      <c r="H48">
        <f t="shared" ref="H48:H80" si="7">LN(B47/B48)</f>
        <v>3.5369980720748005E-2</v>
      </c>
      <c r="I48">
        <f t="shared" si="1"/>
        <v>-4.1464874645257464E-2</v>
      </c>
      <c r="J48">
        <f t="shared" si="1"/>
        <v>-5.2367985517316043E-2</v>
      </c>
      <c r="K48">
        <f t="shared" si="1"/>
        <v>-2.0396627907645699E-2</v>
      </c>
      <c r="M48">
        <f t="shared" si="2"/>
        <v>-1.0942448925398474E-2</v>
      </c>
      <c r="O48">
        <f t="shared" si="4"/>
        <v>-1.1276654941286464E-2</v>
      </c>
      <c r="R48" s="108"/>
      <c r="S48" s="108" t="s">
        <v>353</v>
      </c>
      <c r="T48" s="108" t="s">
        <v>344</v>
      </c>
      <c r="U48" s="108" t="s">
        <v>354</v>
      </c>
      <c r="V48" s="108" t="s">
        <v>355</v>
      </c>
      <c r="W48" s="108" t="s">
        <v>356</v>
      </c>
      <c r="X48" s="108" t="s">
        <v>357</v>
      </c>
      <c r="Y48" s="108" t="s">
        <v>358</v>
      </c>
      <c r="Z48" s="108" t="s">
        <v>359</v>
      </c>
      <c r="AB48" s="29">
        <v>37085</v>
      </c>
      <c r="AC48">
        <v>30.99</v>
      </c>
      <c r="AD48">
        <v>1215.68</v>
      </c>
      <c r="AE48">
        <f t="shared" si="5"/>
        <v>-9.727703168011954E-3</v>
      </c>
      <c r="AF48">
        <f t="shared" si="3"/>
        <v>-1.0942448925398474E-2</v>
      </c>
      <c r="AR48">
        <v>48.78</v>
      </c>
      <c r="AS48">
        <f t="shared" si="6"/>
        <v>6.9458910511127053E-3</v>
      </c>
    </row>
    <row r="49" spans="1:45" x14ac:dyDescent="0.2">
      <c r="A49" s="29">
        <v>37084</v>
      </c>
      <c r="B49">
        <v>14.9</v>
      </c>
      <c r="C49">
        <v>18.760000000000002</v>
      </c>
      <c r="D49">
        <v>7.12</v>
      </c>
      <c r="E49">
        <v>8.52</v>
      </c>
      <c r="F49">
        <v>31.41</v>
      </c>
      <c r="G49">
        <v>1208.1400000000001</v>
      </c>
      <c r="H49">
        <f t="shared" si="7"/>
        <v>-9.0556396288038868E-2</v>
      </c>
      <c r="I49">
        <f t="shared" si="1"/>
        <v>3.6120126486376643E-2</v>
      </c>
      <c r="J49">
        <f t="shared" si="1"/>
        <v>-3.7200283686090463E-2</v>
      </c>
      <c r="K49">
        <f t="shared" si="1"/>
        <v>-1.1806512586988952E-2</v>
      </c>
      <c r="M49">
        <f t="shared" si="2"/>
        <v>6.2216041799607862E-3</v>
      </c>
      <c r="O49">
        <f t="shared" si="4"/>
        <v>-4.2259328443299035E-2</v>
      </c>
      <c r="R49" s="106" t="s">
        <v>360</v>
      </c>
      <c r="S49" s="106">
        <v>-2.3235156079648416E-3</v>
      </c>
      <c r="T49" s="106">
        <v>3.3487654519402149E-3</v>
      </c>
      <c r="U49" s="106">
        <v>-0.69384244471903467</v>
      </c>
      <c r="V49" s="106">
        <v>0.48870098963105413</v>
      </c>
      <c r="W49" s="106">
        <v>-8.9326812909722789E-3</v>
      </c>
      <c r="X49" s="106">
        <v>4.2856500750425956E-3</v>
      </c>
      <c r="Y49" s="106">
        <v>-8.9326812909722789E-3</v>
      </c>
      <c r="Z49" s="106">
        <v>4.2856500750425956E-3</v>
      </c>
      <c r="AB49" s="29">
        <v>37084</v>
      </c>
      <c r="AC49">
        <v>31.41</v>
      </c>
      <c r="AD49">
        <v>1208.1400000000001</v>
      </c>
      <c r="AE49">
        <f t="shared" si="5"/>
        <v>-1.3461741750898357E-2</v>
      </c>
      <c r="AF49">
        <f t="shared" si="3"/>
        <v>6.2216041799607862E-3</v>
      </c>
      <c r="AR49">
        <v>49.55</v>
      </c>
      <c r="AS49">
        <f t="shared" si="6"/>
        <v>-1.5661867988222656E-2</v>
      </c>
    </row>
    <row r="50" spans="1:45" ht="10.8" thickBot="1" x14ac:dyDescent="0.25">
      <c r="A50" s="29">
        <v>37083</v>
      </c>
      <c r="B50">
        <v>14.86</v>
      </c>
      <c r="C50">
        <v>18.28</v>
      </c>
      <c r="D50">
        <v>6.78</v>
      </c>
      <c r="E50">
        <v>8.2200000000000006</v>
      </c>
      <c r="F50">
        <v>31.99</v>
      </c>
      <c r="G50">
        <v>1180.18</v>
      </c>
      <c r="H50">
        <f t="shared" si="7"/>
        <v>2.6881736618003956E-3</v>
      </c>
      <c r="I50">
        <f t="shared" si="1"/>
        <v>2.5919377552074713E-2</v>
      </c>
      <c r="J50">
        <f t="shared" si="1"/>
        <v>4.8930623471580129E-2</v>
      </c>
      <c r="K50">
        <f t="shared" si="1"/>
        <v>3.5846131773135663E-2</v>
      </c>
      <c r="M50">
        <f t="shared" si="2"/>
        <v>2.3415017620112864E-2</v>
      </c>
      <c r="O50">
        <f t="shared" si="4"/>
        <v>2.2969681333349357E-2</v>
      </c>
      <c r="R50" s="107" t="s">
        <v>361</v>
      </c>
      <c r="S50" s="107">
        <v>0.62248004843818028</v>
      </c>
      <c r="T50" s="107">
        <v>0.24345896355445618</v>
      </c>
      <c r="U50" s="107">
        <v>2.5568171298771909</v>
      </c>
      <c r="V50" s="107">
        <v>1.1412598315540312E-2</v>
      </c>
      <c r="W50" s="107">
        <v>0.14198637092116906</v>
      </c>
      <c r="X50" s="107">
        <v>1.1029737259551915</v>
      </c>
      <c r="Y50" s="107">
        <v>0.14198637092116906</v>
      </c>
      <c r="Z50" s="107">
        <v>1.1029737259551915</v>
      </c>
      <c r="AB50" s="29">
        <v>37083</v>
      </c>
      <c r="AC50">
        <v>31.99</v>
      </c>
      <c r="AD50">
        <v>1180.18</v>
      </c>
      <c r="AE50">
        <f t="shared" si="5"/>
        <v>-1.829704041087139E-2</v>
      </c>
      <c r="AF50">
        <f t="shared" si="3"/>
        <v>2.3415017620112864E-2</v>
      </c>
      <c r="AR50">
        <v>49.1</v>
      </c>
      <c r="AS50">
        <f t="shared" si="6"/>
        <v>9.1232259755219709E-3</v>
      </c>
    </row>
    <row r="51" spans="1:45" x14ac:dyDescent="0.2">
      <c r="A51" s="29">
        <v>37082</v>
      </c>
      <c r="B51">
        <v>15</v>
      </c>
      <c r="C51">
        <v>18.39</v>
      </c>
      <c r="D51">
        <v>7.5</v>
      </c>
      <c r="E51">
        <v>8.2200000000000006</v>
      </c>
      <c r="F51">
        <v>32.36</v>
      </c>
      <c r="G51">
        <v>1181.52</v>
      </c>
      <c r="H51">
        <f t="shared" si="7"/>
        <v>-9.3771618125970436E-3</v>
      </c>
      <c r="I51">
        <f t="shared" si="1"/>
        <v>-5.999472590225762E-3</v>
      </c>
      <c r="J51">
        <f t="shared" si="1"/>
        <v>-0.10092591858996053</v>
      </c>
      <c r="K51">
        <f t="shared" si="1"/>
        <v>0</v>
      </c>
      <c r="M51">
        <f t="shared" si="2"/>
        <v>-1.1347759188676657E-3</v>
      </c>
      <c r="O51">
        <f t="shared" si="4"/>
        <v>-3.7222893152642475E-2</v>
      </c>
      <c r="U51">
        <f>(S50-1)/T50</f>
        <v>-1.5506512721901784</v>
      </c>
      <c r="AB51" s="29">
        <v>37082</v>
      </c>
      <c r="AC51">
        <v>32.36</v>
      </c>
      <c r="AD51">
        <v>1181.52</v>
      </c>
      <c r="AE51">
        <f t="shared" si="5"/>
        <v>-1.149973822886436E-2</v>
      </c>
      <c r="AF51">
        <f t="shared" si="3"/>
        <v>-1.1347759188676657E-3</v>
      </c>
      <c r="AR51">
        <v>49.22</v>
      </c>
      <c r="AS51">
        <f t="shared" si="6"/>
        <v>-2.4410101624348529E-3</v>
      </c>
    </row>
    <row r="52" spans="1:45" x14ac:dyDescent="0.2">
      <c r="A52" s="29">
        <v>37081</v>
      </c>
      <c r="B52">
        <v>15.99</v>
      </c>
      <c r="C52">
        <v>19</v>
      </c>
      <c r="D52">
        <v>8.5299999999999994</v>
      </c>
      <c r="E52">
        <v>8.51</v>
      </c>
      <c r="F52">
        <v>32.89</v>
      </c>
      <c r="G52">
        <v>1198.78</v>
      </c>
      <c r="H52">
        <f t="shared" si="7"/>
        <v>-6.3913325743652771E-2</v>
      </c>
      <c r="I52">
        <f t="shared" si="1"/>
        <v>-3.263194055021075E-2</v>
      </c>
      <c r="J52">
        <f t="shared" si="1"/>
        <v>-0.12868634096132295</v>
      </c>
      <c r="K52">
        <f t="shared" si="1"/>
        <v>-3.467173351719411E-2</v>
      </c>
      <c r="M52">
        <f t="shared" si="2"/>
        <v>-1.4502627835268027E-2</v>
      </c>
      <c r="O52">
        <f t="shared" si="4"/>
        <v>-7.6412895245900669E-2</v>
      </c>
      <c r="R52" t="s">
        <v>335</v>
      </c>
      <c r="T52" t="s">
        <v>316</v>
      </c>
      <c r="AB52" s="29">
        <v>37081</v>
      </c>
      <c r="AC52">
        <v>32.89</v>
      </c>
      <c r="AD52">
        <v>1198.78</v>
      </c>
      <c r="AE52">
        <f t="shared" si="5"/>
        <v>-1.6245568010674671E-2</v>
      </c>
      <c r="AF52">
        <f t="shared" si="3"/>
        <v>-1.4502627835268027E-2</v>
      </c>
      <c r="AR52">
        <v>49.06</v>
      </c>
      <c r="AS52">
        <f t="shared" si="6"/>
        <v>3.25600613256647E-3</v>
      </c>
    </row>
    <row r="53" spans="1:45" ht="10.8" thickBot="1" x14ac:dyDescent="0.25">
      <c r="A53" s="29">
        <v>37078</v>
      </c>
      <c r="B53">
        <v>15.94</v>
      </c>
      <c r="C53">
        <v>19.41</v>
      </c>
      <c r="D53">
        <v>8.02</v>
      </c>
      <c r="E53">
        <v>8.68</v>
      </c>
      <c r="F53">
        <v>33.229999999999997</v>
      </c>
      <c r="G53">
        <v>1190.5899999999999</v>
      </c>
      <c r="H53">
        <f t="shared" si="7"/>
        <v>3.1318534837938799E-3</v>
      </c>
      <c r="I53">
        <f t="shared" si="1"/>
        <v>-2.1349418014478424E-2</v>
      </c>
      <c r="J53">
        <f t="shared" si="1"/>
        <v>6.1650939625164602E-2</v>
      </c>
      <c r="K53">
        <f t="shared" si="1"/>
        <v>-1.9779586086976032E-2</v>
      </c>
      <c r="M53">
        <f t="shared" si="2"/>
        <v>6.855390395796938E-3</v>
      </c>
      <c r="O53">
        <f t="shared" si="4"/>
        <v>1.5366796868586018E-2</v>
      </c>
      <c r="AB53" s="29">
        <v>37078</v>
      </c>
      <c r="AC53">
        <v>33.229999999999997</v>
      </c>
      <c r="AD53">
        <v>1190.5899999999999</v>
      </c>
      <c r="AE53">
        <f t="shared" si="5"/>
        <v>-1.0284422165537209E-2</v>
      </c>
      <c r="AF53">
        <f t="shared" si="3"/>
        <v>6.855390395796938E-3</v>
      </c>
      <c r="AR53">
        <v>49.06</v>
      </c>
      <c r="AS53">
        <f t="shared" si="6"/>
        <v>0</v>
      </c>
    </row>
    <row r="54" spans="1:45" ht="13.2" x14ac:dyDescent="0.25">
      <c r="A54" s="29">
        <v>37077</v>
      </c>
      <c r="B54">
        <v>16.05</v>
      </c>
      <c r="C54">
        <v>20.48</v>
      </c>
      <c r="D54">
        <v>8.0299999999999994</v>
      </c>
      <c r="E54">
        <v>8.83</v>
      </c>
      <c r="F54">
        <v>33.1</v>
      </c>
      <c r="G54">
        <v>1219.24</v>
      </c>
      <c r="H54">
        <f t="shared" si="7"/>
        <v>-6.8771762139559359E-3</v>
      </c>
      <c r="I54">
        <f t="shared" si="1"/>
        <v>-5.3660402990388149E-2</v>
      </c>
      <c r="J54">
        <f t="shared" si="1"/>
        <v>-1.2461060802471829E-3</v>
      </c>
      <c r="K54">
        <f t="shared" si="1"/>
        <v>-1.7133485943609927E-2</v>
      </c>
      <c r="M54">
        <f t="shared" si="2"/>
        <v>-2.3778731235622238E-2</v>
      </c>
      <c r="O54">
        <f t="shared" si="4"/>
        <v>-1.6774555082474638E-2</v>
      </c>
      <c r="R54" s="105" t="s">
        <v>340</v>
      </c>
      <c r="S54" s="105"/>
      <c r="AB54" s="29">
        <v>37077</v>
      </c>
      <c r="AC54">
        <v>33.1</v>
      </c>
      <c r="AD54">
        <v>1219.24</v>
      </c>
      <c r="AE54">
        <f t="shared" si="5"/>
        <v>3.9197999834855411E-3</v>
      </c>
      <c r="AF54">
        <f t="shared" si="3"/>
        <v>-2.3778731235622238E-2</v>
      </c>
      <c r="AR54">
        <v>49.94</v>
      </c>
      <c r="AS54">
        <f t="shared" si="6"/>
        <v>-1.777824602128383E-2</v>
      </c>
    </row>
    <row r="55" spans="1:45" x14ac:dyDescent="0.2">
      <c r="A55" s="29">
        <v>37075</v>
      </c>
      <c r="B55">
        <v>16.170000000000002</v>
      </c>
      <c r="C55">
        <v>19.600000000000001</v>
      </c>
      <c r="D55">
        <v>7.82</v>
      </c>
      <c r="E55">
        <v>8.75</v>
      </c>
      <c r="F55">
        <v>33.46</v>
      </c>
      <c r="G55">
        <v>1234.45</v>
      </c>
      <c r="H55">
        <f t="shared" si="7"/>
        <v>-7.4488240129906248E-3</v>
      </c>
      <c r="I55">
        <f t="shared" si="1"/>
        <v>4.3919233934835371E-2</v>
      </c>
      <c r="J55">
        <f t="shared" si="1"/>
        <v>2.6499973401450556E-2</v>
      </c>
      <c r="K55">
        <f t="shared" si="1"/>
        <v>9.1013142463455612E-3</v>
      </c>
      <c r="M55">
        <f t="shared" si="2"/>
        <v>-1.239781294422615E-2</v>
      </c>
      <c r="O55">
        <f t="shared" si="4"/>
        <v>1.5994185421939512E-2</v>
      </c>
      <c r="R55" s="106" t="s">
        <v>341</v>
      </c>
      <c r="S55" s="106">
        <v>0.49447946750054084</v>
      </c>
      <c r="AB55" s="29">
        <v>37075</v>
      </c>
      <c r="AC55">
        <v>33.46</v>
      </c>
      <c r="AD55">
        <v>1234.45</v>
      </c>
      <c r="AE55">
        <f t="shared" si="5"/>
        <v>-1.0817413175660645E-2</v>
      </c>
      <c r="AF55">
        <f t="shared" si="3"/>
        <v>-1.239781294422615E-2</v>
      </c>
      <c r="AR55">
        <v>48.69</v>
      </c>
      <c r="AS55">
        <f t="shared" si="6"/>
        <v>2.5348614657017533E-2</v>
      </c>
    </row>
    <row r="56" spans="1:45" x14ac:dyDescent="0.2">
      <c r="A56" s="29">
        <v>37074</v>
      </c>
      <c r="B56">
        <v>16.11</v>
      </c>
      <c r="C56">
        <v>19.8</v>
      </c>
      <c r="D56">
        <v>8.08</v>
      </c>
      <c r="E56">
        <v>8.5500000000000007</v>
      </c>
      <c r="F56">
        <v>33.36</v>
      </c>
      <c r="G56">
        <v>1236.72</v>
      </c>
      <c r="H56">
        <f t="shared" si="7"/>
        <v>3.7174764001325733E-3</v>
      </c>
      <c r="I56">
        <f t="shared" si="1"/>
        <v>-1.0152371464017962E-2</v>
      </c>
      <c r="J56">
        <f t="shared" si="1"/>
        <v>-3.2707317975784328E-2</v>
      </c>
      <c r="K56">
        <f t="shared" si="1"/>
        <v>2.3122417420854212E-2</v>
      </c>
      <c r="M56">
        <f t="shared" si="2"/>
        <v>-1.8371869507042527E-3</v>
      </c>
      <c r="O56">
        <f t="shared" si="4"/>
        <v>-1.1154011574821706E-2</v>
      </c>
      <c r="R56" s="106" t="s">
        <v>342</v>
      </c>
      <c r="S56" s="106">
        <v>0.2445099437796184</v>
      </c>
      <c r="AB56" s="29">
        <v>37074</v>
      </c>
      <c r="AC56">
        <v>33.36</v>
      </c>
      <c r="AD56">
        <v>1236.72</v>
      </c>
      <c r="AE56">
        <f t="shared" si="5"/>
        <v>2.9931180681318859E-3</v>
      </c>
      <c r="AF56">
        <f t="shared" si="3"/>
        <v>-1.8371869507042527E-3</v>
      </c>
      <c r="AR56">
        <v>48.3</v>
      </c>
      <c r="AS56">
        <f t="shared" si="6"/>
        <v>8.0421095360825815E-3</v>
      </c>
    </row>
    <row r="57" spans="1:45" x14ac:dyDescent="0.2">
      <c r="A57" s="29">
        <v>37071</v>
      </c>
      <c r="B57">
        <v>16.68</v>
      </c>
      <c r="C57">
        <v>21.7</v>
      </c>
      <c r="D57">
        <v>8.57</v>
      </c>
      <c r="E57">
        <v>9</v>
      </c>
      <c r="F57">
        <v>33.090000000000003</v>
      </c>
      <c r="G57">
        <v>1224.3800000000001</v>
      </c>
      <c r="H57">
        <f t="shared" si="7"/>
        <v>-3.4770199741717696E-2</v>
      </c>
      <c r="I57">
        <f t="shared" si="1"/>
        <v>-9.1630322845924261E-2</v>
      </c>
      <c r="J57">
        <f t="shared" si="1"/>
        <v>-5.8875860076684397E-2</v>
      </c>
      <c r="K57">
        <f t="shared" si="1"/>
        <v>-5.129329438755046E-2</v>
      </c>
      <c r="M57">
        <f t="shared" si="2"/>
        <v>1.0028120281429824E-2</v>
      </c>
      <c r="O57">
        <f t="shared" si="4"/>
        <v>-5.6497804295359944E-2</v>
      </c>
      <c r="R57" s="106" t="s">
        <v>343</v>
      </c>
      <c r="S57" s="106">
        <v>0.24173240680821995</v>
      </c>
      <c r="AB57" s="29">
        <v>37071</v>
      </c>
      <c r="AC57">
        <v>33.090000000000003</v>
      </c>
      <c r="AD57">
        <v>1224.3800000000001</v>
      </c>
      <c r="AE57">
        <f t="shared" si="5"/>
        <v>8.1264555570251286E-3</v>
      </c>
      <c r="AF57">
        <f t="shared" si="3"/>
        <v>1.0028120281429824E-2</v>
      </c>
      <c r="AR57">
        <v>49.1</v>
      </c>
      <c r="AS57">
        <f t="shared" si="6"/>
        <v>-1.642747414194793E-2</v>
      </c>
    </row>
    <row r="58" spans="1:45" x14ac:dyDescent="0.2">
      <c r="A58" s="29">
        <v>37070</v>
      </c>
      <c r="B58">
        <v>15.98</v>
      </c>
      <c r="C58">
        <v>17.25</v>
      </c>
      <c r="D58">
        <v>7.98</v>
      </c>
      <c r="E58">
        <v>8.42</v>
      </c>
      <c r="F58">
        <v>33.67</v>
      </c>
      <c r="G58">
        <v>1226.2</v>
      </c>
      <c r="H58">
        <f t="shared" si="7"/>
        <v>4.2872456592471984E-2</v>
      </c>
      <c r="I58">
        <f t="shared" si="1"/>
        <v>0.22950011706904511</v>
      </c>
      <c r="J58">
        <f t="shared" si="1"/>
        <v>7.1329321147970942E-2</v>
      </c>
      <c r="K58">
        <f t="shared" si="1"/>
        <v>6.6614749081984032E-2</v>
      </c>
      <c r="M58">
        <f t="shared" si="2"/>
        <v>-1.4853629219389309E-3</v>
      </c>
      <c r="O58">
        <f t="shared" si="4"/>
        <v>9.831147198382062E-2</v>
      </c>
      <c r="R58" s="106" t="s">
        <v>344</v>
      </c>
      <c r="S58" s="106">
        <v>8.7772295938120762E-2</v>
      </c>
      <c r="AB58" s="29">
        <v>37070</v>
      </c>
      <c r="AC58">
        <v>33.67</v>
      </c>
      <c r="AD58">
        <v>1226.2</v>
      </c>
      <c r="AE58">
        <f t="shared" si="5"/>
        <v>-1.7376111239462227E-2</v>
      </c>
      <c r="AF58">
        <f t="shared" si="3"/>
        <v>-1.4853629219389309E-3</v>
      </c>
      <c r="AR58">
        <v>48.34</v>
      </c>
      <c r="AS58">
        <f t="shared" si="6"/>
        <v>1.5599659525137954E-2</v>
      </c>
    </row>
    <row r="59" spans="1:45" ht="10.8" thickBot="1" x14ac:dyDescent="0.25">
      <c r="A59" s="29">
        <v>37069</v>
      </c>
      <c r="B59">
        <v>15.76</v>
      </c>
      <c r="C59">
        <v>17.12</v>
      </c>
      <c r="D59">
        <v>7.5</v>
      </c>
      <c r="E59">
        <v>8.67</v>
      </c>
      <c r="F59">
        <v>34.76</v>
      </c>
      <c r="G59">
        <v>1211.07</v>
      </c>
      <c r="H59">
        <f t="shared" si="7"/>
        <v>1.3862855908395665E-2</v>
      </c>
      <c r="I59">
        <f t="shared" si="1"/>
        <v>7.5647727637726727E-3</v>
      </c>
      <c r="J59">
        <f t="shared" si="1"/>
        <v>6.2035390919452697E-2</v>
      </c>
      <c r="K59">
        <f t="shared" si="1"/>
        <v>-2.9258962538215159E-2</v>
      </c>
      <c r="M59">
        <f t="shared" si="2"/>
        <v>1.2415689977843406E-2</v>
      </c>
      <c r="O59">
        <f t="shared" si="4"/>
        <v>2.7388235635766027E-2</v>
      </c>
      <c r="R59" s="107" t="s">
        <v>345</v>
      </c>
      <c r="S59" s="107">
        <v>274</v>
      </c>
      <c r="AB59" s="29">
        <v>37069</v>
      </c>
      <c r="AC59">
        <v>34.76</v>
      </c>
      <c r="AD59">
        <v>1211.07</v>
      </c>
      <c r="AE59">
        <f t="shared" si="5"/>
        <v>-3.1860067224208075E-2</v>
      </c>
      <c r="AF59">
        <f t="shared" si="3"/>
        <v>1.2415689977843406E-2</v>
      </c>
      <c r="AR59">
        <v>46.72</v>
      </c>
      <c r="AS59">
        <f t="shared" si="6"/>
        <v>3.4087036755365459E-2</v>
      </c>
    </row>
    <row r="60" spans="1:45" x14ac:dyDescent="0.2">
      <c r="A60" s="29">
        <v>37068</v>
      </c>
      <c r="B60">
        <v>17.05</v>
      </c>
      <c r="C60">
        <v>17.25</v>
      </c>
      <c r="D60">
        <v>7.7</v>
      </c>
      <c r="E60">
        <v>8.8699999999999992</v>
      </c>
      <c r="F60">
        <v>35.450000000000003</v>
      </c>
      <c r="G60">
        <v>1216.76</v>
      </c>
      <c r="H60">
        <f t="shared" si="7"/>
        <v>-7.8675119299792748E-2</v>
      </c>
      <c r="I60">
        <f t="shared" si="1"/>
        <v>-7.5647727637726918E-3</v>
      </c>
      <c r="J60">
        <f t="shared" si="1"/>
        <v>-2.6317308317373417E-2</v>
      </c>
      <c r="K60">
        <f t="shared" si="1"/>
        <v>-2.2806005529037509E-2</v>
      </c>
      <c r="M60">
        <f t="shared" si="2"/>
        <v>-4.6873219442102095E-3</v>
      </c>
      <c r="O60">
        <f t="shared" si="4"/>
        <v>-4.4542187006044114E-2</v>
      </c>
      <c r="AB60" s="29">
        <v>37068</v>
      </c>
      <c r="AC60">
        <v>35.450000000000003</v>
      </c>
      <c r="AD60">
        <v>1216.76</v>
      </c>
      <c r="AE60">
        <f t="shared" si="5"/>
        <v>-1.9655952580945345E-2</v>
      </c>
      <c r="AF60">
        <f t="shared" si="3"/>
        <v>-4.6873219442102095E-3</v>
      </c>
      <c r="AR60">
        <v>44.19</v>
      </c>
      <c r="AS60">
        <f t="shared" si="6"/>
        <v>5.5673819377323054E-2</v>
      </c>
    </row>
    <row r="61" spans="1:45" ht="10.8" thickBot="1" x14ac:dyDescent="0.25">
      <c r="A61" s="29">
        <v>37067</v>
      </c>
      <c r="B61">
        <v>19.73</v>
      </c>
      <c r="C61">
        <v>16</v>
      </c>
      <c r="D61">
        <v>7.45</v>
      </c>
      <c r="E61">
        <v>8.8800000000000008</v>
      </c>
      <c r="F61">
        <v>33.89</v>
      </c>
      <c r="G61">
        <v>1218.5999999999999</v>
      </c>
      <c r="H61">
        <f t="shared" si="7"/>
        <v>-0.14599011630499814</v>
      </c>
      <c r="I61">
        <f t="shared" si="1"/>
        <v>7.5223421237587532E-2</v>
      </c>
      <c r="J61">
        <f t="shared" si="1"/>
        <v>3.3006296468170077E-2</v>
      </c>
      <c r="K61">
        <f t="shared" si="1"/>
        <v>-1.1267606825907288E-3</v>
      </c>
      <c r="M61">
        <f t="shared" si="2"/>
        <v>-1.5110705194395595E-3</v>
      </c>
      <c r="O61">
        <f t="shared" si="4"/>
        <v>-3.4756620340752192E-2</v>
      </c>
      <c r="R61" t="s">
        <v>346</v>
      </c>
      <c r="AB61" s="29">
        <v>37067</v>
      </c>
      <c r="AC61">
        <v>33.89</v>
      </c>
      <c r="AD61">
        <v>1218.5999999999999</v>
      </c>
      <c r="AE61">
        <f t="shared" si="5"/>
        <v>4.5003267359176702E-2</v>
      </c>
      <c r="AF61">
        <f t="shared" si="3"/>
        <v>-1.5110705194395595E-3</v>
      </c>
      <c r="AR61">
        <v>44.07</v>
      </c>
      <c r="AS61">
        <f t="shared" si="6"/>
        <v>2.7192402887529186E-3</v>
      </c>
    </row>
    <row r="62" spans="1:45" ht="13.2" x14ac:dyDescent="0.25">
      <c r="A62" s="29">
        <v>37064</v>
      </c>
      <c r="B62">
        <v>18.47</v>
      </c>
      <c r="C62">
        <v>16.649999999999999</v>
      </c>
      <c r="D62">
        <v>6.9</v>
      </c>
      <c r="E62">
        <v>8.7799999999999994</v>
      </c>
      <c r="F62">
        <v>34.6</v>
      </c>
      <c r="G62">
        <v>1225.3499999999999</v>
      </c>
      <c r="H62">
        <f t="shared" si="7"/>
        <v>6.599252582337542E-2</v>
      </c>
      <c r="I62">
        <f t="shared" si="1"/>
        <v>-3.982149418667149E-2</v>
      </c>
      <c r="J62">
        <f t="shared" si="1"/>
        <v>7.6692620788254368E-2</v>
      </c>
      <c r="K62">
        <f t="shared" si="1"/>
        <v>1.1325149357053503E-2</v>
      </c>
      <c r="M62">
        <f t="shared" si="2"/>
        <v>-5.5238586415939771E-3</v>
      </c>
      <c r="O62">
        <f t="shared" si="4"/>
        <v>4.2968622642776379E-2</v>
      </c>
      <c r="R62" s="108"/>
      <c r="S62" s="108" t="s">
        <v>347</v>
      </c>
      <c r="T62" s="108" t="s">
        <v>348</v>
      </c>
      <c r="U62" s="108" t="s">
        <v>349</v>
      </c>
      <c r="V62" s="108" t="s">
        <v>350</v>
      </c>
      <c r="W62" s="108" t="s">
        <v>351</v>
      </c>
      <c r="AB62" s="29">
        <v>37064</v>
      </c>
      <c r="AC62">
        <v>34.6</v>
      </c>
      <c r="AD62">
        <v>1225.3499999999999</v>
      </c>
      <c r="AE62">
        <f t="shared" si="5"/>
        <v>-2.0733696444718581E-2</v>
      </c>
      <c r="AF62">
        <f t="shared" si="3"/>
        <v>-5.5238586415939771E-3</v>
      </c>
      <c r="AR62">
        <v>44.88</v>
      </c>
      <c r="AS62">
        <f t="shared" si="6"/>
        <v>-1.8212982360545266E-2</v>
      </c>
    </row>
    <row r="63" spans="1:45" x14ac:dyDescent="0.2">
      <c r="A63" s="29">
        <v>37063</v>
      </c>
      <c r="B63">
        <v>17.579999999999998</v>
      </c>
      <c r="C63">
        <v>17.07</v>
      </c>
      <c r="D63">
        <v>6.97</v>
      </c>
      <c r="E63">
        <v>8.84</v>
      </c>
      <c r="F63">
        <v>35.5</v>
      </c>
      <c r="G63">
        <v>1237.04</v>
      </c>
      <c r="H63">
        <f t="shared" si="7"/>
        <v>4.9385901954117774E-2</v>
      </c>
      <c r="I63">
        <f t="shared" si="1"/>
        <v>-2.4912320379896456E-2</v>
      </c>
      <c r="J63">
        <f t="shared" si="1"/>
        <v>-1.0093813169218676E-2</v>
      </c>
      <c r="K63">
        <f t="shared" si="1"/>
        <v>-6.8104690025268628E-3</v>
      </c>
      <c r="M63">
        <f t="shared" si="2"/>
        <v>-9.4949117111870901E-3</v>
      </c>
      <c r="O63">
        <f t="shared" si="4"/>
        <v>1.222659003658827E-2</v>
      </c>
      <c r="R63" s="106" t="s">
        <v>352</v>
      </c>
      <c r="S63" s="106">
        <v>1</v>
      </c>
      <c r="T63" s="106">
        <v>0.67819033264365336</v>
      </c>
      <c r="U63" s="106">
        <v>0.67819033264365336</v>
      </c>
      <c r="V63" s="106">
        <v>88.031211212468634</v>
      </c>
      <c r="W63" s="106">
        <v>2.6573638780294727E-18</v>
      </c>
      <c r="AB63" s="29">
        <v>37063</v>
      </c>
      <c r="AC63">
        <v>35.5</v>
      </c>
      <c r="AD63">
        <v>1237.04</v>
      </c>
      <c r="AE63">
        <f t="shared" si="5"/>
        <v>-2.5679014417691506E-2</v>
      </c>
      <c r="AF63">
        <f t="shared" si="3"/>
        <v>-9.4949117111870901E-3</v>
      </c>
      <c r="AR63">
        <v>44.05</v>
      </c>
      <c r="AS63">
        <f t="shared" si="6"/>
        <v>1.8666908832252464E-2</v>
      </c>
    </row>
    <row r="64" spans="1:45" x14ac:dyDescent="0.2">
      <c r="A64" s="29">
        <v>37062</v>
      </c>
      <c r="B64">
        <v>15.5</v>
      </c>
      <c r="C64">
        <v>17.07</v>
      </c>
      <c r="D64">
        <v>5.33</v>
      </c>
      <c r="E64">
        <v>8.5399999999999991</v>
      </c>
      <c r="F64">
        <v>39.020000000000003</v>
      </c>
      <c r="G64">
        <v>1223.1400000000001</v>
      </c>
      <c r="H64">
        <f t="shared" si="7"/>
        <v>0.12592186833182986</v>
      </c>
      <c r="I64">
        <f t="shared" si="1"/>
        <v>0</v>
      </c>
      <c r="J64">
        <f t="shared" si="1"/>
        <v>0.26826398659467937</v>
      </c>
      <c r="K64">
        <f t="shared" si="1"/>
        <v>3.4525868849073611E-2</v>
      </c>
      <c r="M64">
        <f t="shared" si="2"/>
        <v>1.1300106423151532E-2</v>
      </c>
      <c r="O64">
        <f t="shared" si="4"/>
        <v>0.13913689259324602</v>
      </c>
      <c r="R64" s="106" t="s">
        <v>119</v>
      </c>
      <c r="S64" s="106">
        <v>272</v>
      </c>
      <c r="T64" s="106">
        <v>2.0954814541157414</v>
      </c>
      <c r="U64" s="106">
        <v>7.7039759342490488E-3</v>
      </c>
      <c r="V64" s="106"/>
      <c r="W64" s="106"/>
      <c r="AB64" s="29">
        <v>37062</v>
      </c>
      <c r="AC64">
        <v>39.020000000000003</v>
      </c>
      <c r="AD64">
        <v>1223.1400000000001</v>
      </c>
      <c r="AE64">
        <f t="shared" si="5"/>
        <v>-9.4541638713595125E-2</v>
      </c>
      <c r="AF64">
        <f t="shared" si="3"/>
        <v>1.1300106423151532E-2</v>
      </c>
      <c r="AR64">
        <v>45.8</v>
      </c>
      <c r="AS64">
        <f t="shared" si="6"/>
        <v>-3.8958738737950763E-2</v>
      </c>
    </row>
    <row r="65" spans="1:45" ht="10.8" thickBot="1" x14ac:dyDescent="0.25">
      <c r="A65" s="29">
        <v>37061</v>
      </c>
      <c r="B65">
        <v>18.25</v>
      </c>
      <c r="C65">
        <v>16.600000000000001</v>
      </c>
      <c r="D65">
        <v>5.17</v>
      </c>
      <c r="E65">
        <v>8.75</v>
      </c>
      <c r="F65">
        <v>38.630000000000003</v>
      </c>
      <c r="G65">
        <v>1212.58</v>
      </c>
      <c r="H65">
        <f t="shared" si="7"/>
        <v>-0.16332505610329964</v>
      </c>
      <c r="I65">
        <f t="shared" si="1"/>
        <v>2.7919841443851519E-2</v>
      </c>
      <c r="J65">
        <f t="shared" si="1"/>
        <v>3.0478549657415432E-2</v>
      </c>
      <c r="K65">
        <f t="shared" si="1"/>
        <v>-2.4292692569044701E-2</v>
      </c>
      <c r="M65">
        <f t="shared" si="2"/>
        <v>8.6710017274856388E-3</v>
      </c>
      <c r="O65">
        <f t="shared" si="4"/>
        <v>-5.492203917820461E-2</v>
      </c>
      <c r="R65" s="107" t="s">
        <v>8</v>
      </c>
      <c r="S65" s="107">
        <v>273</v>
      </c>
      <c r="T65" s="107">
        <v>2.7736717867593947</v>
      </c>
      <c r="U65" s="107"/>
      <c r="V65" s="107"/>
      <c r="W65" s="107"/>
      <c r="AB65" s="29">
        <v>37061</v>
      </c>
      <c r="AC65">
        <v>38.630000000000003</v>
      </c>
      <c r="AD65">
        <v>1212.58</v>
      </c>
      <c r="AE65">
        <f t="shared" si="5"/>
        <v>1.0045158516775324E-2</v>
      </c>
      <c r="AF65">
        <f t="shared" si="3"/>
        <v>8.6710017274856388E-3</v>
      </c>
      <c r="AR65">
        <v>46.18</v>
      </c>
      <c r="AS65">
        <f t="shared" si="6"/>
        <v>-8.2627128062100867E-3</v>
      </c>
    </row>
    <row r="66" spans="1:45" ht="10.8" thickBot="1" x14ac:dyDescent="0.25">
      <c r="A66" s="29">
        <v>37060</v>
      </c>
      <c r="B66">
        <v>19.02</v>
      </c>
      <c r="C66">
        <v>17.010000000000002</v>
      </c>
      <c r="D66">
        <v>6.05</v>
      </c>
      <c r="E66">
        <v>8.82</v>
      </c>
      <c r="F66">
        <v>40.03</v>
      </c>
      <c r="G66">
        <v>1208.43</v>
      </c>
      <c r="H66">
        <f t="shared" si="7"/>
        <v>-4.1325977088743707E-2</v>
      </c>
      <c r="I66">
        <f t="shared" si="1"/>
        <v>-2.4398711045272862E-2</v>
      </c>
      <c r="J66">
        <f t="shared" si="1"/>
        <v>-0.15718558352241227</v>
      </c>
      <c r="K66">
        <f t="shared" si="1"/>
        <v>-7.9681696491769576E-3</v>
      </c>
      <c r="M66">
        <f t="shared" si="2"/>
        <v>3.4283245957017761E-3</v>
      </c>
      <c r="O66">
        <f t="shared" si="4"/>
        <v>-7.3412170679406447E-2</v>
      </c>
      <c r="AB66" s="29">
        <v>37060</v>
      </c>
      <c r="AC66">
        <v>40.03</v>
      </c>
      <c r="AD66">
        <v>1208.43</v>
      </c>
      <c r="AE66">
        <f t="shared" si="5"/>
        <v>-3.5599996326292328E-2</v>
      </c>
      <c r="AF66">
        <f t="shared" si="3"/>
        <v>3.4283245957017761E-3</v>
      </c>
      <c r="AR66">
        <v>44.7</v>
      </c>
      <c r="AS66">
        <f t="shared" si="6"/>
        <v>3.2573302306826077E-2</v>
      </c>
    </row>
    <row r="67" spans="1:45" ht="13.2" x14ac:dyDescent="0.25">
      <c r="A67" s="29">
        <v>37057</v>
      </c>
      <c r="B67">
        <v>20.95</v>
      </c>
      <c r="C67">
        <v>17.239999999999998</v>
      </c>
      <c r="D67">
        <v>6.84</v>
      </c>
      <c r="E67">
        <v>8.8000000000000007</v>
      </c>
      <c r="F67">
        <v>39</v>
      </c>
      <c r="G67">
        <v>1214.3599999999999</v>
      </c>
      <c r="H67">
        <f t="shared" si="7"/>
        <v>-9.6647589250902444E-2</v>
      </c>
      <c r="I67">
        <f t="shared" si="1"/>
        <v>-1.3430858827776457E-2</v>
      </c>
      <c r="J67">
        <f t="shared" si="1"/>
        <v>-0.12272945959170907</v>
      </c>
      <c r="K67">
        <f t="shared" si="1"/>
        <v>2.2701485345390775E-3</v>
      </c>
      <c r="M67">
        <f t="shared" si="2"/>
        <v>-4.8951926016425444E-3</v>
      </c>
      <c r="O67">
        <f t="shared" si="4"/>
        <v>-8.4076676826444041E-2</v>
      </c>
      <c r="R67" s="108"/>
      <c r="S67" s="108" t="s">
        <v>353</v>
      </c>
      <c r="T67" s="108" t="s">
        <v>344</v>
      </c>
      <c r="U67" s="108" t="s">
        <v>354</v>
      </c>
      <c r="V67" s="108" t="s">
        <v>355</v>
      </c>
      <c r="W67" s="108" t="s">
        <v>356</v>
      </c>
      <c r="X67" s="108" t="s">
        <v>357</v>
      </c>
      <c r="Y67" s="108" t="s">
        <v>358</v>
      </c>
      <c r="Z67" s="108" t="s">
        <v>359</v>
      </c>
      <c r="AB67" s="29">
        <v>37057</v>
      </c>
      <c r="AC67">
        <v>39</v>
      </c>
      <c r="AD67">
        <v>1214.3599999999999</v>
      </c>
      <c r="AE67">
        <f t="shared" si="5"/>
        <v>2.6067526874835815E-2</v>
      </c>
      <c r="AF67">
        <f t="shared" si="3"/>
        <v>-4.8951926016425444E-3</v>
      </c>
      <c r="AR67">
        <v>47.26</v>
      </c>
      <c r="AS67">
        <f t="shared" si="6"/>
        <v>-5.5690770139238538E-2</v>
      </c>
    </row>
    <row r="68" spans="1:45" x14ac:dyDescent="0.2">
      <c r="A68" s="29">
        <v>37056</v>
      </c>
      <c r="B68">
        <v>19.079999999999998</v>
      </c>
      <c r="C68">
        <v>17.899999999999999</v>
      </c>
      <c r="D68">
        <v>7.44</v>
      </c>
      <c r="E68">
        <v>8.7899999999999991</v>
      </c>
      <c r="F68">
        <v>37.15</v>
      </c>
      <c r="G68">
        <v>1219.8699999999999</v>
      </c>
      <c r="H68">
        <f t="shared" si="7"/>
        <v>9.349798034800634E-2</v>
      </c>
      <c r="I68">
        <f t="shared" si="1"/>
        <v>-3.7568447611162292E-2</v>
      </c>
      <c r="J68">
        <f t="shared" si="1"/>
        <v>-8.4083117210541444E-2</v>
      </c>
      <c r="K68">
        <f t="shared" si="1"/>
        <v>1.1370097870753238E-3</v>
      </c>
      <c r="M68">
        <f t="shared" si="2"/>
        <v>-4.5271066501336617E-3</v>
      </c>
      <c r="O68">
        <f t="shared" si="4"/>
        <v>5.1794881007902992E-3</v>
      </c>
      <c r="R68" s="106" t="s">
        <v>360</v>
      </c>
      <c r="S68" s="106">
        <v>-9.1889466991547843E-3</v>
      </c>
      <c r="T68" s="106">
        <v>5.3116781186596787E-3</v>
      </c>
      <c r="U68" s="106">
        <v>-1.7299517203187522</v>
      </c>
      <c r="V68" s="106">
        <v>8.4773227912479932E-2</v>
      </c>
      <c r="W68" s="106">
        <v>-1.9646175230372567E-2</v>
      </c>
      <c r="X68" s="106">
        <v>1.2682818320629979E-3</v>
      </c>
      <c r="Y68" s="106">
        <v>-1.9646175230372567E-2</v>
      </c>
      <c r="Z68" s="106">
        <v>1.2682818320629979E-3</v>
      </c>
      <c r="AB68" s="29">
        <v>37056</v>
      </c>
      <c r="AC68">
        <v>37.15</v>
      </c>
      <c r="AD68">
        <v>1219.8699999999999</v>
      </c>
      <c r="AE68">
        <f t="shared" si="5"/>
        <v>4.8597874965878314E-2</v>
      </c>
      <c r="AF68">
        <f t="shared" si="3"/>
        <v>-4.5271066501336617E-3</v>
      </c>
      <c r="AR68">
        <v>47.91</v>
      </c>
      <c r="AS68">
        <f t="shared" si="6"/>
        <v>-1.3659979136268931E-2</v>
      </c>
    </row>
    <row r="69" spans="1:45" ht="10.8" thickBot="1" x14ac:dyDescent="0.25">
      <c r="A69" s="29">
        <v>37055</v>
      </c>
      <c r="B69">
        <v>19.75</v>
      </c>
      <c r="C69">
        <v>19</v>
      </c>
      <c r="D69">
        <v>8</v>
      </c>
      <c r="E69">
        <v>8.7899999999999991</v>
      </c>
      <c r="F69">
        <v>35.6</v>
      </c>
      <c r="G69">
        <v>1241.5999999999999</v>
      </c>
      <c r="H69">
        <f t="shared" si="7"/>
        <v>-3.4512825326990501E-2</v>
      </c>
      <c r="I69">
        <f t="shared" si="1"/>
        <v>-5.9638266319731223E-2</v>
      </c>
      <c r="J69">
        <f t="shared" si="1"/>
        <v>-7.2570692834835374E-2</v>
      </c>
      <c r="K69">
        <f t="shared" si="1"/>
        <v>0</v>
      </c>
      <c r="M69">
        <f t="shared" si="2"/>
        <v>-1.7656574756341942E-2</v>
      </c>
      <c r="O69">
        <f t="shared" si="4"/>
        <v>-5.270180087063342E-2</v>
      </c>
      <c r="R69" s="107" t="s">
        <v>361</v>
      </c>
      <c r="S69" s="107">
        <v>3.7798575015639875</v>
      </c>
      <c r="T69" s="107">
        <v>0.40286272762161524</v>
      </c>
      <c r="U69" s="107">
        <v>9.3824949353820113</v>
      </c>
      <c r="V69" s="107">
        <v>2.6573638780290047E-18</v>
      </c>
      <c r="W69" s="107">
        <v>2.9867319552983913</v>
      </c>
      <c r="X69" s="107">
        <v>4.5729830478295836</v>
      </c>
      <c r="Y69" s="107">
        <v>2.9867319552983913</v>
      </c>
      <c r="Z69" s="107">
        <v>4.5729830478295836</v>
      </c>
      <c r="AB69" s="29">
        <v>37055</v>
      </c>
      <c r="AC69">
        <v>35.6</v>
      </c>
      <c r="AD69">
        <v>1241.5999999999999</v>
      </c>
      <c r="AE69">
        <f t="shared" si="5"/>
        <v>4.2618133305783366E-2</v>
      </c>
      <c r="AF69">
        <f t="shared" si="3"/>
        <v>-1.7656574756341942E-2</v>
      </c>
      <c r="AR69">
        <v>49.92</v>
      </c>
      <c r="AS69">
        <f t="shared" si="6"/>
        <v>-4.109747316614152E-2</v>
      </c>
    </row>
    <row r="70" spans="1:45" x14ac:dyDescent="0.2">
      <c r="A70" s="29">
        <v>37054</v>
      </c>
      <c r="B70">
        <v>20.95</v>
      </c>
      <c r="C70">
        <v>19.649999999999999</v>
      </c>
      <c r="D70">
        <v>8.52</v>
      </c>
      <c r="E70">
        <v>8.5500000000000007</v>
      </c>
      <c r="F70">
        <v>34.72</v>
      </c>
      <c r="G70">
        <v>1255.8499999999999</v>
      </c>
      <c r="H70">
        <f t="shared" si="7"/>
        <v>-5.8985155021015825E-2</v>
      </c>
      <c r="I70">
        <f t="shared" si="1"/>
        <v>-3.3638359148829684E-2</v>
      </c>
      <c r="J70">
        <f t="shared" si="1"/>
        <v>-6.2974799161388428E-2</v>
      </c>
      <c r="K70">
        <f t="shared" si="1"/>
        <v>2.7683428748416648E-2</v>
      </c>
      <c r="M70">
        <f t="shared" si="2"/>
        <v>-1.1411763715655018E-2</v>
      </c>
      <c r="O70">
        <f t="shared" si="4"/>
        <v>-5.39170044219906E-2</v>
      </c>
      <c r="U70">
        <f>(S69-1)/T69</f>
        <v>6.9002598427892803</v>
      </c>
      <c r="AB70" s="29">
        <v>37054</v>
      </c>
      <c r="AC70">
        <v>34.72</v>
      </c>
      <c r="AD70">
        <v>1255.8499999999999</v>
      </c>
      <c r="AE70">
        <f t="shared" si="5"/>
        <v>2.5029748065835515E-2</v>
      </c>
      <c r="AF70">
        <f t="shared" si="3"/>
        <v>-1.1411763715655018E-2</v>
      </c>
      <c r="AR70">
        <v>50.37</v>
      </c>
      <c r="AS70">
        <f t="shared" si="6"/>
        <v>-8.9740356963868024E-3</v>
      </c>
    </row>
    <row r="71" spans="1:45" x14ac:dyDescent="0.2">
      <c r="A71" s="29">
        <v>37053</v>
      </c>
      <c r="B71">
        <v>22</v>
      </c>
      <c r="C71">
        <v>20.61</v>
      </c>
      <c r="D71">
        <v>8.8000000000000007</v>
      </c>
      <c r="E71">
        <v>8.99</v>
      </c>
      <c r="F71">
        <v>34.86</v>
      </c>
      <c r="G71">
        <v>1254.3900000000001</v>
      </c>
      <c r="H71">
        <f t="shared" si="7"/>
        <v>-4.8903806990169121E-2</v>
      </c>
      <c r="I71">
        <f t="shared" si="1"/>
        <v>-4.7699056587097499E-2</v>
      </c>
      <c r="J71">
        <f t="shared" si="1"/>
        <v>-3.2335380642936576E-2</v>
      </c>
      <c r="K71">
        <f t="shared" si="1"/>
        <v>-5.018156553485998E-2</v>
      </c>
      <c r="M71">
        <f t="shared" si="2"/>
        <v>1.1632355190174235E-3</v>
      </c>
      <c r="O71">
        <f t="shared" si="4"/>
        <v>-4.3411611604200775E-2</v>
      </c>
      <c r="AB71" s="29">
        <v>37053</v>
      </c>
      <c r="AC71">
        <v>34.86</v>
      </c>
      <c r="AD71">
        <v>1254.3900000000001</v>
      </c>
      <c r="AE71">
        <f t="shared" si="5"/>
        <v>-4.0241502997254907E-3</v>
      </c>
      <c r="AF71">
        <f t="shared" si="3"/>
        <v>1.1632355190174235E-3</v>
      </c>
      <c r="AR71">
        <v>51</v>
      </c>
      <c r="AS71">
        <f t="shared" si="6"/>
        <v>-1.2429872966766719E-2</v>
      </c>
    </row>
    <row r="72" spans="1:45" x14ac:dyDescent="0.2">
      <c r="A72" s="29">
        <v>37050</v>
      </c>
      <c r="B72">
        <v>22.97</v>
      </c>
      <c r="C72">
        <v>21.1</v>
      </c>
      <c r="D72">
        <v>9.24</v>
      </c>
      <c r="E72">
        <v>9.1999999999999993</v>
      </c>
      <c r="F72">
        <v>35.24</v>
      </c>
      <c r="G72">
        <v>1264.96</v>
      </c>
      <c r="H72">
        <f t="shared" si="7"/>
        <v>-4.3146563342690999E-2</v>
      </c>
      <c r="I72">
        <f t="shared" si="1"/>
        <v>-2.3496645579653225E-2</v>
      </c>
      <c r="J72">
        <f t="shared" si="1"/>
        <v>-4.8790164169431945E-2</v>
      </c>
      <c r="K72">
        <f t="shared" si="1"/>
        <v>-2.3090635571465644E-2</v>
      </c>
      <c r="M72">
        <f t="shared" si="2"/>
        <v>-8.3911024827287711E-3</v>
      </c>
      <c r="O72">
        <f t="shared" si="4"/>
        <v>-4.00167907632894E-2</v>
      </c>
      <c r="S72" t="s">
        <v>329</v>
      </c>
      <c r="T72" t="s">
        <v>366</v>
      </c>
      <c r="U72" t="s">
        <v>367</v>
      </c>
      <c r="AB72" s="29">
        <v>37050</v>
      </c>
      <c r="AC72">
        <v>35.24</v>
      </c>
      <c r="AD72">
        <v>1264.96</v>
      </c>
      <c r="AE72">
        <f t="shared" si="5"/>
        <v>-1.084176097610394E-2</v>
      </c>
      <c r="AF72">
        <f t="shared" si="3"/>
        <v>-8.3911024827287711E-3</v>
      </c>
      <c r="AR72">
        <v>51.13</v>
      </c>
      <c r="AS72">
        <f t="shared" si="6"/>
        <v>-2.5457763675822047E-3</v>
      </c>
    </row>
    <row r="73" spans="1:45" ht="10.8" thickBot="1" x14ac:dyDescent="0.25">
      <c r="A73" s="29">
        <v>37049</v>
      </c>
      <c r="B73">
        <v>24.83</v>
      </c>
      <c r="C73">
        <v>20.9</v>
      </c>
      <c r="D73">
        <v>10.32</v>
      </c>
      <c r="E73">
        <v>9.2899999999999991</v>
      </c>
      <c r="F73">
        <v>35.24</v>
      </c>
      <c r="G73">
        <v>1276.96</v>
      </c>
      <c r="H73">
        <f t="shared" si="7"/>
        <v>-7.7863582819068286E-2</v>
      </c>
      <c r="I73">
        <f t="shared" si="1"/>
        <v>9.523881511255541E-3</v>
      </c>
      <c r="J73">
        <f t="shared" si="1"/>
        <v>-0.11054187439982384</v>
      </c>
      <c r="K73">
        <f t="shared" si="1"/>
        <v>-9.7350687707524666E-3</v>
      </c>
      <c r="M73">
        <f t="shared" si="2"/>
        <v>-9.4417520193780732E-3</v>
      </c>
      <c r="O73">
        <f t="shared" si="4"/>
        <v>-6.6320060795793834E-2</v>
      </c>
      <c r="R73" t="s">
        <v>315</v>
      </c>
      <c r="S73" s="107">
        <v>2.0175067324952138</v>
      </c>
      <c r="T73">
        <v>241.6</v>
      </c>
      <c r="U73" s="30">
        <f>T73/$T$76</f>
        <v>0.43736422881969589</v>
      </c>
      <c r="AB73" s="29">
        <v>37049</v>
      </c>
      <c r="AC73">
        <v>35.24</v>
      </c>
      <c r="AD73">
        <v>1276.96</v>
      </c>
      <c r="AE73">
        <f t="shared" si="5"/>
        <v>0</v>
      </c>
      <c r="AF73">
        <f t="shared" si="3"/>
        <v>-9.4417520193780732E-3</v>
      </c>
      <c r="AR73">
        <v>50.52</v>
      </c>
      <c r="AS73">
        <f t="shared" si="6"/>
        <v>1.2002111609617425E-2</v>
      </c>
    </row>
    <row r="74" spans="1:45" ht="10.8" thickBot="1" x14ac:dyDescent="0.25">
      <c r="A74" s="29">
        <v>37048</v>
      </c>
      <c r="B74">
        <v>25.9</v>
      </c>
      <c r="C74">
        <v>20.350000000000001</v>
      </c>
      <c r="D74">
        <v>10.210000000000001</v>
      </c>
      <c r="E74">
        <v>9.39</v>
      </c>
      <c r="F74">
        <v>36.6</v>
      </c>
      <c r="G74">
        <v>1270.03</v>
      </c>
      <c r="H74">
        <f t="shared" si="7"/>
        <v>-4.2190369185416833E-2</v>
      </c>
      <c r="I74">
        <f t="shared" si="1"/>
        <v>2.6668247082161273E-2</v>
      </c>
      <c r="J74">
        <f t="shared" si="1"/>
        <v>1.0716127876842384E-2</v>
      </c>
      <c r="K74">
        <f t="shared" si="1"/>
        <v>-1.0706740394424569E-2</v>
      </c>
      <c r="M74">
        <f t="shared" si="2"/>
        <v>5.4417309068140263E-3</v>
      </c>
      <c r="O74">
        <f t="shared" si="4"/>
        <v>-8.446802745296314E-3</v>
      </c>
      <c r="R74" t="s">
        <v>317</v>
      </c>
      <c r="S74" s="107">
        <v>0.62248004843818028</v>
      </c>
      <c r="T74">
        <v>137.69999999999999</v>
      </c>
      <c r="U74" s="30">
        <f>T74/$T$76</f>
        <v>0.24927588703837797</v>
      </c>
      <c r="V74" t="s">
        <v>368</v>
      </c>
      <c r="X74" s="30">
        <f>SUMPRODUCT(S73:S75,U73:U75)</f>
        <v>2.2220102511975153</v>
      </c>
      <c r="AB74" s="29">
        <v>37048</v>
      </c>
      <c r="AC74">
        <v>36.6</v>
      </c>
      <c r="AD74">
        <v>1270.03</v>
      </c>
      <c r="AE74">
        <f t="shared" si="5"/>
        <v>-3.7866439339341827E-2</v>
      </c>
      <c r="AF74">
        <f t="shared" si="3"/>
        <v>5.4417309068140263E-3</v>
      </c>
      <c r="AR74">
        <v>52.33</v>
      </c>
      <c r="AS74">
        <f t="shared" si="6"/>
        <v>-3.5200522901826015E-2</v>
      </c>
    </row>
    <row r="75" spans="1:45" ht="10.8" thickBot="1" x14ac:dyDescent="0.25">
      <c r="A75" s="29">
        <v>37047</v>
      </c>
      <c r="B75">
        <v>24.87</v>
      </c>
      <c r="C75">
        <v>20.37</v>
      </c>
      <c r="D75">
        <v>10.99</v>
      </c>
      <c r="E75">
        <v>9.32</v>
      </c>
      <c r="F75">
        <v>38.18</v>
      </c>
      <c r="G75">
        <v>1283.57</v>
      </c>
      <c r="H75">
        <f t="shared" si="7"/>
        <v>4.0580710890178569E-2</v>
      </c>
      <c r="I75">
        <f t="shared" si="1"/>
        <v>-9.8231835011045217E-4</v>
      </c>
      <c r="J75">
        <f t="shared" si="1"/>
        <v>-7.3618136238955745E-2</v>
      </c>
      <c r="K75">
        <f t="shared" si="1"/>
        <v>7.4826645226718199E-3</v>
      </c>
      <c r="M75">
        <f t="shared" si="2"/>
        <v>-1.0604735974787274E-2</v>
      </c>
      <c r="O75">
        <f t="shared" si="4"/>
        <v>-5.5652875972235817E-3</v>
      </c>
      <c r="R75" t="s">
        <v>316</v>
      </c>
      <c r="S75" s="107">
        <v>3.7798575015639875</v>
      </c>
      <c r="T75">
        <v>173.1</v>
      </c>
      <c r="U75" s="30">
        <f>T75/$T$76</f>
        <v>0.31335988414192617</v>
      </c>
      <c r="AB75" s="29">
        <v>37047</v>
      </c>
      <c r="AC75">
        <v>38.18</v>
      </c>
      <c r="AD75">
        <v>1283.57</v>
      </c>
      <c r="AE75">
        <f t="shared" si="5"/>
        <v>-4.2263577890280887E-2</v>
      </c>
      <c r="AF75">
        <f t="shared" si="3"/>
        <v>-1.0604735974787274E-2</v>
      </c>
      <c r="AR75">
        <v>53.75</v>
      </c>
      <c r="AS75">
        <f t="shared" si="6"/>
        <v>-2.6773846623655801E-2</v>
      </c>
    </row>
    <row r="76" spans="1:45" x14ac:dyDescent="0.2">
      <c r="A76" s="29">
        <v>37046</v>
      </c>
      <c r="B76">
        <v>22.68</v>
      </c>
      <c r="C76">
        <v>19.95</v>
      </c>
      <c r="D76">
        <v>10.35</v>
      </c>
      <c r="E76">
        <v>9.41</v>
      </c>
      <c r="F76">
        <v>38.75</v>
      </c>
      <c r="G76">
        <v>1267.1099999999999</v>
      </c>
      <c r="H76">
        <f t="shared" si="7"/>
        <v>9.2178778955761931E-2</v>
      </c>
      <c r="I76">
        <f t="shared" si="1"/>
        <v>2.0834086902842053E-2</v>
      </c>
      <c r="J76">
        <f t="shared" si="1"/>
        <v>5.9999248704151881E-2</v>
      </c>
      <c r="K76">
        <f t="shared" si="1"/>
        <v>-9.6103248997884052E-3</v>
      </c>
      <c r="M76">
        <f t="shared" si="2"/>
        <v>1.2906541385016989E-2</v>
      </c>
      <c r="O76">
        <f t="shared" si="4"/>
        <v>6.4310493687404283E-2</v>
      </c>
      <c r="T76">
        <f>SUM(T73:T75)</f>
        <v>552.4</v>
      </c>
      <c r="AB76" s="29">
        <v>37046</v>
      </c>
      <c r="AC76">
        <v>38.75</v>
      </c>
      <c r="AD76">
        <v>1267.1099999999999</v>
      </c>
      <c r="AE76">
        <f t="shared" si="5"/>
        <v>-1.4818937501754411E-2</v>
      </c>
      <c r="AF76">
        <f t="shared" si="3"/>
        <v>1.2906541385016989E-2</v>
      </c>
      <c r="AR76">
        <v>54.54</v>
      </c>
      <c r="AS76">
        <f t="shared" si="6"/>
        <v>-1.4590710409670271E-2</v>
      </c>
    </row>
    <row r="77" spans="1:45" x14ac:dyDescent="0.2">
      <c r="A77" s="29">
        <v>37043</v>
      </c>
      <c r="B77">
        <v>24.9</v>
      </c>
      <c r="C77">
        <v>19.2</v>
      </c>
      <c r="D77">
        <v>10.18</v>
      </c>
      <c r="E77">
        <v>8.86</v>
      </c>
      <c r="F77">
        <v>37.49</v>
      </c>
      <c r="G77">
        <v>1260.67</v>
      </c>
      <c r="H77">
        <f t="shared" si="7"/>
        <v>-9.3384324611110583E-2</v>
      </c>
      <c r="I77">
        <f t="shared" si="1"/>
        <v>3.8318864302136602E-2</v>
      </c>
      <c r="J77">
        <f t="shared" si="1"/>
        <v>1.6561508589001305E-2</v>
      </c>
      <c r="K77">
        <f t="shared" si="1"/>
        <v>6.0226188980298759E-2</v>
      </c>
      <c r="M77">
        <f t="shared" si="2"/>
        <v>5.0953911602089671E-3</v>
      </c>
      <c r="O77">
        <f t="shared" si="4"/>
        <v>-2.6101281815503224E-2</v>
      </c>
      <c r="AB77" s="29">
        <v>37043</v>
      </c>
      <c r="AC77">
        <v>37.49</v>
      </c>
      <c r="AD77">
        <v>1260.67</v>
      </c>
      <c r="AE77">
        <f t="shared" si="5"/>
        <v>3.305652505153537E-2</v>
      </c>
      <c r="AF77">
        <f t="shared" si="3"/>
        <v>5.0953911602089671E-3</v>
      </c>
      <c r="AR77">
        <v>53.04</v>
      </c>
      <c r="AS77">
        <f t="shared" si="6"/>
        <v>2.7888031539835302E-2</v>
      </c>
    </row>
    <row r="78" spans="1:45" x14ac:dyDescent="0.2">
      <c r="A78" s="29">
        <v>37042</v>
      </c>
      <c r="B78">
        <v>24.45</v>
      </c>
      <c r="C78">
        <v>19.25</v>
      </c>
      <c r="D78">
        <v>10.130000000000001</v>
      </c>
      <c r="E78">
        <v>9.0500000000000007</v>
      </c>
      <c r="F78">
        <v>36.99</v>
      </c>
      <c r="G78">
        <v>1255.82</v>
      </c>
      <c r="H78">
        <f t="shared" si="7"/>
        <v>1.8237587549780793E-2</v>
      </c>
      <c r="I78">
        <f t="shared" si="1"/>
        <v>-2.6007817000573675E-3</v>
      </c>
      <c r="J78">
        <f t="shared" si="1"/>
        <v>4.9236928617845208E-3</v>
      </c>
      <c r="K78">
        <f t="shared" si="1"/>
        <v>-2.1217993094845324E-2</v>
      </c>
      <c r="M78">
        <f t="shared" si="2"/>
        <v>3.8545799943738991E-3</v>
      </c>
      <c r="O78">
        <f t="shared" si="4"/>
        <v>8.871044073685809E-3</v>
      </c>
      <c r="R78" t="s">
        <v>362</v>
      </c>
      <c r="AB78" s="29">
        <v>37042</v>
      </c>
      <c r="AC78">
        <v>36.99</v>
      </c>
      <c r="AD78">
        <v>1255.82</v>
      </c>
      <c r="AE78">
        <f t="shared" si="5"/>
        <v>1.3426624903458043E-2</v>
      </c>
      <c r="AF78">
        <f t="shared" si="3"/>
        <v>3.8545799943738991E-3</v>
      </c>
      <c r="AR78">
        <v>52.91</v>
      </c>
      <c r="AS78">
        <f t="shared" si="6"/>
        <v>2.453988961566787E-3</v>
      </c>
    </row>
    <row r="79" spans="1:45" x14ac:dyDescent="0.2">
      <c r="A79" s="29">
        <v>37041</v>
      </c>
      <c r="B79">
        <v>24.03</v>
      </c>
      <c r="C79">
        <v>19.47</v>
      </c>
      <c r="D79">
        <v>10.11</v>
      </c>
      <c r="E79">
        <v>9.18</v>
      </c>
      <c r="F79">
        <v>36.54</v>
      </c>
      <c r="G79">
        <v>1248.08</v>
      </c>
      <c r="H79">
        <f t="shared" si="7"/>
        <v>1.7327166172503312E-2</v>
      </c>
      <c r="I79">
        <f t="shared" si="1"/>
        <v>-1.1363758650314982E-2</v>
      </c>
      <c r="J79">
        <f t="shared" si="1"/>
        <v>1.9762852282121804E-3</v>
      </c>
      <c r="K79">
        <f t="shared" si="1"/>
        <v>-1.4262446920564253E-2</v>
      </c>
      <c r="M79">
        <f t="shared" si="2"/>
        <v>6.1823752170786488E-3</v>
      </c>
      <c r="O79">
        <f t="shared" si="4"/>
        <v>5.3648601631642936E-3</v>
      </c>
      <c r="R79" t="s">
        <v>363</v>
      </c>
      <c r="S79" s="80">
        <v>0.12</v>
      </c>
      <c r="U79" t="s">
        <v>364</v>
      </c>
      <c r="V79" s="80">
        <v>0.04</v>
      </c>
      <c r="AB79" s="29">
        <v>37041</v>
      </c>
      <c r="AC79">
        <v>36.54</v>
      </c>
      <c r="AD79">
        <v>1248.08</v>
      </c>
      <c r="AE79">
        <f t="shared" si="5"/>
        <v>1.2240054894502006E-2</v>
      </c>
      <c r="AF79">
        <f t="shared" si="3"/>
        <v>6.1823752170786488E-3</v>
      </c>
      <c r="AR79">
        <v>53.23</v>
      </c>
      <c r="AS79">
        <f t="shared" si="6"/>
        <v>-6.0297902686256158E-3</v>
      </c>
    </row>
    <row r="80" spans="1:45" x14ac:dyDescent="0.2">
      <c r="A80" s="29">
        <v>37040</v>
      </c>
      <c r="B80">
        <v>27.36</v>
      </c>
      <c r="C80">
        <v>20.75</v>
      </c>
      <c r="D80">
        <v>11.42</v>
      </c>
      <c r="E80">
        <v>9.82</v>
      </c>
      <c r="F80">
        <v>37.299999999999997</v>
      </c>
      <c r="G80">
        <v>1267.93</v>
      </c>
      <c r="H80">
        <f t="shared" si="7"/>
        <v>-0.12977904300597207</v>
      </c>
      <c r="I80">
        <f>LN(C79/C80)</f>
        <v>-6.3671427292599031E-2</v>
      </c>
      <c r="J80">
        <f>LN(D79/D80)</f>
        <v>-0.12184117119548414</v>
      </c>
      <c r="K80">
        <f>LN(E79/E80)</f>
        <v>-6.7393917733975461E-2</v>
      </c>
      <c r="M80">
        <f t="shared" ref="M80:M143" si="8">LN(G79/G80)</f>
        <v>-1.5779278987004083E-2</v>
      </c>
      <c r="O80">
        <f t="shared" si="4"/>
        <v>-0.11081259786816083</v>
      </c>
      <c r="R80" t="s">
        <v>365</v>
      </c>
      <c r="T80" s="110">
        <f>V79+(S79-V79)*X74</f>
        <v>0.21776082009580119</v>
      </c>
      <c r="AB80" s="29">
        <v>37040</v>
      </c>
      <c r="AC80">
        <v>37.299999999999997</v>
      </c>
      <c r="AD80">
        <v>1267.93</v>
      </c>
      <c r="AE80">
        <f t="shared" si="5"/>
        <v>-2.0585775699909145E-2</v>
      </c>
      <c r="AF80">
        <f t="shared" si="5"/>
        <v>-1.5779278987004083E-2</v>
      </c>
      <c r="AR80">
        <v>53.05</v>
      </c>
      <c r="AS80">
        <f t="shared" si="6"/>
        <v>3.3872821246738452E-3</v>
      </c>
    </row>
    <row r="81" spans="1:45" x14ac:dyDescent="0.2">
      <c r="A81" s="29">
        <v>37036</v>
      </c>
      <c r="B81">
        <v>27.3</v>
      </c>
      <c r="C81">
        <v>20.98</v>
      </c>
      <c r="D81">
        <v>13.27</v>
      </c>
      <c r="E81">
        <v>10.029999999999999</v>
      </c>
      <c r="F81">
        <v>37.61</v>
      </c>
      <c r="G81">
        <v>1277.8900000000001</v>
      </c>
      <c r="H81">
        <f t="shared" ref="H81:K144" si="9">LN(B80/B81)</f>
        <v>2.195390563435656E-3</v>
      </c>
      <c r="I81">
        <f t="shared" si="9"/>
        <v>-1.1023356291443862E-2</v>
      </c>
      <c r="J81">
        <f t="shared" si="9"/>
        <v>-0.150139644116252</v>
      </c>
      <c r="K81">
        <f t="shared" si="9"/>
        <v>-2.1159479607469559E-2</v>
      </c>
      <c r="M81">
        <f t="shared" si="8"/>
        <v>-7.8246308195957515E-3</v>
      </c>
      <c r="O81">
        <f t="shared" ref="O81:O144" si="10">$N$15*H81+$O$15*I81+$P$15*J81</f>
        <v>-4.8835413102333435E-2</v>
      </c>
      <c r="AB81" s="29">
        <v>37036</v>
      </c>
      <c r="AC81">
        <v>37.61</v>
      </c>
      <c r="AD81">
        <v>1277.8900000000001</v>
      </c>
      <c r="AE81">
        <f t="shared" ref="AE81:AF144" si="11">LN(AC80/AC81)</f>
        <v>-8.2766458324752077E-3</v>
      </c>
      <c r="AF81">
        <f t="shared" si="11"/>
        <v>-7.8246308195957515E-3</v>
      </c>
      <c r="AR81">
        <v>53</v>
      </c>
      <c r="AS81">
        <f t="shared" ref="AS81:AS144" si="12">LN(AR80/AR81)</f>
        <v>9.4295150787036277E-4</v>
      </c>
    </row>
    <row r="82" spans="1:45" x14ac:dyDescent="0.2">
      <c r="A82" s="29">
        <v>37035</v>
      </c>
      <c r="B82">
        <v>26.4</v>
      </c>
      <c r="C82">
        <v>19.75</v>
      </c>
      <c r="D82">
        <v>13.94</v>
      </c>
      <c r="E82">
        <v>10.09</v>
      </c>
      <c r="F82">
        <v>36.700000000000003</v>
      </c>
      <c r="G82">
        <v>1293.17</v>
      </c>
      <c r="H82">
        <f t="shared" si="9"/>
        <v>3.3522692038643644E-2</v>
      </c>
      <c r="I82">
        <f t="shared" si="9"/>
        <v>6.0416111621020216E-2</v>
      </c>
      <c r="J82">
        <f t="shared" si="9"/>
        <v>-4.9256556988261715E-2</v>
      </c>
      <c r="K82">
        <f t="shared" si="9"/>
        <v>-5.9642323916734392E-3</v>
      </c>
      <c r="M82">
        <f t="shared" si="8"/>
        <v>-1.1886288068737762E-2</v>
      </c>
      <c r="O82">
        <f t="shared" si="10"/>
        <v>1.4286877176109129E-2</v>
      </c>
      <c r="R82" t="s">
        <v>335</v>
      </c>
      <c r="T82" t="s">
        <v>176</v>
      </c>
      <c r="AB82" s="29">
        <v>37035</v>
      </c>
      <c r="AC82">
        <v>36.700000000000003</v>
      </c>
      <c r="AD82">
        <v>1293.17</v>
      </c>
      <c r="AE82">
        <f t="shared" si="11"/>
        <v>2.4493217421720306E-2</v>
      </c>
      <c r="AF82">
        <f t="shared" si="11"/>
        <v>-1.1886288068737762E-2</v>
      </c>
      <c r="AR82">
        <v>54.16</v>
      </c>
      <c r="AS82">
        <f t="shared" si="12"/>
        <v>-2.1650715051897661E-2</v>
      </c>
    </row>
    <row r="83" spans="1:45" ht="10.8" thickBot="1" x14ac:dyDescent="0.25">
      <c r="A83" s="29">
        <v>37034</v>
      </c>
      <c r="B83">
        <v>24.94</v>
      </c>
      <c r="C83">
        <v>19.809999999999999</v>
      </c>
      <c r="D83">
        <v>13.62</v>
      </c>
      <c r="E83">
        <v>10</v>
      </c>
      <c r="F83">
        <v>38.01</v>
      </c>
      <c r="G83">
        <v>1289.05</v>
      </c>
      <c r="H83">
        <f t="shared" si="9"/>
        <v>5.6891069900379967E-2</v>
      </c>
      <c r="I83">
        <f t="shared" si="9"/>
        <v>-3.0333693633286603E-3</v>
      </c>
      <c r="J83">
        <f t="shared" si="9"/>
        <v>2.3223104611011479E-2</v>
      </c>
      <c r="K83">
        <f t="shared" si="9"/>
        <v>8.9597413714718015E-3</v>
      </c>
      <c r="M83">
        <f t="shared" si="8"/>
        <v>3.1910553679439595E-3</v>
      </c>
      <c r="O83">
        <f t="shared" si="10"/>
        <v>3.1403162445270694E-2</v>
      </c>
      <c r="AB83" s="29">
        <v>37034</v>
      </c>
      <c r="AC83">
        <v>38.01</v>
      </c>
      <c r="AD83">
        <v>1289.05</v>
      </c>
      <c r="AE83">
        <f t="shared" si="11"/>
        <v>-3.507252794063271E-2</v>
      </c>
      <c r="AF83">
        <f t="shared" si="11"/>
        <v>3.1910553679439595E-3</v>
      </c>
      <c r="AR83">
        <v>55.35</v>
      </c>
      <c r="AS83">
        <f t="shared" si="12"/>
        <v>-2.1734030550626442E-2</v>
      </c>
    </row>
    <row r="84" spans="1:45" ht="13.2" x14ac:dyDescent="0.25">
      <c r="A84" s="29">
        <v>37033</v>
      </c>
      <c r="B84">
        <v>28.05</v>
      </c>
      <c r="C84">
        <v>20.79</v>
      </c>
      <c r="D84">
        <v>14.57</v>
      </c>
      <c r="E84">
        <v>10.199999999999999</v>
      </c>
      <c r="F84">
        <v>38.83</v>
      </c>
      <c r="G84">
        <v>1309.3800000000001</v>
      </c>
      <c r="H84">
        <f t="shared" si="9"/>
        <v>-0.11751569171681489</v>
      </c>
      <c r="I84">
        <f t="shared" si="9"/>
        <v>-4.8285241159461999E-2</v>
      </c>
      <c r="J84">
        <f t="shared" si="9"/>
        <v>-6.7425319485747287E-2</v>
      </c>
      <c r="K84">
        <f t="shared" si="9"/>
        <v>-1.9802627296179643E-2</v>
      </c>
      <c r="M84">
        <f t="shared" si="8"/>
        <v>-1.5648229772575965E-2</v>
      </c>
      <c r="O84">
        <f t="shared" si="10"/>
        <v>-8.4561896505110881E-2</v>
      </c>
      <c r="R84" s="105" t="s">
        <v>340</v>
      </c>
      <c r="S84" s="105"/>
      <c r="AB84" s="29">
        <v>37033</v>
      </c>
      <c r="AC84">
        <v>38.83</v>
      </c>
      <c r="AD84">
        <v>1309.3800000000001</v>
      </c>
      <c r="AE84">
        <f t="shared" si="11"/>
        <v>-2.1343860742418619E-2</v>
      </c>
      <c r="AF84">
        <f t="shared" si="11"/>
        <v>-1.5648229772575965E-2</v>
      </c>
      <c r="AR84">
        <v>54.95</v>
      </c>
      <c r="AS84">
        <f t="shared" si="12"/>
        <v>7.2529783050155772E-3</v>
      </c>
    </row>
    <row r="85" spans="1:45" x14ac:dyDescent="0.2">
      <c r="A85" s="29">
        <v>37032</v>
      </c>
      <c r="B85">
        <v>29.13</v>
      </c>
      <c r="C85">
        <v>21.8</v>
      </c>
      <c r="D85">
        <v>13.7</v>
      </c>
      <c r="E85">
        <v>9.4700000000000006</v>
      </c>
      <c r="F85">
        <v>38.770000000000003</v>
      </c>
      <c r="G85">
        <v>1312.83</v>
      </c>
      <c r="H85">
        <f t="shared" si="9"/>
        <v>-3.7779939002637888E-2</v>
      </c>
      <c r="I85">
        <f t="shared" si="9"/>
        <v>-4.7437867925121814E-2</v>
      </c>
      <c r="J85">
        <f t="shared" si="9"/>
        <v>6.1568787373034256E-2</v>
      </c>
      <c r="K85">
        <f t="shared" si="9"/>
        <v>7.4258813092238377E-2</v>
      </c>
      <c r="M85">
        <f t="shared" si="8"/>
        <v>-2.6313697153776505E-3</v>
      </c>
      <c r="O85">
        <f t="shared" si="10"/>
        <v>-9.0555224150151298E-3</v>
      </c>
      <c r="R85" s="106" t="s">
        <v>341</v>
      </c>
      <c r="S85" s="106">
        <v>0.29717606564279475</v>
      </c>
      <c r="AB85" s="29">
        <v>37032</v>
      </c>
      <c r="AC85">
        <v>38.770000000000003</v>
      </c>
      <c r="AD85">
        <v>1312.83</v>
      </c>
      <c r="AE85">
        <f t="shared" si="11"/>
        <v>1.5463920607380621E-3</v>
      </c>
      <c r="AF85">
        <f t="shared" si="11"/>
        <v>-2.6313697153776505E-3</v>
      </c>
      <c r="AR85">
        <v>54.99</v>
      </c>
      <c r="AS85">
        <f t="shared" si="12"/>
        <v>-7.2766967009300378E-4</v>
      </c>
    </row>
    <row r="86" spans="1:45" x14ac:dyDescent="0.2">
      <c r="A86" s="29">
        <v>37029</v>
      </c>
      <c r="B86">
        <v>29.95</v>
      </c>
      <c r="C86">
        <v>20.46</v>
      </c>
      <c r="D86">
        <v>12.79</v>
      </c>
      <c r="E86">
        <v>9.36</v>
      </c>
      <c r="F86">
        <v>38.270000000000003</v>
      </c>
      <c r="G86">
        <v>1291.96</v>
      </c>
      <c r="H86">
        <f t="shared" si="9"/>
        <v>-2.7760753590115168E-2</v>
      </c>
      <c r="I86">
        <f t="shared" si="9"/>
        <v>6.3438209271562851E-2</v>
      </c>
      <c r="J86">
        <f t="shared" si="9"/>
        <v>6.8732217243327856E-2</v>
      </c>
      <c r="K86">
        <f t="shared" si="9"/>
        <v>1.1683616708486375E-2</v>
      </c>
      <c r="M86">
        <f t="shared" si="8"/>
        <v>1.6024667323379045E-2</v>
      </c>
      <c r="O86">
        <f t="shared" si="10"/>
        <v>2.5209974935087677E-2</v>
      </c>
      <c r="R86" s="106" t="s">
        <v>342</v>
      </c>
      <c r="S86" s="106">
        <v>8.8313613990930656E-2</v>
      </c>
      <c r="AB86" s="29">
        <v>37029</v>
      </c>
      <c r="AC86">
        <v>38.270000000000003</v>
      </c>
      <c r="AD86">
        <v>1291.96</v>
      </c>
      <c r="AE86">
        <f t="shared" si="11"/>
        <v>1.2980452245226861E-2</v>
      </c>
      <c r="AF86">
        <f t="shared" si="11"/>
        <v>1.6024667323379045E-2</v>
      </c>
      <c r="AR86">
        <v>54.9</v>
      </c>
      <c r="AS86">
        <f t="shared" si="12"/>
        <v>1.6380020042383698E-3</v>
      </c>
    </row>
    <row r="87" spans="1:45" x14ac:dyDescent="0.2">
      <c r="A87" s="29">
        <v>37028</v>
      </c>
      <c r="B87">
        <v>28.75</v>
      </c>
      <c r="C87">
        <v>19.350000000000001</v>
      </c>
      <c r="D87">
        <v>12.4</v>
      </c>
      <c r="E87">
        <v>9.3000000000000007</v>
      </c>
      <c r="F87">
        <v>38.85</v>
      </c>
      <c r="G87">
        <v>1288.49</v>
      </c>
      <c r="H87">
        <f t="shared" si="9"/>
        <v>4.0891557318098806E-2</v>
      </c>
      <c r="I87">
        <f t="shared" si="9"/>
        <v>5.5779341047689619E-2</v>
      </c>
      <c r="J87">
        <f t="shared" si="9"/>
        <v>3.0967142979759964E-2</v>
      </c>
      <c r="K87">
        <f t="shared" si="9"/>
        <v>6.4308903302903314E-3</v>
      </c>
      <c r="M87">
        <f t="shared" si="8"/>
        <v>2.6894550110181429E-3</v>
      </c>
      <c r="O87">
        <f t="shared" si="10"/>
        <v>4.1492809486089757E-2</v>
      </c>
      <c r="R87" s="106" t="s">
        <v>343</v>
      </c>
      <c r="S87" s="106">
        <v>8.4243585481961605E-2</v>
      </c>
      <c r="AB87" s="29">
        <v>37028</v>
      </c>
      <c r="AC87">
        <v>38.85</v>
      </c>
      <c r="AD87">
        <v>1288.49</v>
      </c>
      <c r="AE87">
        <f t="shared" si="11"/>
        <v>-1.5041777376045463E-2</v>
      </c>
      <c r="AF87">
        <f t="shared" si="11"/>
        <v>2.6894550110181429E-3</v>
      </c>
      <c r="AR87">
        <v>52.2</v>
      </c>
      <c r="AS87">
        <f t="shared" si="12"/>
        <v>5.0430853626891904E-2</v>
      </c>
    </row>
    <row r="88" spans="1:45" x14ac:dyDescent="0.2">
      <c r="A88" s="29">
        <v>37027</v>
      </c>
      <c r="B88">
        <v>27.12</v>
      </c>
      <c r="C88">
        <v>18.2</v>
      </c>
      <c r="D88">
        <v>12.4</v>
      </c>
      <c r="E88">
        <v>8.8800000000000008</v>
      </c>
      <c r="F88">
        <v>37.799999999999997</v>
      </c>
      <c r="G88">
        <v>1284.99</v>
      </c>
      <c r="H88">
        <f t="shared" si="9"/>
        <v>5.8366304171164604E-2</v>
      </c>
      <c r="I88">
        <f t="shared" si="9"/>
        <v>6.127082539304135E-2</v>
      </c>
      <c r="J88">
        <f t="shared" si="9"/>
        <v>0</v>
      </c>
      <c r="K88">
        <f t="shared" si="9"/>
        <v>4.6212843155131626E-2</v>
      </c>
      <c r="M88">
        <f t="shared" si="8"/>
        <v>2.7200539020717841E-3</v>
      </c>
      <c r="O88">
        <f t="shared" si="10"/>
        <v>4.0800672962301165E-2</v>
      </c>
      <c r="R88" s="106" t="s">
        <v>344</v>
      </c>
      <c r="S88" s="106">
        <v>6.7833173322133289E-2</v>
      </c>
      <c r="AB88" s="29">
        <v>37027</v>
      </c>
      <c r="AC88">
        <v>37.799999999999997</v>
      </c>
      <c r="AD88">
        <v>1284.99</v>
      </c>
      <c r="AE88">
        <f t="shared" si="11"/>
        <v>2.7398974188114562E-2</v>
      </c>
      <c r="AF88">
        <f t="shared" si="11"/>
        <v>2.7200539020717841E-3</v>
      </c>
      <c r="AR88">
        <v>55.01</v>
      </c>
      <c r="AS88">
        <f t="shared" si="12"/>
        <v>-5.2432491998773548E-2</v>
      </c>
    </row>
    <row r="89" spans="1:45" ht="10.8" thickBot="1" x14ac:dyDescent="0.25">
      <c r="A89" s="29">
        <v>37026</v>
      </c>
      <c r="B89">
        <v>26.17</v>
      </c>
      <c r="C89">
        <v>17.899999999999999</v>
      </c>
      <c r="D89">
        <v>11.54</v>
      </c>
      <c r="E89">
        <v>8.3000000000000007</v>
      </c>
      <c r="F89">
        <v>37.119999999999997</v>
      </c>
      <c r="G89">
        <v>1249.44</v>
      </c>
      <c r="H89">
        <f t="shared" si="9"/>
        <v>3.5657746530140262E-2</v>
      </c>
      <c r="I89">
        <f t="shared" si="9"/>
        <v>1.66208812360405E-2</v>
      </c>
      <c r="J89">
        <f t="shared" si="9"/>
        <v>7.187721153103771E-2</v>
      </c>
      <c r="K89">
        <f t="shared" si="9"/>
        <v>6.7546042201526393E-2</v>
      </c>
      <c r="M89">
        <f t="shared" si="8"/>
        <v>2.8055485283507087E-2</v>
      </c>
      <c r="O89">
        <f t="shared" si="10"/>
        <v>4.2262042403887208E-2</v>
      </c>
      <c r="R89" s="107" t="s">
        <v>345</v>
      </c>
      <c r="S89" s="107">
        <v>226</v>
      </c>
      <c r="AB89" s="29">
        <v>37026</v>
      </c>
      <c r="AC89">
        <v>37.119999999999997</v>
      </c>
      <c r="AD89">
        <v>1249.44</v>
      </c>
      <c r="AE89">
        <f t="shared" si="11"/>
        <v>1.8153194707542127E-2</v>
      </c>
      <c r="AF89">
        <f t="shared" si="11"/>
        <v>2.8055485283507087E-2</v>
      </c>
      <c r="AR89">
        <v>56.99</v>
      </c>
      <c r="AS89">
        <f t="shared" si="12"/>
        <v>-3.5360826959541521E-2</v>
      </c>
    </row>
    <row r="90" spans="1:45" x14ac:dyDescent="0.2">
      <c r="A90" s="29">
        <v>37025</v>
      </c>
      <c r="B90">
        <v>26.1</v>
      </c>
      <c r="C90">
        <v>17.850000000000001</v>
      </c>
      <c r="D90">
        <v>12.62</v>
      </c>
      <c r="E90">
        <v>9.36</v>
      </c>
      <c r="F90">
        <v>36.369999999999997</v>
      </c>
      <c r="G90">
        <v>1248.92</v>
      </c>
      <c r="H90">
        <f t="shared" si="9"/>
        <v>2.6784022134068303E-3</v>
      </c>
      <c r="I90">
        <f t="shared" si="9"/>
        <v>2.7972046210609975E-3</v>
      </c>
      <c r="J90">
        <f t="shared" si="9"/>
        <v>-8.9463596033113602E-2</v>
      </c>
      <c r="K90">
        <f t="shared" si="9"/>
        <v>-0.12018977568694823</v>
      </c>
      <c r="M90">
        <f t="shared" si="8"/>
        <v>4.1627308114831099E-4</v>
      </c>
      <c r="O90">
        <f t="shared" si="10"/>
        <v>-2.6165589106178087E-2</v>
      </c>
      <c r="AB90" s="29">
        <v>37025</v>
      </c>
      <c r="AC90">
        <v>36.369999999999997</v>
      </c>
      <c r="AD90">
        <v>1248.92</v>
      </c>
      <c r="AE90">
        <f t="shared" si="11"/>
        <v>2.0411648919102115E-2</v>
      </c>
      <c r="AF90">
        <f t="shared" si="11"/>
        <v>4.1627308114831099E-4</v>
      </c>
      <c r="AR90">
        <v>58.75</v>
      </c>
      <c r="AS90">
        <f t="shared" si="12"/>
        <v>-3.0415339177360157E-2</v>
      </c>
    </row>
    <row r="91" spans="1:45" ht="10.8" thickBot="1" x14ac:dyDescent="0.25">
      <c r="A91" s="29">
        <v>37022</v>
      </c>
      <c r="B91">
        <v>26.66</v>
      </c>
      <c r="C91">
        <v>17.399999999999999</v>
      </c>
      <c r="D91">
        <v>13.59</v>
      </c>
      <c r="E91">
        <v>9.36</v>
      </c>
      <c r="F91">
        <v>35.119999999999997</v>
      </c>
      <c r="G91">
        <v>1245.67</v>
      </c>
      <c r="H91">
        <f t="shared" si="9"/>
        <v>-2.1229000421914831E-2</v>
      </c>
      <c r="I91">
        <f t="shared" si="9"/>
        <v>2.5533302005164845E-2</v>
      </c>
      <c r="J91">
        <f t="shared" si="9"/>
        <v>-7.4051371049985312E-2</v>
      </c>
      <c r="K91">
        <f t="shared" si="9"/>
        <v>0</v>
      </c>
      <c r="M91">
        <f t="shared" si="8"/>
        <v>2.6056400761526469E-3</v>
      </c>
      <c r="O91">
        <f t="shared" si="10"/>
        <v>-2.6124697944561702E-2</v>
      </c>
      <c r="R91" t="s">
        <v>346</v>
      </c>
      <c r="AB91" s="29">
        <v>37022</v>
      </c>
      <c r="AC91">
        <v>35.119999999999997</v>
      </c>
      <c r="AD91">
        <v>1245.67</v>
      </c>
      <c r="AE91">
        <f t="shared" si="11"/>
        <v>3.4973490231981763E-2</v>
      </c>
      <c r="AF91">
        <f t="shared" si="11"/>
        <v>2.6056400761526469E-3</v>
      </c>
      <c r="AR91">
        <v>58.2</v>
      </c>
      <c r="AS91">
        <f t="shared" si="12"/>
        <v>9.4057982868761703E-3</v>
      </c>
    </row>
    <row r="92" spans="1:45" ht="13.2" x14ac:dyDescent="0.25">
      <c r="A92" s="29">
        <v>37021</v>
      </c>
      <c r="B92">
        <v>25.8</v>
      </c>
      <c r="C92">
        <v>17.95</v>
      </c>
      <c r="D92">
        <v>12.86</v>
      </c>
      <c r="E92">
        <v>9.0299999999999994</v>
      </c>
      <c r="F92">
        <v>35.97</v>
      </c>
      <c r="G92">
        <v>1255.18</v>
      </c>
      <c r="H92">
        <f t="shared" si="9"/>
        <v>3.2789822822990755E-2</v>
      </c>
      <c r="I92">
        <f t="shared" si="9"/>
        <v>-3.1119908713804632E-2</v>
      </c>
      <c r="J92">
        <f t="shared" si="9"/>
        <v>5.5212509353579083E-2</v>
      </c>
      <c r="K92">
        <f t="shared" si="9"/>
        <v>3.5892923060606534E-2</v>
      </c>
      <c r="M92">
        <f t="shared" si="8"/>
        <v>-7.6054508190734329E-3</v>
      </c>
      <c r="O92">
        <f t="shared" si="10"/>
        <v>2.3885038257147374E-2</v>
      </c>
      <c r="R92" s="108"/>
      <c r="S92" s="108" t="s">
        <v>347</v>
      </c>
      <c r="T92" s="108" t="s">
        <v>348</v>
      </c>
      <c r="U92" s="108" t="s">
        <v>349</v>
      </c>
      <c r="V92" s="108" t="s">
        <v>350</v>
      </c>
      <c r="W92" s="108" t="s">
        <v>351</v>
      </c>
      <c r="AB92" s="29">
        <v>37021</v>
      </c>
      <c r="AC92">
        <v>35.97</v>
      </c>
      <c r="AD92">
        <v>1255.18</v>
      </c>
      <c r="AE92">
        <f t="shared" si="11"/>
        <v>-2.3914488940616721E-2</v>
      </c>
      <c r="AF92">
        <f t="shared" si="11"/>
        <v>-7.6054508190734329E-3</v>
      </c>
      <c r="AR92">
        <v>57.6</v>
      </c>
      <c r="AS92">
        <f t="shared" si="12"/>
        <v>1.0362787035546658E-2</v>
      </c>
    </row>
    <row r="93" spans="1:45" x14ac:dyDescent="0.2">
      <c r="A93" s="29">
        <v>37020</v>
      </c>
      <c r="B93">
        <v>25.65</v>
      </c>
      <c r="C93">
        <v>18</v>
      </c>
      <c r="D93">
        <v>13.51</v>
      </c>
      <c r="E93">
        <v>9.5</v>
      </c>
      <c r="F93">
        <v>35.520000000000003</v>
      </c>
      <c r="G93">
        <v>1255.54</v>
      </c>
      <c r="H93">
        <f t="shared" si="9"/>
        <v>5.8309203107933649E-3</v>
      </c>
      <c r="I93">
        <f t="shared" si="9"/>
        <v>-2.7816429618768026E-3</v>
      </c>
      <c r="J93">
        <f t="shared" si="9"/>
        <v>-4.9308433162634155E-2</v>
      </c>
      <c r="K93">
        <f t="shared" si="9"/>
        <v>-5.0739431177601123E-2</v>
      </c>
      <c r="M93">
        <f t="shared" si="8"/>
        <v>-2.8677033079511802E-4</v>
      </c>
      <c r="O93">
        <f t="shared" si="10"/>
        <v>-1.3594445454769608E-2</v>
      </c>
      <c r="R93" s="106" t="s">
        <v>352</v>
      </c>
      <c r="S93" s="106">
        <v>1</v>
      </c>
      <c r="T93" s="106">
        <v>9.9842276529008345E-2</v>
      </c>
      <c r="U93" s="106">
        <v>9.9842276529008345E-2</v>
      </c>
      <c r="V93" s="106">
        <v>21.698524665445291</v>
      </c>
      <c r="W93" s="106">
        <v>5.4705649811968476E-6</v>
      </c>
      <c r="AB93" s="29">
        <v>37020</v>
      </c>
      <c r="AC93">
        <v>35.520000000000003</v>
      </c>
      <c r="AD93">
        <v>1255.54</v>
      </c>
      <c r="AE93">
        <f t="shared" si="11"/>
        <v>1.2589339583563194E-2</v>
      </c>
      <c r="AF93">
        <f t="shared" si="11"/>
        <v>-2.8677033079511802E-4</v>
      </c>
      <c r="AR93">
        <v>59.2</v>
      </c>
      <c r="AS93">
        <f t="shared" si="12"/>
        <v>-2.7398974188114503E-2</v>
      </c>
    </row>
    <row r="94" spans="1:45" x14ac:dyDescent="0.2">
      <c r="A94" s="29">
        <v>37019</v>
      </c>
      <c r="B94">
        <v>24.2</v>
      </c>
      <c r="C94">
        <v>16.399999999999999</v>
      </c>
      <c r="D94">
        <v>14.25</v>
      </c>
      <c r="E94">
        <v>9.75</v>
      </c>
      <c r="F94">
        <v>34.26</v>
      </c>
      <c r="G94">
        <v>1261.2</v>
      </c>
      <c r="H94">
        <f t="shared" si="9"/>
        <v>5.8190938454137794E-2</v>
      </c>
      <c r="I94">
        <f t="shared" si="9"/>
        <v>9.3090423066012035E-2</v>
      </c>
      <c r="J94">
        <f t="shared" si="9"/>
        <v>-5.3326754742552024E-2</v>
      </c>
      <c r="K94">
        <f t="shared" si="9"/>
        <v>-2.5975486403260677E-2</v>
      </c>
      <c r="M94">
        <f t="shared" si="8"/>
        <v>-4.4978897639732082E-3</v>
      </c>
      <c r="O94">
        <f t="shared" si="10"/>
        <v>3.1945367018055379E-2</v>
      </c>
      <c r="R94" s="106" t="s">
        <v>119</v>
      </c>
      <c r="S94" s="106">
        <v>224</v>
      </c>
      <c r="T94" s="106">
        <v>1.0307000262609287</v>
      </c>
      <c r="U94" s="106">
        <v>4.6013394029505742E-3</v>
      </c>
      <c r="V94" s="106"/>
      <c r="W94" s="106"/>
      <c r="AB94" s="29">
        <v>37019</v>
      </c>
      <c r="AC94">
        <v>34.26</v>
      </c>
      <c r="AD94">
        <v>1261.2</v>
      </c>
      <c r="AE94">
        <f t="shared" si="11"/>
        <v>3.6117425227995582E-2</v>
      </c>
      <c r="AF94">
        <f t="shared" si="11"/>
        <v>-4.4978897639732082E-3</v>
      </c>
      <c r="AR94">
        <v>56.11</v>
      </c>
      <c r="AS94">
        <f t="shared" si="12"/>
        <v>5.3607492127079458E-2</v>
      </c>
    </row>
    <row r="95" spans="1:45" ht="10.8" thickBot="1" x14ac:dyDescent="0.25">
      <c r="A95" s="29">
        <v>37018</v>
      </c>
      <c r="B95">
        <v>24.65</v>
      </c>
      <c r="C95">
        <v>16.149999999999999</v>
      </c>
      <c r="D95">
        <v>14.64</v>
      </c>
      <c r="E95">
        <v>9.15</v>
      </c>
      <c r="F95">
        <v>35.25</v>
      </c>
      <c r="G95">
        <v>1263.51</v>
      </c>
      <c r="H95">
        <f t="shared" si="9"/>
        <v>-1.8424267326058359E-2</v>
      </c>
      <c r="I95">
        <f t="shared" si="9"/>
        <v>1.5361285161487149E-2</v>
      </c>
      <c r="J95">
        <f t="shared" si="9"/>
        <v>-2.700060181850597E-2</v>
      </c>
      <c r="K95">
        <f t="shared" si="9"/>
        <v>6.3513405722325722E-2</v>
      </c>
      <c r="M95">
        <f t="shared" si="8"/>
        <v>-1.829913649173398E-3</v>
      </c>
      <c r="O95">
        <f t="shared" si="10"/>
        <v>-1.2689822943559564E-2</v>
      </c>
      <c r="R95" s="107" t="s">
        <v>8</v>
      </c>
      <c r="S95" s="107">
        <v>225</v>
      </c>
      <c r="T95" s="107">
        <v>1.1305423027899371</v>
      </c>
      <c r="U95" s="107"/>
      <c r="V95" s="107"/>
      <c r="W95" s="107"/>
      <c r="AB95" s="29">
        <v>37018</v>
      </c>
      <c r="AC95">
        <v>35.25</v>
      </c>
      <c r="AD95">
        <v>1263.51</v>
      </c>
      <c r="AE95">
        <f t="shared" si="11"/>
        <v>-2.8487036362303875E-2</v>
      </c>
      <c r="AF95">
        <f t="shared" si="11"/>
        <v>-1.829913649173398E-3</v>
      </c>
      <c r="AR95">
        <v>58.04</v>
      </c>
      <c r="AS95">
        <f t="shared" si="12"/>
        <v>-3.3818378253106435E-2</v>
      </c>
    </row>
    <row r="96" spans="1:45" ht="10.8" thickBot="1" x14ac:dyDescent="0.25">
      <c r="A96" s="29">
        <v>37015</v>
      </c>
      <c r="B96">
        <v>24.6</v>
      </c>
      <c r="C96">
        <v>17</v>
      </c>
      <c r="D96">
        <v>14.98</v>
      </c>
      <c r="E96">
        <v>8.75</v>
      </c>
      <c r="F96">
        <v>34</v>
      </c>
      <c r="G96">
        <v>1266.6099999999999</v>
      </c>
      <c r="H96">
        <f t="shared" si="9"/>
        <v>2.0304575503819213E-3</v>
      </c>
      <c r="I96">
        <f t="shared" si="9"/>
        <v>-5.1293294387550578E-2</v>
      </c>
      <c r="J96">
        <f t="shared" si="9"/>
        <v>-2.2958469555907857E-2</v>
      </c>
      <c r="K96">
        <f t="shared" si="9"/>
        <v>4.4700178917906987E-2</v>
      </c>
      <c r="M96">
        <f t="shared" si="8"/>
        <v>-2.4504778834605304E-3</v>
      </c>
      <c r="O96">
        <f t="shared" si="10"/>
        <v>-1.9092395317018632E-2</v>
      </c>
      <c r="AB96" s="29">
        <v>37015</v>
      </c>
      <c r="AC96">
        <v>34</v>
      </c>
      <c r="AD96">
        <v>1266.6099999999999</v>
      </c>
      <c r="AE96">
        <f t="shared" si="11"/>
        <v>3.6105004642116356E-2</v>
      </c>
      <c r="AF96">
        <f t="shared" si="11"/>
        <v>-2.4504778834605304E-3</v>
      </c>
      <c r="AR96">
        <v>59.48</v>
      </c>
      <c r="AS96">
        <f t="shared" si="12"/>
        <v>-2.4507693575967139E-2</v>
      </c>
    </row>
    <row r="97" spans="1:45" ht="13.2" x14ac:dyDescent="0.25">
      <c r="A97" s="29">
        <v>37014</v>
      </c>
      <c r="B97">
        <v>24.16</v>
      </c>
      <c r="C97">
        <v>17.05</v>
      </c>
      <c r="D97">
        <v>14.65</v>
      </c>
      <c r="E97">
        <v>8.69</v>
      </c>
      <c r="F97">
        <v>34</v>
      </c>
      <c r="G97">
        <v>1248.58</v>
      </c>
      <c r="H97">
        <f t="shared" si="9"/>
        <v>1.8048069871703067E-2</v>
      </c>
      <c r="I97">
        <f t="shared" si="9"/>
        <v>-2.9368596733097135E-3</v>
      </c>
      <c r="J97">
        <f t="shared" si="9"/>
        <v>2.2275642625997089E-2</v>
      </c>
      <c r="K97">
        <f t="shared" si="9"/>
        <v>6.8807610922225074E-3</v>
      </c>
      <c r="M97">
        <f t="shared" si="8"/>
        <v>1.4337134644277622E-2</v>
      </c>
      <c r="O97">
        <f t="shared" si="10"/>
        <v>1.414178465341928E-2</v>
      </c>
      <c r="R97" s="108"/>
      <c r="S97" s="108" t="s">
        <v>353</v>
      </c>
      <c r="T97" s="108" t="s">
        <v>344</v>
      </c>
      <c r="U97" s="108" t="s">
        <v>354</v>
      </c>
      <c r="V97" s="108" t="s">
        <v>355</v>
      </c>
      <c r="W97" s="108" t="s">
        <v>356</v>
      </c>
      <c r="X97" s="108" t="s">
        <v>357</v>
      </c>
      <c r="Y97" s="108" t="s">
        <v>358</v>
      </c>
      <c r="Z97" s="108" t="s">
        <v>359</v>
      </c>
      <c r="AB97" s="29">
        <v>37014</v>
      </c>
      <c r="AC97">
        <v>34</v>
      </c>
      <c r="AD97">
        <v>1248.58</v>
      </c>
      <c r="AE97">
        <f t="shared" si="11"/>
        <v>0</v>
      </c>
      <c r="AF97">
        <f t="shared" si="11"/>
        <v>1.4337134644277622E-2</v>
      </c>
      <c r="AR97">
        <v>58.35</v>
      </c>
      <c r="AS97">
        <f t="shared" si="12"/>
        <v>1.9180762859389251E-2</v>
      </c>
    </row>
    <row r="98" spans="1:45" x14ac:dyDescent="0.2">
      <c r="A98" s="29">
        <v>37013</v>
      </c>
      <c r="B98">
        <v>24.59</v>
      </c>
      <c r="C98">
        <v>17.22</v>
      </c>
      <c r="D98">
        <v>13.99</v>
      </c>
      <c r="E98">
        <v>8.6</v>
      </c>
      <c r="F98">
        <v>34.5</v>
      </c>
      <c r="G98">
        <v>1267.43</v>
      </c>
      <c r="H98">
        <f t="shared" si="9"/>
        <v>-1.7641483161486934E-2</v>
      </c>
      <c r="I98">
        <f t="shared" si="9"/>
        <v>-9.9212952700588625E-3</v>
      </c>
      <c r="J98">
        <f t="shared" si="9"/>
        <v>4.609754678568647E-2</v>
      </c>
      <c r="K98">
        <f t="shared" si="9"/>
        <v>1.0410736017838509E-2</v>
      </c>
      <c r="M98">
        <f t="shared" si="8"/>
        <v>-1.4984322556561265E-2</v>
      </c>
      <c r="O98">
        <f t="shared" si="10"/>
        <v>4.2562285628167645E-3</v>
      </c>
      <c r="R98" s="106" t="s">
        <v>360</v>
      </c>
      <c r="S98" s="106">
        <v>-7.255620179125454E-3</v>
      </c>
      <c r="T98" s="106">
        <v>4.5233564698448463E-3</v>
      </c>
      <c r="U98" s="106">
        <v>-1.6040345764246888</v>
      </c>
      <c r="V98" s="106">
        <v>0.11011543429843851</v>
      </c>
      <c r="W98" s="106">
        <v>-1.6169397395471741E-2</v>
      </c>
      <c r="X98" s="106">
        <v>1.6581570372208318E-3</v>
      </c>
      <c r="Y98" s="106">
        <v>-1.6169397395471741E-2</v>
      </c>
      <c r="Z98" s="106">
        <v>1.6581570372208318E-3</v>
      </c>
      <c r="AB98" s="29">
        <v>37013</v>
      </c>
      <c r="AC98">
        <v>34.5</v>
      </c>
      <c r="AD98">
        <v>1267.43</v>
      </c>
      <c r="AE98">
        <f t="shared" si="11"/>
        <v>-1.4598799421152636E-2</v>
      </c>
      <c r="AF98">
        <f t="shared" si="11"/>
        <v>-1.4984322556561265E-2</v>
      </c>
      <c r="AR98">
        <v>60.5</v>
      </c>
      <c r="AS98">
        <f t="shared" si="12"/>
        <v>-3.6184006304230708E-2</v>
      </c>
    </row>
    <row r="99" spans="1:45" ht="10.8" thickBot="1" x14ac:dyDescent="0.25">
      <c r="A99" s="29">
        <v>37012</v>
      </c>
      <c r="B99">
        <v>25.36</v>
      </c>
      <c r="C99">
        <v>16</v>
      </c>
      <c r="D99">
        <v>11.51</v>
      </c>
      <c r="E99">
        <v>8.5399999999999991</v>
      </c>
      <c r="F99">
        <v>36.26</v>
      </c>
      <c r="G99">
        <v>1266.44</v>
      </c>
      <c r="H99">
        <f t="shared" si="9"/>
        <v>-3.0833273340924013E-2</v>
      </c>
      <c r="I99">
        <f t="shared" si="9"/>
        <v>7.3482776759803442E-2</v>
      </c>
      <c r="J99">
        <f t="shared" si="9"/>
        <v>0.19512656594359865</v>
      </c>
      <c r="K99">
        <f t="shared" si="9"/>
        <v>7.0011954589835612E-3</v>
      </c>
      <c r="M99">
        <f t="shared" si="8"/>
        <v>7.8141345086766244E-4</v>
      </c>
      <c r="O99">
        <f t="shared" si="10"/>
        <v>6.5976951639200976E-2</v>
      </c>
      <c r="R99" s="107" t="s">
        <v>361</v>
      </c>
      <c r="S99" s="107">
        <v>1.4954805334452008</v>
      </c>
      <c r="T99" s="107">
        <v>0.32104481564874893</v>
      </c>
      <c r="U99" s="107">
        <v>4.6581675222607775</v>
      </c>
      <c r="V99" s="107">
        <v>5.4705649811975125E-6</v>
      </c>
      <c r="W99" s="107">
        <v>0.86282600306854218</v>
      </c>
      <c r="X99" s="107">
        <v>2.1281350638218592</v>
      </c>
      <c r="Y99" s="107">
        <v>0.86282600306854218</v>
      </c>
      <c r="Z99" s="107">
        <v>2.1281350638218592</v>
      </c>
      <c r="AB99" s="29">
        <v>37012</v>
      </c>
      <c r="AC99">
        <v>36.26</v>
      </c>
      <c r="AD99">
        <v>1266.44</v>
      </c>
      <c r="AE99">
        <f t="shared" si="11"/>
        <v>-4.9755881289390839E-2</v>
      </c>
      <c r="AF99">
        <f t="shared" si="11"/>
        <v>7.8141345086766244E-4</v>
      </c>
      <c r="AR99">
        <v>62.41</v>
      </c>
      <c r="AS99">
        <f t="shared" si="12"/>
        <v>-3.1082153909155735E-2</v>
      </c>
    </row>
    <row r="100" spans="1:45" x14ac:dyDescent="0.2">
      <c r="A100" s="29">
        <v>37011</v>
      </c>
      <c r="B100">
        <v>22.35</v>
      </c>
      <c r="C100">
        <v>16.5</v>
      </c>
      <c r="D100">
        <v>10.1</v>
      </c>
      <c r="E100">
        <v>8.6</v>
      </c>
      <c r="F100">
        <v>36.4</v>
      </c>
      <c r="G100">
        <v>1249.46</v>
      </c>
      <c r="H100">
        <f t="shared" si="9"/>
        <v>0.12634680850944729</v>
      </c>
      <c r="I100">
        <f t="shared" si="9"/>
        <v>-3.077165866675366E-2</v>
      </c>
      <c r="J100">
        <f t="shared" si="9"/>
        <v>0.13068079888657763</v>
      </c>
      <c r="K100">
        <f t="shared" si="9"/>
        <v>-7.0011954589835881E-3</v>
      </c>
      <c r="M100">
        <f t="shared" si="8"/>
        <v>1.3498356707491575E-2</v>
      </c>
      <c r="O100">
        <f t="shared" si="10"/>
        <v>8.8539061956439319E-2</v>
      </c>
      <c r="U100">
        <f>(S99-1)/T99</f>
        <v>1.543337594298049</v>
      </c>
      <c r="AB100" s="29">
        <v>37011</v>
      </c>
      <c r="AC100">
        <v>36.4</v>
      </c>
      <c r="AD100">
        <v>1249.46</v>
      </c>
      <c r="AE100">
        <f t="shared" si="11"/>
        <v>-3.8535693159899662E-3</v>
      </c>
      <c r="AF100">
        <f t="shared" si="11"/>
        <v>1.3498356707491575E-2</v>
      </c>
      <c r="AR100">
        <v>62.72</v>
      </c>
      <c r="AS100">
        <f t="shared" si="12"/>
        <v>-4.9548570962007739E-3</v>
      </c>
    </row>
    <row r="101" spans="1:45" x14ac:dyDescent="0.2">
      <c r="A101" s="29">
        <v>37008</v>
      </c>
      <c r="B101">
        <v>22.78</v>
      </c>
      <c r="C101">
        <v>15.52</v>
      </c>
      <c r="D101">
        <v>10.08</v>
      </c>
      <c r="E101">
        <v>8.4</v>
      </c>
      <c r="F101">
        <v>35.61</v>
      </c>
      <c r="G101">
        <v>1253.05</v>
      </c>
      <c r="H101">
        <f t="shared" si="9"/>
        <v>-1.9056636959458223E-2</v>
      </c>
      <c r="I101">
        <f t="shared" si="9"/>
        <v>6.1230866151462233E-2</v>
      </c>
      <c r="J101">
        <f t="shared" si="9"/>
        <v>1.9821612039912025E-3</v>
      </c>
      <c r="K101">
        <f t="shared" si="9"/>
        <v>2.3530497410194036E-2</v>
      </c>
      <c r="M101">
        <f t="shared" si="8"/>
        <v>-2.8691213722997493E-3</v>
      </c>
      <c r="O101">
        <f t="shared" si="10"/>
        <v>7.5498169515968864E-3</v>
      </c>
      <c r="AB101" s="29">
        <v>37008</v>
      </c>
      <c r="AC101">
        <v>35.61</v>
      </c>
      <c r="AD101">
        <v>1253.05</v>
      </c>
      <c r="AE101">
        <f t="shared" si="11"/>
        <v>2.1942277353008587E-2</v>
      </c>
      <c r="AF101">
        <f t="shared" si="11"/>
        <v>-2.8691213722997493E-3</v>
      </c>
      <c r="AR101">
        <v>63.5</v>
      </c>
      <c r="AS101">
        <f t="shared" si="12"/>
        <v>-1.2359529856493615E-2</v>
      </c>
    </row>
    <row r="102" spans="1:45" x14ac:dyDescent="0.2">
      <c r="A102" s="29">
        <v>37007</v>
      </c>
      <c r="B102">
        <v>22.45</v>
      </c>
      <c r="C102">
        <v>14.9</v>
      </c>
      <c r="D102">
        <v>10.32</v>
      </c>
      <c r="E102">
        <v>8</v>
      </c>
      <c r="F102">
        <v>35.17</v>
      </c>
      <c r="G102">
        <v>1234.52</v>
      </c>
      <c r="H102">
        <f t="shared" si="9"/>
        <v>1.4592343830772875E-2</v>
      </c>
      <c r="I102">
        <f t="shared" si="9"/>
        <v>4.0768301803659153E-2</v>
      </c>
      <c r="J102">
        <f t="shared" si="9"/>
        <v>-2.3530497410194161E-2</v>
      </c>
      <c r="K102">
        <f t="shared" si="9"/>
        <v>4.8790164169432049E-2</v>
      </c>
      <c r="M102">
        <f t="shared" si="8"/>
        <v>1.4898348784713774E-2</v>
      </c>
      <c r="O102">
        <f t="shared" si="10"/>
        <v>9.171209859112928E-3</v>
      </c>
      <c r="AB102" s="29">
        <v>37007</v>
      </c>
      <c r="AC102">
        <v>35.17</v>
      </c>
      <c r="AD102">
        <v>1234.52</v>
      </c>
      <c r="AE102">
        <f t="shared" si="11"/>
        <v>1.2433050803795163E-2</v>
      </c>
      <c r="AF102">
        <f t="shared" si="11"/>
        <v>1.4898348784713774E-2</v>
      </c>
      <c r="AR102">
        <v>63.66</v>
      </c>
      <c r="AS102">
        <f t="shared" si="12"/>
        <v>-2.516515955300799E-3</v>
      </c>
    </row>
    <row r="103" spans="1:45" x14ac:dyDescent="0.2">
      <c r="A103" s="29">
        <v>37006</v>
      </c>
      <c r="B103">
        <v>21.31</v>
      </c>
      <c r="C103">
        <v>15.25</v>
      </c>
      <c r="D103">
        <v>11.37</v>
      </c>
      <c r="E103">
        <v>7.2</v>
      </c>
      <c r="F103">
        <v>34.36</v>
      </c>
      <c r="G103">
        <v>1228.75</v>
      </c>
      <c r="H103">
        <f t="shared" si="9"/>
        <v>5.2114168077737548E-2</v>
      </c>
      <c r="I103">
        <f t="shared" si="9"/>
        <v>-2.3218290102007107E-2</v>
      </c>
      <c r="J103">
        <f t="shared" si="9"/>
        <v>-9.6894547709027834E-2</v>
      </c>
      <c r="K103">
        <f t="shared" si="9"/>
        <v>0.10536051565782635</v>
      </c>
      <c r="M103">
        <f t="shared" si="8"/>
        <v>4.6848380836739508E-3</v>
      </c>
      <c r="O103">
        <f t="shared" si="10"/>
        <v>-1.3357751172877817E-2</v>
      </c>
      <c r="R103" t="s">
        <v>362</v>
      </c>
      <c r="AB103" s="29">
        <v>37006</v>
      </c>
      <c r="AC103">
        <v>34.36</v>
      </c>
      <c r="AD103">
        <v>1228.75</v>
      </c>
      <c r="AE103">
        <f t="shared" si="11"/>
        <v>2.3300349369836489E-2</v>
      </c>
      <c r="AF103">
        <f t="shared" si="11"/>
        <v>4.6848380836739508E-3</v>
      </c>
      <c r="AR103">
        <v>62.88</v>
      </c>
      <c r="AS103">
        <f t="shared" si="12"/>
        <v>1.232827373299567E-2</v>
      </c>
    </row>
    <row r="104" spans="1:45" x14ac:dyDescent="0.2">
      <c r="A104" s="29">
        <v>37005</v>
      </c>
      <c r="B104">
        <v>20.420000000000002</v>
      </c>
      <c r="C104">
        <v>14.75</v>
      </c>
      <c r="D104">
        <v>11.37</v>
      </c>
      <c r="E104">
        <v>7.56</v>
      </c>
      <c r="F104">
        <v>34.18</v>
      </c>
      <c r="G104">
        <v>1209.47</v>
      </c>
      <c r="H104">
        <f t="shared" si="9"/>
        <v>4.2661633374006198E-2</v>
      </c>
      <c r="I104">
        <f t="shared" si="9"/>
        <v>3.3336420267591711E-2</v>
      </c>
      <c r="J104">
        <f t="shared" si="9"/>
        <v>0</v>
      </c>
      <c r="K104">
        <f t="shared" si="9"/>
        <v>-4.8790164169431945E-2</v>
      </c>
      <c r="M104">
        <f t="shared" si="8"/>
        <v>1.5815145356776507E-2</v>
      </c>
      <c r="O104">
        <f t="shared" si="10"/>
        <v>2.6968638113698908E-2</v>
      </c>
      <c r="R104" t="s">
        <v>363</v>
      </c>
      <c r="S104" s="80">
        <v>0.12</v>
      </c>
      <c r="U104" t="s">
        <v>364</v>
      </c>
      <c r="V104" s="80">
        <v>0.04</v>
      </c>
      <c r="AB104" s="29">
        <v>37005</v>
      </c>
      <c r="AC104">
        <v>34.18</v>
      </c>
      <c r="AD104">
        <v>1209.47</v>
      </c>
      <c r="AE104">
        <f t="shared" si="11"/>
        <v>5.2524194286097132E-3</v>
      </c>
      <c r="AF104">
        <f t="shared" si="11"/>
        <v>1.5815145356776507E-2</v>
      </c>
      <c r="AR104">
        <v>61.87</v>
      </c>
      <c r="AS104">
        <f t="shared" si="12"/>
        <v>1.6192738578053725E-2</v>
      </c>
    </row>
    <row r="105" spans="1:45" x14ac:dyDescent="0.2">
      <c r="A105" s="29">
        <v>37004</v>
      </c>
      <c r="B105">
        <v>21</v>
      </c>
      <c r="C105">
        <v>14.8</v>
      </c>
      <c r="D105">
        <v>11.54</v>
      </c>
      <c r="E105">
        <v>6.81</v>
      </c>
      <c r="F105">
        <v>34.29</v>
      </c>
      <c r="G105">
        <v>1224.3599999999999</v>
      </c>
      <c r="H105">
        <f t="shared" si="9"/>
        <v>-2.8007624986903422E-2</v>
      </c>
      <c r="I105">
        <f t="shared" si="9"/>
        <v>-3.3840979842405684E-3</v>
      </c>
      <c r="J105">
        <f t="shared" si="9"/>
        <v>-1.4840953317508818E-2</v>
      </c>
      <c r="K105">
        <f t="shared" si="9"/>
        <v>0.1044790700300206</v>
      </c>
      <c r="M105">
        <f t="shared" si="8"/>
        <v>-1.2236011370614273E-2</v>
      </c>
      <c r="O105">
        <f t="shared" si="10"/>
        <v>-1.7743666742444913E-2</v>
      </c>
      <c r="R105" t="s">
        <v>365</v>
      </c>
      <c r="T105" s="109">
        <f>V104+(S104-V104)*S99</f>
        <v>0.15963844267561605</v>
      </c>
      <c r="AB105" s="29">
        <v>37004</v>
      </c>
      <c r="AC105">
        <v>34.29</v>
      </c>
      <c r="AD105">
        <v>1224.3599999999999</v>
      </c>
      <c r="AE105">
        <f t="shared" si="11"/>
        <v>-3.213088787384159E-3</v>
      </c>
      <c r="AF105">
        <f t="shared" si="11"/>
        <v>-1.2236011370614273E-2</v>
      </c>
      <c r="AR105">
        <v>61.65</v>
      </c>
      <c r="AS105">
        <f t="shared" si="12"/>
        <v>3.5621799325441053E-3</v>
      </c>
    </row>
    <row r="106" spans="1:45" x14ac:dyDescent="0.2">
      <c r="A106" s="29">
        <v>37001</v>
      </c>
      <c r="B106">
        <v>21.5</v>
      </c>
      <c r="C106">
        <v>14.5</v>
      </c>
      <c r="D106">
        <v>14.07</v>
      </c>
      <c r="E106">
        <v>7.1</v>
      </c>
      <c r="F106">
        <v>33.85</v>
      </c>
      <c r="G106">
        <v>1242.98</v>
      </c>
      <c r="H106">
        <f t="shared" si="9"/>
        <v>-2.3530497410194161E-2</v>
      </c>
      <c r="I106">
        <f t="shared" si="9"/>
        <v>2.0478531343540701E-2</v>
      </c>
      <c r="J106">
        <f t="shared" si="9"/>
        <v>-0.19822561004634426</v>
      </c>
      <c r="K106">
        <f t="shared" si="9"/>
        <v>-4.1702663885848798E-2</v>
      </c>
      <c r="M106">
        <f t="shared" si="8"/>
        <v>-1.5093463801464277E-2</v>
      </c>
      <c r="O106">
        <f t="shared" si="10"/>
        <v>-6.7302547985734151E-2</v>
      </c>
      <c r="AB106" s="29">
        <v>37001</v>
      </c>
      <c r="AC106">
        <v>33.85</v>
      </c>
      <c r="AD106">
        <v>1242.98</v>
      </c>
      <c r="AE106">
        <f t="shared" si="11"/>
        <v>1.2914767116544913E-2</v>
      </c>
      <c r="AF106">
        <f t="shared" si="11"/>
        <v>-1.5093463801464277E-2</v>
      </c>
      <c r="AR106">
        <v>59.99</v>
      </c>
      <c r="AS106">
        <f t="shared" si="12"/>
        <v>2.7295347945351548E-2</v>
      </c>
    </row>
    <row r="107" spans="1:45" x14ac:dyDescent="0.2">
      <c r="A107" s="29">
        <v>37000</v>
      </c>
      <c r="B107">
        <v>20.260000000000002</v>
      </c>
      <c r="C107">
        <v>15.6</v>
      </c>
      <c r="D107">
        <v>14.86</v>
      </c>
      <c r="E107">
        <v>6.4</v>
      </c>
      <c r="F107">
        <v>33.94</v>
      </c>
      <c r="G107">
        <v>1253.69</v>
      </c>
      <c r="H107">
        <f t="shared" si="9"/>
        <v>5.9404436313079775E-2</v>
      </c>
      <c r="I107">
        <f t="shared" si="9"/>
        <v>-7.3122264828962613E-2</v>
      </c>
      <c r="J107">
        <f t="shared" si="9"/>
        <v>-5.4628168163315366E-2</v>
      </c>
      <c r="K107">
        <f t="shared" si="9"/>
        <v>0.10379679368164337</v>
      </c>
      <c r="M107">
        <f t="shared" si="8"/>
        <v>-8.579480423603611E-3</v>
      </c>
      <c r="O107">
        <f t="shared" si="10"/>
        <v>-9.3645183974981304E-3</v>
      </c>
      <c r="AB107" s="29">
        <v>37000</v>
      </c>
      <c r="AC107">
        <v>33.94</v>
      </c>
      <c r="AD107">
        <v>1253.69</v>
      </c>
      <c r="AE107">
        <f t="shared" si="11"/>
        <v>-2.6552604477961595E-3</v>
      </c>
      <c r="AF107">
        <f t="shared" si="11"/>
        <v>-8.579480423603611E-3</v>
      </c>
      <c r="AR107">
        <v>61.16</v>
      </c>
      <c r="AS107">
        <f t="shared" si="12"/>
        <v>-1.9315499395859713E-2</v>
      </c>
    </row>
    <row r="108" spans="1:45" x14ac:dyDescent="0.2">
      <c r="A108" s="29">
        <v>36999</v>
      </c>
      <c r="B108">
        <v>23.05</v>
      </c>
      <c r="C108">
        <v>16</v>
      </c>
      <c r="D108">
        <v>14.3</v>
      </c>
      <c r="E108">
        <v>6.32</v>
      </c>
      <c r="F108">
        <v>35.21</v>
      </c>
      <c r="G108">
        <v>1238.1600000000001</v>
      </c>
      <c r="H108">
        <f t="shared" si="9"/>
        <v>-0.12901727062212021</v>
      </c>
      <c r="I108">
        <f t="shared" si="9"/>
        <v>-2.5317807984289897E-2</v>
      </c>
      <c r="J108">
        <f t="shared" si="9"/>
        <v>3.8413502023751475E-2</v>
      </c>
      <c r="K108">
        <f t="shared" si="9"/>
        <v>1.2578782206860185E-2</v>
      </c>
      <c r="M108">
        <f t="shared" si="8"/>
        <v>1.2464796095777778E-2</v>
      </c>
      <c r="O108">
        <f t="shared" si="10"/>
        <v>-5.0701407569568389E-2</v>
      </c>
      <c r="AB108" s="29">
        <v>36999</v>
      </c>
      <c r="AC108">
        <v>35.21</v>
      </c>
      <c r="AD108">
        <v>1238.1600000000001</v>
      </c>
      <c r="AE108">
        <f t="shared" si="11"/>
        <v>-3.6735873360881022E-2</v>
      </c>
      <c r="AF108">
        <f t="shared" si="11"/>
        <v>1.2464796095777778E-2</v>
      </c>
      <c r="AR108">
        <v>61.62</v>
      </c>
      <c r="AS108">
        <f t="shared" si="12"/>
        <v>-7.4931121076603309E-3</v>
      </c>
    </row>
    <row r="109" spans="1:45" x14ac:dyDescent="0.2">
      <c r="A109" s="29">
        <v>36998</v>
      </c>
      <c r="B109">
        <v>21.5</v>
      </c>
      <c r="C109">
        <v>16.059999999999999</v>
      </c>
      <c r="D109">
        <v>12.81</v>
      </c>
      <c r="E109">
        <v>6.07</v>
      </c>
      <c r="F109">
        <v>35.299999999999997</v>
      </c>
      <c r="G109">
        <v>1191.81</v>
      </c>
      <c r="H109">
        <f t="shared" si="9"/>
        <v>6.9612834309040361E-2</v>
      </c>
      <c r="I109">
        <f t="shared" si="9"/>
        <v>-3.7429862788342805E-3</v>
      </c>
      <c r="J109">
        <f t="shared" si="9"/>
        <v>0.11003342135721864</v>
      </c>
      <c r="K109">
        <f t="shared" si="9"/>
        <v>4.0360603087359122E-2</v>
      </c>
      <c r="M109">
        <f t="shared" si="8"/>
        <v>3.8153246657251817E-2</v>
      </c>
      <c r="O109">
        <f t="shared" si="10"/>
        <v>6.3993187536935586E-2</v>
      </c>
      <c r="AB109" s="29">
        <v>36998</v>
      </c>
      <c r="AC109">
        <v>35.299999999999997</v>
      </c>
      <c r="AD109">
        <v>1191.81</v>
      </c>
      <c r="AE109">
        <f t="shared" si="11"/>
        <v>-2.5528307722898404E-3</v>
      </c>
      <c r="AF109">
        <f t="shared" si="11"/>
        <v>3.8153246657251817E-2</v>
      </c>
      <c r="AR109">
        <v>60</v>
      </c>
      <c r="AS109">
        <f t="shared" si="12"/>
        <v>2.6641930946421092E-2</v>
      </c>
    </row>
    <row r="110" spans="1:45" x14ac:dyDescent="0.2">
      <c r="A110" s="29">
        <v>36997</v>
      </c>
      <c r="B110">
        <v>19.829999999999998</v>
      </c>
      <c r="C110">
        <v>16</v>
      </c>
      <c r="D110">
        <v>12.29</v>
      </c>
      <c r="E110">
        <v>5.99</v>
      </c>
      <c r="F110">
        <v>34.979999999999997</v>
      </c>
      <c r="G110">
        <v>1179.68</v>
      </c>
      <c r="H110">
        <f t="shared" si="9"/>
        <v>8.0856992601912647E-2</v>
      </c>
      <c r="I110">
        <f t="shared" si="9"/>
        <v>3.742986278834297E-3</v>
      </c>
      <c r="J110">
        <f t="shared" si="9"/>
        <v>4.1440192330699614E-2</v>
      </c>
      <c r="K110">
        <f t="shared" si="9"/>
        <v>1.326719294404886E-2</v>
      </c>
      <c r="M110">
        <f t="shared" si="8"/>
        <v>1.0229944705911962E-2</v>
      </c>
      <c r="O110">
        <f t="shared" si="10"/>
        <v>4.9282686306411451E-2</v>
      </c>
      <c r="AB110" s="29">
        <v>36997</v>
      </c>
      <c r="AC110">
        <v>34.979999999999997</v>
      </c>
      <c r="AD110">
        <v>1179.68</v>
      </c>
      <c r="AE110">
        <f t="shared" si="11"/>
        <v>9.1064943487950099E-3</v>
      </c>
      <c r="AF110">
        <f t="shared" si="11"/>
        <v>1.0229944705911962E-2</v>
      </c>
      <c r="AR110">
        <v>59.44</v>
      </c>
      <c r="AS110">
        <f t="shared" si="12"/>
        <v>9.3771618125970055E-3</v>
      </c>
    </row>
    <row r="111" spans="1:45" x14ac:dyDescent="0.2">
      <c r="A111" s="29">
        <v>36993</v>
      </c>
      <c r="B111">
        <v>20.41</v>
      </c>
      <c r="C111">
        <v>16</v>
      </c>
      <c r="D111">
        <v>12.75</v>
      </c>
      <c r="E111">
        <v>5.81</v>
      </c>
      <c r="F111">
        <v>35.24</v>
      </c>
      <c r="G111">
        <v>1183.5</v>
      </c>
      <c r="H111">
        <f t="shared" si="9"/>
        <v>-2.8829034290048943E-2</v>
      </c>
      <c r="I111">
        <f t="shared" si="9"/>
        <v>0</v>
      </c>
      <c r="J111">
        <f t="shared" si="9"/>
        <v>-3.674534802649175E-2</v>
      </c>
      <c r="K111">
        <f t="shared" si="9"/>
        <v>3.051084126353831E-2</v>
      </c>
      <c r="M111">
        <f t="shared" si="8"/>
        <v>-3.2329347126980996E-3</v>
      </c>
      <c r="O111">
        <f t="shared" si="10"/>
        <v>-2.4123306350220034E-2</v>
      </c>
      <c r="AB111" s="29">
        <v>36993</v>
      </c>
      <c r="AC111">
        <v>35.24</v>
      </c>
      <c r="AD111">
        <v>1183.5</v>
      </c>
      <c r="AE111">
        <f t="shared" si="11"/>
        <v>-7.4053314775229294E-3</v>
      </c>
      <c r="AF111">
        <f t="shared" si="11"/>
        <v>-3.2329347126980996E-3</v>
      </c>
      <c r="AR111">
        <v>57.3</v>
      </c>
      <c r="AS111">
        <f t="shared" si="12"/>
        <v>3.6666776688809841E-2</v>
      </c>
    </row>
    <row r="112" spans="1:45" x14ac:dyDescent="0.2">
      <c r="A112" s="29">
        <v>36992</v>
      </c>
      <c r="B112">
        <v>20.170000000000002</v>
      </c>
      <c r="C112">
        <v>15.88</v>
      </c>
      <c r="D112">
        <v>11.23</v>
      </c>
      <c r="E112">
        <v>5.89</v>
      </c>
      <c r="F112">
        <v>34.61</v>
      </c>
      <c r="G112">
        <v>1165.8900000000001</v>
      </c>
      <c r="H112">
        <f t="shared" si="9"/>
        <v>1.182862485563285E-2</v>
      </c>
      <c r="I112">
        <f t="shared" si="9"/>
        <v>7.5282664207915878E-3</v>
      </c>
      <c r="J112">
        <f t="shared" si="9"/>
        <v>0.12694250285408332</v>
      </c>
      <c r="K112">
        <f t="shared" si="9"/>
        <v>-1.3675426799675495E-2</v>
      </c>
      <c r="M112">
        <f t="shared" si="8"/>
        <v>1.4991406116504373E-2</v>
      </c>
      <c r="O112">
        <f t="shared" si="10"/>
        <v>4.6828720664927083E-2</v>
      </c>
      <c r="AB112" s="29">
        <v>36992</v>
      </c>
      <c r="AC112">
        <v>34.61</v>
      </c>
      <c r="AD112">
        <v>1165.8900000000001</v>
      </c>
      <c r="AE112">
        <f t="shared" si="11"/>
        <v>1.8039143420725944E-2</v>
      </c>
      <c r="AF112">
        <f t="shared" si="11"/>
        <v>1.4991406116504373E-2</v>
      </c>
      <c r="AR112">
        <v>58.51</v>
      </c>
      <c r="AS112">
        <f t="shared" si="12"/>
        <v>-2.0897056079450815E-2</v>
      </c>
    </row>
    <row r="113" spans="1:45" x14ac:dyDescent="0.2">
      <c r="A113" s="29">
        <v>36991</v>
      </c>
      <c r="B113">
        <v>19.57</v>
      </c>
      <c r="C113">
        <v>17.12</v>
      </c>
      <c r="D113">
        <v>10.9</v>
      </c>
      <c r="E113">
        <v>5.9</v>
      </c>
      <c r="F113">
        <v>35.19</v>
      </c>
      <c r="G113">
        <v>1168.3800000000001</v>
      </c>
      <c r="H113">
        <f t="shared" si="9"/>
        <v>3.0198570558135598E-2</v>
      </c>
      <c r="I113">
        <f t="shared" si="9"/>
        <v>-7.5186914894606355E-2</v>
      </c>
      <c r="J113">
        <f t="shared" si="9"/>
        <v>2.9825979515253769E-2</v>
      </c>
      <c r="K113">
        <f t="shared" si="9"/>
        <v>-1.6963532481785132E-3</v>
      </c>
      <c r="M113">
        <f t="shared" si="8"/>
        <v>-2.1334301040078266E-3</v>
      </c>
      <c r="O113">
        <f t="shared" si="10"/>
        <v>3.8117551049035026E-3</v>
      </c>
      <c r="AB113" s="29">
        <v>36991</v>
      </c>
      <c r="AC113">
        <v>35.19</v>
      </c>
      <c r="AD113">
        <v>1168.3800000000001</v>
      </c>
      <c r="AE113">
        <f t="shared" si="11"/>
        <v>-1.6619293686240877E-2</v>
      </c>
      <c r="AF113">
        <f t="shared" si="11"/>
        <v>-2.1334301040078266E-3</v>
      </c>
      <c r="AR113">
        <v>58.82</v>
      </c>
      <c r="AS113">
        <f t="shared" si="12"/>
        <v>-5.2842533257043221E-3</v>
      </c>
    </row>
    <row r="114" spans="1:45" x14ac:dyDescent="0.2">
      <c r="A114" s="29">
        <v>36990</v>
      </c>
      <c r="B114">
        <v>18.62</v>
      </c>
      <c r="C114">
        <v>16.850000000000001</v>
      </c>
      <c r="D114">
        <v>8.5500000000000007</v>
      </c>
      <c r="E114">
        <v>5.98</v>
      </c>
      <c r="F114">
        <v>34.44</v>
      </c>
      <c r="G114">
        <v>1137.5899999999999</v>
      </c>
      <c r="H114">
        <f t="shared" si="9"/>
        <v>4.9761509559063798E-2</v>
      </c>
      <c r="I114">
        <f t="shared" si="9"/>
        <v>1.5896713915225354E-2</v>
      </c>
      <c r="J114">
        <f t="shared" si="9"/>
        <v>0.24283150628642919</v>
      </c>
      <c r="K114">
        <f t="shared" si="9"/>
        <v>-1.3468217050866593E-2</v>
      </c>
      <c r="M114">
        <f t="shared" si="8"/>
        <v>2.6706184367207418E-2</v>
      </c>
      <c r="O114">
        <f t="shared" si="10"/>
        <v>0.10182022439134186</v>
      </c>
      <c r="AB114" s="29">
        <v>36990</v>
      </c>
      <c r="AC114">
        <v>34.44</v>
      </c>
      <c r="AD114">
        <v>1137.5899999999999</v>
      </c>
      <c r="AE114">
        <f t="shared" si="11"/>
        <v>2.1543271773963722E-2</v>
      </c>
      <c r="AF114">
        <f t="shared" si="11"/>
        <v>2.6706184367207418E-2</v>
      </c>
      <c r="AR114">
        <v>55.96</v>
      </c>
      <c r="AS114">
        <f t="shared" si="12"/>
        <v>4.9844783328568523E-2</v>
      </c>
    </row>
    <row r="115" spans="1:45" x14ac:dyDescent="0.2">
      <c r="A115" s="29">
        <v>36987</v>
      </c>
      <c r="B115">
        <v>19.125</v>
      </c>
      <c r="C115">
        <v>17.125</v>
      </c>
      <c r="D115">
        <v>8</v>
      </c>
      <c r="E115">
        <v>5.8</v>
      </c>
      <c r="F115">
        <v>32.92</v>
      </c>
      <c r="G115">
        <v>1128.43</v>
      </c>
      <c r="H115">
        <f t="shared" si="9"/>
        <v>-2.676010786367845E-2</v>
      </c>
      <c r="I115">
        <f t="shared" si="9"/>
        <v>-1.6188727349918167E-2</v>
      </c>
      <c r="J115">
        <f t="shared" si="9"/>
        <v>6.6489741268833003E-2</v>
      </c>
      <c r="K115">
        <f t="shared" si="9"/>
        <v>3.0562650410166883E-2</v>
      </c>
      <c r="M115">
        <f t="shared" si="8"/>
        <v>8.0847034829942665E-3</v>
      </c>
      <c r="O115">
        <f t="shared" si="10"/>
        <v>5.0958443115252522E-3</v>
      </c>
      <c r="AB115" s="29">
        <v>36987</v>
      </c>
      <c r="AC115">
        <v>32.92</v>
      </c>
      <c r="AD115">
        <v>1128.43</v>
      </c>
      <c r="AE115">
        <f t="shared" si="11"/>
        <v>4.5138303750660774E-2</v>
      </c>
      <c r="AF115">
        <f t="shared" si="11"/>
        <v>8.0847034829942665E-3</v>
      </c>
      <c r="AR115">
        <v>53.5</v>
      </c>
      <c r="AS115">
        <f t="shared" si="12"/>
        <v>4.4955495895319664E-2</v>
      </c>
    </row>
    <row r="116" spans="1:45" x14ac:dyDescent="0.2">
      <c r="A116" s="29">
        <v>36986</v>
      </c>
      <c r="B116">
        <v>17.75</v>
      </c>
      <c r="C116">
        <v>16.687999999999999</v>
      </c>
      <c r="D116">
        <v>9.5630000000000006</v>
      </c>
      <c r="E116">
        <v>5.97</v>
      </c>
      <c r="F116">
        <v>33.11</v>
      </c>
      <c r="G116">
        <v>1151.44</v>
      </c>
      <c r="H116">
        <f t="shared" si="9"/>
        <v>7.4610863791174639E-2</v>
      </c>
      <c r="I116">
        <f t="shared" si="9"/>
        <v>2.5849485889872362E-2</v>
      </c>
      <c r="J116">
        <f t="shared" si="9"/>
        <v>-0.17845994368756982</v>
      </c>
      <c r="K116">
        <f t="shared" si="9"/>
        <v>-2.8889009852137042E-2</v>
      </c>
      <c r="M116">
        <f t="shared" si="8"/>
        <v>-2.0186046863075076E-2</v>
      </c>
      <c r="O116">
        <f t="shared" si="10"/>
        <v>-1.6846410849629109E-2</v>
      </c>
      <c r="AB116" s="29">
        <v>36986</v>
      </c>
      <c r="AC116">
        <v>33.11</v>
      </c>
      <c r="AD116">
        <v>1151.44</v>
      </c>
      <c r="AE116">
        <f t="shared" si="11"/>
        <v>-5.7549757502857474E-3</v>
      </c>
      <c r="AF116">
        <f t="shared" si="11"/>
        <v>-2.0186046863075076E-2</v>
      </c>
      <c r="AR116">
        <v>55.7</v>
      </c>
      <c r="AS116">
        <f t="shared" si="12"/>
        <v>-4.0298493031277582E-2</v>
      </c>
    </row>
    <row r="117" spans="1:45" x14ac:dyDescent="0.2">
      <c r="A117" s="29">
        <v>36985</v>
      </c>
      <c r="B117">
        <v>16.375</v>
      </c>
      <c r="C117">
        <v>17.125</v>
      </c>
      <c r="D117">
        <v>8.2810000000000006</v>
      </c>
      <c r="E117">
        <v>5.7</v>
      </c>
      <c r="F117">
        <v>31.56</v>
      </c>
      <c r="G117">
        <v>1103.25</v>
      </c>
      <c r="H117">
        <f t="shared" si="9"/>
        <v>8.0629734400109218E-2</v>
      </c>
      <c r="I117">
        <f t="shared" si="9"/>
        <v>-2.5849485889872431E-2</v>
      </c>
      <c r="J117">
        <f t="shared" si="9"/>
        <v>0.14393775131584266</v>
      </c>
      <c r="K117">
        <f t="shared" si="9"/>
        <v>4.6280752564006183E-2</v>
      </c>
      <c r="M117">
        <f t="shared" si="8"/>
        <v>4.2752963804758709E-2</v>
      </c>
      <c r="O117">
        <f t="shared" si="10"/>
        <v>7.3925225157138535E-2</v>
      </c>
      <c r="AB117" s="29">
        <v>36985</v>
      </c>
      <c r="AC117">
        <v>31.56</v>
      </c>
      <c r="AD117">
        <v>1103.25</v>
      </c>
      <c r="AE117">
        <f t="shared" si="11"/>
        <v>4.7944855581481378E-2</v>
      </c>
      <c r="AF117">
        <f t="shared" si="11"/>
        <v>4.2752963804758709E-2</v>
      </c>
      <c r="AR117">
        <v>53.72</v>
      </c>
      <c r="AS117">
        <f t="shared" si="12"/>
        <v>3.6194775278201578E-2</v>
      </c>
    </row>
    <row r="118" spans="1:45" x14ac:dyDescent="0.2">
      <c r="A118" s="29">
        <v>36984</v>
      </c>
      <c r="B118">
        <v>17.25</v>
      </c>
      <c r="C118">
        <v>19.562999999999999</v>
      </c>
      <c r="D118">
        <v>8.8130000000000006</v>
      </c>
      <c r="E118">
        <v>6.08</v>
      </c>
      <c r="F118">
        <v>30.45</v>
      </c>
      <c r="G118">
        <v>1106.46</v>
      </c>
      <c r="H118">
        <f t="shared" si="9"/>
        <v>-5.2056361956053149E-2</v>
      </c>
      <c r="I118">
        <f t="shared" si="9"/>
        <v>-0.13310064293088586</v>
      </c>
      <c r="J118">
        <f t="shared" si="9"/>
        <v>-6.2264170065960425E-2</v>
      </c>
      <c r="K118">
        <f t="shared" si="9"/>
        <v>-6.4538521137571178E-2</v>
      </c>
      <c r="M118">
        <f t="shared" si="8"/>
        <v>-2.9053606654262619E-3</v>
      </c>
      <c r="O118">
        <f t="shared" si="10"/>
        <v>-7.5457464552105669E-2</v>
      </c>
      <c r="AB118" s="29">
        <v>36984</v>
      </c>
      <c r="AC118">
        <v>30.45</v>
      </c>
      <c r="AD118">
        <v>1106.46</v>
      </c>
      <c r="AE118">
        <f t="shared" si="11"/>
        <v>3.5804501821767441E-2</v>
      </c>
      <c r="AF118">
        <f t="shared" si="11"/>
        <v>-2.9053606654262619E-3</v>
      </c>
      <c r="AR118">
        <v>54.06</v>
      </c>
      <c r="AS118">
        <f t="shared" si="12"/>
        <v>-6.309169193264832E-3</v>
      </c>
    </row>
    <row r="119" spans="1:45" x14ac:dyDescent="0.2">
      <c r="A119" s="29">
        <v>36983</v>
      </c>
      <c r="B119">
        <v>18.937999999999999</v>
      </c>
      <c r="C119">
        <v>20.562999999999999</v>
      </c>
      <c r="D119">
        <v>8.8130000000000006</v>
      </c>
      <c r="E119">
        <v>6.5</v>
      </c>
      <c r="F119">
        <v>31.71</v>
      </c>
      <c r="G119">
        <v>1145.8699999999999</v>
      </c>
      <c r="H119">
        <f t="shared" si="9"/>
        <v>-9.3358342083939491E-2</v>
      </c>
      <c r="I119">
        <f t="shared" si="9"/>
        <v>-4.9853317260206489E-2</v>
      </c>
      <c r="J119">
        <f t="shared" si="9"/>
        <v>0</v>
      </c>
      <c r="K119">
        <f t="shared" si="9"/>
        <v>-6.6797480923515798E-2</v>
      </c>
      <c r="M119">
        <f t="shared" si="8"/>
        <v>-3.4998443979645105E-2</v>
      </c>
      <c r="O119">
        <f t="shared" si="10"/>
        <v>-5.3258829171271206E-2</v>
      </c>
      <c r="AB119" s="29">
        <v>36983</v>
      </c>
      <c r="AC119">
        <v>31.71</v>
      </c>
      <c r="AD119">
        <v>1145.8699999999999</v>
      </c>
      <c r="AE119">
        <f t="shared" si="11"/>
        <v>-4.0546094394350023E-2</v>
      </c>
      <c r="AF119">
        <f t="shared" si="11"/>
        <v>-3.4998443979645105E-2</v>
      </c>
      <c r="AR119">
        <v>56.57</v>
      </c>
      <c r="AS119">
        <f t="shared" si="12"/>
        <v>-4.5384268506762755E-2</v>
      </c>
    </row>
    <row r="120" spans="1:45" x14ac:dyDescent="0.2">
      <c r="A120" s="29">
        <v>36980</v>
      </c>
      <c r="B120">
        <v>20.312999999999999</v>
      </c>
      <c r="C120">
        <v>20.937999999999999</v>
      </c>
      <c r="D120">
        <v>8</v>
      </c>
      <c r="E120">
        <v>6.5</v>
      </c>
      <c r="F120">
        <v>31.7</v>
      </c>
      <c r="G120">
        <v>1160.33</v>
      </c>
      <c r="H120">
        <f t="shared" si="9"/>
        <v>-7.0090589610309631E-2</v>
      </c>
      <c r="I120">
        <f t="shared" si="9"/>
        <v>-1.8072345557781876E-2</v>
      </c>
      <c r="J120">
        <f t="shared" si="9"/>
        <v>9.6786362437687568E-2</v>
      </c>
      <c r="K120">
        <f t="shared" si="9"/>
        <v>0</v>
      </c>
      <c r="M120">
        <f t="shared" si="8"/>
        <v>-1.2540273606755872E-2</v>
      </c>
      <c r="O120">
        <f t="shared" si="10"/>
        <v>-4.8311533222187737E-3</v>
      </c>
      <c r="AB120" s="29">
        <v>36980</v>
      </c>
      <c r="AC120">
        <v>31.7</v>
      </c>
      <c r="AD120">
        <v>1160.33</v>
      </c>
      <c r="AE120">
        <f t="shared" si="11"/>
        <v>3.1540766702115833E-4</v>
      </c>
      <c r="AF120">
        <f t="shared" si="11"/>
        <v>-1.2540273606755872E-2</v>
      </c>
      <c r="AR120">
        <v>58.1</v>
      </c>
      <c r="AS120">
        <f t="shared" si="12"/>
        <v>-2.6686854502801199E-2</v>
      </c>
    </row>
    <row r="121" spans="1:45" x14ac:dyDescent="0.2">
      <c r="A121" s="29">
        <v>36979</v>
      </c>
      <c r="B121">
        <v>19.437999999999999</v>
      </c>
      <c r="C121">
        <v>19.187999999999999</v>
      </c>
      <c r="D121">
        <v>9.6880000000000006</v>
      </c>
      <c r="E121">
        <v>6.16</v>
      </c>
      <c r="F121">
        <v>32.35</v>
      </c>
      <c r="G121">
        <v>1147.95</v>
      </c>
      <c r="H121">
        <f t="shared" si="9"/>
        <v>4.4031162090339158E-2</v>
      </c>
      <c r="I121">
        <f t="shared" si="9"/>
        <v>8.7280606257345641E-2</v>
      </c>
      <c r="J121">
        <f t="shared" si="9"/>
        <v>-0.19144646457095527</v>
      </c>
      <c r="K121">
        <f t="shared" si="9"/>
        <v>5.3725399356163064E-2</v>
      </c>
      <c r="M121">
        <f t="shared" si="8"/>
        <v>1.0726704477443921E-2</v>
      </c>
      <c r="O121">
        <f t="shared" si="10"/>
        <v>-1.8977036159612465E-2</v>
      </c>
      <c r="AB121" s="29">
        <v>36979</v>
      </c>
      <c r="AC121">
        <v>32.35</v>
      </c>
      <c r="AD121">
        <v>1147.95</v>
      </c>
      <c r="AE121">
        <f t="shared" si="11"/>
        <v>-2.029734006367466E-2</v>
      </c>
      <c r="AF121">
        <f t="shared" si="11"/>
        <v>1.0726704477443921E-2</v>
      </c>
      <c r="AR121">
        <v>55.31</v>
      </c>
      <c r="AS121">
        <f t="shared" si="12"/>
        <v>4.9211939851278842E-2</v>
      </c>
    </row>
    <row r="122" spans="1:45" x14ac:dyDescent="0.2">
      <c r="A122" s="29">
        <v>36978</v>
      </c>
      <c r="B122">
        <v>19.812999999999999</v>
      </c>
      <c r="C122">
        <v>17.625</v>
      </c>
      <c r="D122">
        <v>10.375</v>
      </c>
      <c r="E122">
        <v>6.2</v>
      </c>
      <c r="F122">
        <v>33.340000000000003</v>
      </c>
      <c r="G122">
        <v>1153.29</v>
      </c>
      <c r="H122">
        <f t="shared" si="9"/>
        <v>-1.9108374830843038E-2</v>
      </c>
      <c r="I122">
        <f t="shared" si="9"/>
        <v>8.4966734941485086E-2</v>
      </c>
      <c r="J122">
        <f t="shared" si="9"/>
        <v>-6.8511059865970766E-2</v>
      </c>
      <c r="K122">
        <f t="shared" si="9"/>
        <v>-6.4725145056174788E-3</v>
      </c>
      <c r="M122">
        <f t="shared" si="8"/>
        <v>-4.640984499430254E-3</v>
      </c>
      <c r="O122">
        <f t="shared" si="10"/>
        <v>-8.6457791826370801E-3</v>
      </c>
      <c r="AB122" s="29">
        <v>36978</v>
      </c>
      <c r="AC122">
        <v>33.340000000000003</v>
      </c>
      <c r="AD122">
        <v>1153.29</v>
      </c>
      <c r="AE122">
        <f t="shared" si="11"/>
        <v>-3.0143856375738447E-2</v>
      </c>
      <c r="AF122">
        <f t="shared" si="11"/>
        <v>-4.640984499430254E-3</v>
      </c>
      <c r="AR122">
        <v>58.1</v>
      </c>
      <c r="AS122">
        <f t="shared" si="12"/>
        <v>-4.9211939851278884E-2</v>
      </c>
    </row>
    <row r="123" spans="1:45" x14ac:dyDescent="0.2">
      <c r="A123" s="29">
        <v>36977</v>
      </c>
      <c r="B123">
        <v>19.875</v>
      </c>
      <c r="C123">
        <v>18</v>
      </c>
      <c r="D123">
        <v>12.313000000000001</v>
      </c>
      <c r="E123">
        <v>6.21</v>
      </c>
      <c r="F123">
        <v>34.119999999999997</v>
      </c>
      <c r="G123">
        <v>1182.17</v>
      </c>
      <c r="H123">
        <f t="shared" si="9"/>
        <v>-3.1243726282737892E-3</v>
      </c>
      <c r="I123">
        <f t="shared" si="9"/>
        <v>-2.1053409197832381E-2</v>
      </c>
      <c r="J123">
        <f t="shared" si="9"/>
        <v>-0.17125654869397253</v>
      </c>
      <c r="K123">
        <f t="shared" si="9"/>
        <v>-1.6116038943415328E-3</v>
      </c>
      <c r="M123">
        <f t="shared" si="8"/>
        <v>-2.4733005227962412E-2</v>
      </c>
      <c r="O123">
        <f t="shared" si="10"/>
        <v>-6.0279528335371313E-2</v>
      </c>
      <c r="AB123" s="29">
        <v>36977</v>
      </c>
      <c r="AC123">
        <v>34.119999999999997</v>
      </c>
      <c r="AD123">
        <v>1182.17</v>
      </c>
      <c r="AE123">
        <f t="shared" si="11"/>
        <v>-2.3125845300830221E-2</v>
      </c>
      <c r="AF123">
        <f t="shared" si="11"/>
        <v>-2.4733005227962412E-2</v>
      </c>
      <c r="AR123">
        <v>60.46</v>
      </c>
      <c r="AS123">
        <f t="shared" si="12"/>
        <v>-3.9816325493446492E-2</v>
      </c>
    </row>
    <row r="124" spans="1:45" x14ac:dyDescent="0.2">
      <c r="A124" s="29">
        <v>36976</v>
      </c>
      <c r="B124">
        <v>18.375</v>
      </c>
      <c r="C124">
        <v>17</v>
      </c>
      <c r="D124">
        <v>13.422000000000001</v>
      </c>
      <c r="E124">
        <v>6.25</v>
      </c>
      <c r="F124">
        <v>33.450000000000003</v>
      </c>
      <c r="G124">
        <v>1152.69</v>
      </c>
      <c r="H124">
        <f t="shared" si="9"/>
        <v>7.8471615441495307E-2</v>
      </c>
      <c r="I124">
        <f t="shared" si="9"/>
        <v>5.7158413839948623E-2</v>
      </c>
      <c r="J124">
        <f t="shared" si="9"/>
        <v>-8.6239536925313151E-2</v>
      </c>
      <c r="K124">
        <f t="shared" si="9"/>
        <v>-6.4205678029226948E-3</v>
      </c>
      <c r="M124">
        <f t="shared" si="8"/>
        <v>2.5253391366211544E-2</v>
      </c>
      <c r="O124">
        <f t="shared" si="10"/>
        <v>2.1544880584095736E-2</v>
      </c>
      <c r="AB124" s="29">
        <v>36976</v>
      </c>
      <c r="AC124">
        <v>33.450000000000003</v>
      </c>
      <c r="AD124">
        <v>1152.69</v>
      </c>
      <c r="AE124">
        <f t="shared" si="11"/>
        <v>1.9831936049240811E-2</v>
      </c>
      <c r="AF124">
        <f t="shared" si="11"/>
        <v>2.5253391366211544E-2</v>
      </c>
      <c r="AR124">
        <v>61.48</v>
      </c>
      <c r="AS124">
        <f t="shared" si="12"/>
        <v>-1.6729929319083056E-2</v>
      </c>
    </row>
    <row r="125" spans="1:45" x14ac:dyDescent="0.2">
      <c r="A125" s="29">
        <v>36973</v>
      </c>
      <c r="B125">
        <v>18</v>
      </c>
      <c r="C125">
        <v>17.437999999999999</v>
      </c>
      <c r="D125">
        <v>13.5</v>
      </c>
      <c r="E125">
        <v>5.85</v>
      </c>
      <c r="F125">
        <v>32.020000000000003</v>
      </c>
      <c r="G125">
        <v>1139.83</v>
      </c>
      <c r="H125">
        <f t="shared" si="9"/>
        <v>2.061928720273561E-2</v>
      </c>
      <c r="I125">
        <f t="shared" si="9"/>
        <v>-2.5438388949407132E-2</v>
      </c>
      <c r="J125">
        <f t="shared" si="9"/>
        <v>-5.7945337083362006E-3</v>
      </c>
      <c r="K125">
        <f t="shared" si="9"/>
        <v>6.6139802504544987E-2</v>
      </c>
      <c r="M125">
        <f t="shared" si="8"/>
        <v>1.1219212823608661E-2</v>
      </c>
      <c r="O125">
        <f t="shared" si="10"/>
        <v>8.6118726454483289E-4</v>
      </c>
      <c r="AB125" s="29">
        <v>36973</v>
      </c>
      <c r="AC125">
        <v>32.020000000000003</v>
      </c>
      <c r="AD125">
        <v>1139.83</v>
      </c>
      <c r="AE125">
        <f t="shared" si="11"/>
        <v>4.3691079005668806E-2</v>
      </c>
      <c r="AF125">
        <f t="shared" si="11"/>
        <v>1.1219212823608661E-2</v>
      </c>
      <c r="AR125">
        <v>59.4</v>
      </c>
      <c r="AS125">
        <f t="shared" si="12"/>
        <v>3.4417692301795803E-2</v>
      </c>
    </row>
    <row r="126" spans="1:45" x14ac:dyDescent="0.2">
      <c r="A126" s="29">
        <v>36972</v>
      </c>
      <c r="B126">
        <v>17.5</v>
      </c>
      <c r="C126">
        <v>16.437999999999999</v>
      </c>
      <c r="D126">
        <v>14.438000000000001</v>
      </c>
      <c r="E126">
        <v>5.5</v>
      </c>
      <c r="F126">
        <v>31</v>
      </c>
      <c r="G126">
        <v>1117.58</v>
      </c>
      <c r="H126">
        <f t="shared" si="9"/>
        <v>2.8170876966696224E-2</v>
      </c>
      <c r="I126">
        <f t="shared" si="9"/>
        <v>5.905600527931501E-2</v>
      </c>
      <c r="J126">
        <f t="shared" si="9"/>
        <v>-6.7173934272585556E-2</v>
      </c>
      <c r="K126">
        <f t="shared" si="9"/>
        <v>6.1693569005339753E-2</v>
      </c>
      <c r="M126">
        <f t="shared" si="8"/>
        <v>1.9713495169322987E-2</v>
      </c>
      <c r="O126">
        <f t="shared" si="10"/>
        <v>5.9925557196432375E-3</v>
      </c>
      <c r="AB126" s="29">
        <v>36972</v>
      </c>
      <c r="AC126">
        <v>31</v>
      </c>
      <c r="AD126">
        <v>1117.58</v>
      </c>
      <c r="AE126">
        <f t="shared" si="11"/>
        <v>3.2373503083422434E-2</v>
      </c>
      <c r="AF126">
        <f t="shared" si="11"/>
        <v>1.9713495169322987E-2</v>
      </c>
      <c r="AR126">
        <v>55.02</v>
      </c>
      <c r="AS126">
        <f t="shared" si="12"/>
        <v>7.6597470872170628E-2</v>
      </c>
    </row>
    <row r="127" spans="1:45" x14ac:dyDescent="0.2">
      <c r="A127" s="29">
        <v>36971</v>
      </c>
      <c r="B127">
        <v>17.187999999999999</v>
      </c>
      <c r="C127">
        <v>17</v>
      </c>
      <c r="D127">
        <v>14.875</v>
      </c>
      <c r="E127">
        <v>5.78</v>
      </c>
      <c r="F127">
        <v>32.53</v>
      </c>
      <c r="G127">
        <v>1122.1400000000001</v>
      </c>
      <c r="H127">
        <f t="shared" si="9"/>
        <v>1.7989415016719735E-2</v>
      </c>
      <c r="I127">
        <f t="shared" si="9"/>
        <v>-3.3617616329907854E-2</v>
      </c>
      <c r="J127">
        <f t="shared" si="9"/>
        <v>-2.981833171472412E-2</v>
      </c>
      <c r="K127">
        <f t="shared" si="9"/>
        <v>-4.9655590445860945E-2</v>
      </c>
      <c r="M127">
        <f t="shared" si="8"/>
        <v>-4.0719431899278102E-3</v>
      </c>
      <c r="O127">
        <f t="shared" si="10"/>
        <v>-9.8560034764800294E-3</v>
      </c>
      <c r="AB127" s="29">
        <v>36971</v>
      </c>
      <c r="AC127">
        <v>32.53</v>
      </c>
      <c r="AD127">
        <v>1122.1400000000001</v>
      </c>
      <c r="AE127">
        <f t="shared" si="11"/>
        <v>-4.8175536000113831E-2</v>
      </c>
      <c r="AF127">
        <f t="shared" si="11"/>
        <v>-4.0719431899278102E-3</v>
      </c>
      <c r="AR127">
        <v>55.89</v>
      </c>
      <c r="AS127">
        <f t="shared" si="12"/>
        <v>-1.5688717785178254E-2</v>
      </c>
    </row>
    <row r="128" spans="1:45" x14ac:dyDescent="0.2">
      <c r="A128" s="29">
        <v>36970</v>
      </c>
      <c r="B128">
        <v>18.5</v>
      </c>
      <c r="C128">
        <v>17.25</v>
      </c>
      <c r="D128">
        <v>15.375</v>
      </c>
      <c r="E128">
        <v>6.09</v>
      </c>
      <c r="F128">
        <v>33.76</v>
      </c>
      <c r="G128">
        <v>1142.6199999999999</v>
      </c>
      <c r="H128">
        <f t="shared" si="9"/>
        <v>-7.3559266171530538E-2</v>
      </c>
      <c r="I128">
        <f t="shared" si="9"/>
        <v>-1.4598799421152636E-2</v>
      </c>
      <c r="J128">
        <f t="shared" si="9"/>
        <v>-3.3060862260888065E-2</v>
      </c>
      <c r="K128">
        <f t="shared" si="9"/>
        <v>-5.2244399037519491E-2</v>
      </c>
      <c r="M128">
        <f t="shared" si="8"/>
        <v>-1.8086294593338919E-2</v>
      </c>
      <c r="O128">
        <f t="shared" si="10"/>
        <v>-4.6171268364761445E-2</v>
      </c>
      <c r="AB128" s="29">
        <v>36970</v>
      </c>
      <c r="AC128">
        <v>33.76</v>
      </c>
      <c r="AD128">
        <v>1142.6199999999999</v>
      </c>
      <c r="AE128">
        <f t="shared" si="11"/>
        <v>-3.7113929242496173E-2</v>
      </c>
      <c r="AF128">
        <f t="shared" si="11"/>
        <v>-1.8086294593338919E-2</v>
      </c>
      <c r="AR128">
        <v>60.95</v>
      </c>
      <c r="AS128">
        <f t="shared" si="12"/>
        <v>-8.6668382645673725E-2</v>
      </c>
    </row>
    <row r="129" spans="1:45" x14ac:dyDescent="0.2">
      <c r="A129" s="29">
        <v>36969</v>
      </c>
      <c r="B129">
        <v>18</v>
      </c>
      <c r="C129">
        <v>17</v>
      </c>
      <c r="D129">
        <v>17.484000000000002</v>
      </c>
      <c r="E129">
        <v>6</v>
      </c>
      <c r="F129">
        <v>34.159999999999997</v>
      </c>
      <c r="G129">
        <v>1170.81</v>
      </c>
      <c r="H129">
        <f t="shared" si="9"/>
        <v>2.7398974188114347E-2</v>
      </c>
      <c r="I129">
        <f t="shared" si="9"/>
        <v>1.4598799421152631E-2</v>
      </c>
      <c r="J129">
        <f t="shared" si="9"/>
        <v>-0.12854336330848667</v>
      </c>
      <c r="K129">
        <f t="shared" si="9"/>
        <v>1.4888612493750559E-2</v>
      </c>
      <c r="M129">
        <f t="shared" si="8"/>
        <v>-2.4371945874130895E-2</v>
      </c>
      <c r="O129">
        <f t="shared" si="10"/>
        <v>-2.4657873541922344E-2</v>
      </c>
      <c r="AB129" s="29">
        <v>36969</v>
      </c>
      <c r="AC129">
        <v>34.159999999999997</v>
      </c>
      <c r="AD129">
        <v>1170.81</v>
      </c>
      <c r="AE129">
        <f t="shared" si="11"/>
        <v>-1.1778699192612763E-2</v>
      </c>
      <c r="AF129">
        <f t="shared" si="11"/>
        <v>-2.4371945874130895E-2</v>
      </c>
      <c r="AR129">
        <v>61.8</v>
      </c>
      <c r="AS129">
        <f t="shared" si="12"/>
        <v>-1.3849508536364475E-2</v>
      </c>
    </row>
    <row r="130" spans="1:45" x14ac:dyDescent="0.2">
      <c r="A130" s="29">
        <v>36966</v>
      </c>
      <c r="B130">
        <v>17.75</v>
      </c>
      <c r="C130">
        <v>16.875</v>
      </c>
      <c r="D130">
        <v>15.5</v>
      </c>
      <c r="E130">
        <v>5.4</v>
      </c>
      <c r="F130">
        <v>33.65</v>
      </c>
      <c r="G130">
        <v>1150.53</v>
      </c>
      <c r="H130">
        <f t="shared" si="9"/>
        <v>1.398624197473987E-2</v>
      </c>
      <c r="I130">
        <f t="shared" si="9"/>
        <v>7.38010729762246E-3</v>
      </c>
      <c r="J130">
        <f t="shared" si="9"/>
        <v>0.12044615307586726</v>
      </c>
      <c r="K130">
        <f t="shared" si="9"/>
        <v>0.10536051565782614</v>
      </c>
      <c r="M130">
        <f t="shared" si="8"/>
        <v>1.7473111194933649E-2</v>
      </c>
      <c r="O130">
        <f t="shared" si="10"/>
        <v>4.5699757301615476E-2</v>
      </c>
      <c r="AB130" s="29">
        <v>36966</v>
      </c>
      <c r="AC130">
        <v>33.65</v>
      </c>
      <c r="AD130">
        <v>1150.53</v>
      </c>
      <c r="AE130">
        <f t="shared" si="11"/>
        <v>1.504231282963225E-2</v>
      </c>
      <c r="AF130">
        <f t="shared" si="11"/>
        <v>1.7473111194933649E-2</v>
      </c>
      <c r="AR130">
        <v>62.24</v>
      </c>
      <c r="AS130">
        <f t="shared" si="12"/>
        <v>-7.0945154064911732E-3</v>
      </c>
    </row>
    <row r="131" spans="1:45" x14ac:dyDescent="0.2">
      <c r="A131" s="29">
        <v>36965</v>
      </c>
      <c r="B131">
        <v>18.5</v>
      </c>
      <c r="C131">
        <v>16.937999999999999</v>
      </c>
      <c r="D131">
        <v>14.813000000000001</v>
      </c>
      <c r="E131">
        <v>5.54</v>
      </c>
      <c r="F131">
        <v>35.26</v>
      </c>
      <c r="G131">
        <v>1173.56</v>
      </c>
      <c r="H131">
        <f t="shared" si="9"/>
        <v>-4.1385216162854364E-2</v>
      </c>
      <c r="I131">
        <f t="shared" si="9"/>
        <v>-3.7263817408136751E-3</v>
      </c>
      <c r="J131">
        <f t="shared" si="9"/>
        <v>4.5334850325285857E-2</v>
      </c>
      <c r="K131">
        <f t="shared" si="9"/>
        <v>-2.5595547188963653E-2</v>
      </c>
      <c r="M131">
        <f t="shared" si="8"/>
        <v>-1.9819158330256742E-2</v>
      </c>
      <c r="O131">
        <f t="shared" si="10"/>
        <v>-4.8231868199650162E-3</v>
      </c>
      <c r="AB131" s="29">
        <v>36965</v>
      </c>
      <c r="AC131">
        <v>35.26</v>
      </c>
      <c r="AD131">
        <v>1173.56</v>
      </c>
      <c r="AE131">
        <f t="shared" si="11"/>
        <v>-4.673612087898734E-2</v>
      </c>
      <c r="AF131">
        <f t="shared" si="11"/>
        <v>-1.9819158330256742E-2</v>
      </c>
      <c r="AR131">
        <v>66.53</v>
      </c>
      <c r="AS131">
        <f t="shared" si="12"/>
        <v>-6.6655093883659949E-2</v>
      </c>
    </row>
    <row r="132" spans="1:45" x14ac:dyDescent="0.2">
      <c r="A132" s="29">
        <v>36964</v>
      </c>
      <c r="B132">
        <v>17.125</v>
      </c>
      <c r="C132">
        <v>17.125</v>
      </c>
      <c r="D132">
        <v>13.563000000000001</v>
      </c>
      <c r="E132">
        <v>5.49</v>
      </c>
      <c r="F132">
        <v>37.04</v>
      </c>
      <c r="G132">
        <v>1166.71</v>
      </c>
      <c r="H132">
        <f t="shared" si="9"/>
        <v>7.7231347935990166E-2</v>
      </c>
      <c r="I132">
        <f t="shared" si="9"/>
        <v>-1.0979765648881805E-2</v>
      </c>
      <c r="J132">
        <f t="shared" si="9"/>
        <v>8.8159676619337227E-2</v>
      </c>
      <c r="K132">
        <f t="shared" si="9"/>
        <v>9.0662452377530418E-3</v>
      </c>
      <c r="M132">
        <f t="shared" si="8"/>
        <v>5.85404210825082E-3</v>
      </c>
      <c r="O132">
        <f t="shared" si="10"/>
        <v>5.8666944160556622E-2</v>
      </c>
      <c r="AB132" s="29">
        <v>36964</v>
      </c>
      <c r="AC132">
        <v>37.04</v>
      </c>
      <c r="AD132">
        <v>1166.71</v>
      </c>
      <c r="AE132">
        <f t="shared" si="11"/>
        <v>-4.9249232808254439E-2</v>
      </c>
      <c r="AF132">
        <f t="shared" si="11"/>
        <v>5.85404210825082E-3</v>
      </c>
      <c r="AR132">
        <v>62.75</v>
      </c>
      <c r="AS132">
        <f t="shared" si="12"/>
        <v>5.8494395741902822E-2</v>
      </c>
    </row>
    <row r="133" spans="1:45" x14ac:dyDescent="0.2">
      <c r="A133" s="29">
        <v>36963</v>
      </c>
      <c r="B133">
        <v>17.75</v>
      </c>
      <c r="C133">
        <v>17.562999999999999</v>
      </c>
      <c r="D133">
        <v>13.938000000000001</v>
      </c>
      <c r="E133">
        <v>5.78</v>
      </c>
      <c r="F133">
        <v>38.03</v>
      </c>
      <c r="G133">
        <v>1197.6600000000001</v>
      </c>
      <c r="H133">
        <f t="shared" si="9"/>
        <v>-3.5846131773135767E-2</v>
      </c>
      <c r="I133">
        <f t="shared" si="9"/>
        <v>-2.525503229130947E-2</v>
      </c>
      <c r="J133">
        <f t="shared" si="9"/>
        <v>-2.7273426035749351E-2</v>
      </c>
      <c r="K133">
        <f t="shared" si="9"/>
        <v>-5.147542716284683E-2</v>
      </c>
      <c r="M133">
        <f t="shared" si="8"/>
        <v>-2.6181831074086895E-2</v>
      </c>
      <c r="O133">
        <f t="shared" si="10"/>
        <v>-3.051968397844158E-2</v>
      </c>
      <c r="AB133" s="29">
        <v>36963</v>
      </c>
      <c r="AC133">
        <v>38.03</v>
      </c>
      <c r="AD133">
        <v>1197.6600000000001</v>
      </c>
      <c r="AE133">
        <f t="shared" si="11"/>
        <v>-2.6376912162189667E-2</v>
      </c>
      <c r="AF133">
        <f t="shared" si="11"/>
        <v>-2.6181831074086895E-2</v>
      </c>
      <c r="AR133">
        <v>62.05</v>
      </c>
      <c r="AS133">
        <f t="shared" si="12"/>
        <v>1.1218066361277096E-2</v>
      </c>
    </row>
    <row r="134" spans="1:45" x14ac:dyDescent="0.2">
      <c r="A134" s="29">
        <v>36962</v>
      </c>
      <c r="B134">
        <v>17.562999999999999</v>
      </c>
      <c r="C134">
        <v>17.687999999999999</v>
      </c>
      <c r="D134">
        <v>10.313000000000001</v>
      </c>
      <c r="E134">
        <v>5.7</v>
      </c>
      <c r="F134">
        <v>38.97</v>
      </c>
      <c r="G134">
        <v>1180.1600000000001</v>
      </c>
      <c r="H134">
        <f t="shared" si="9"/>
        <v>1.0591099481826304E-2</v>
      </c>
      <c r="I134">
        <f t="shared" si="9"/>
        <v>-7.0920271155465843E-3</v>
      </c>
      <c r="J134">
        <f t="shared" si="9"/>
        <v>0.30121368768239515</v>
      </c>
      <c r="K134">
        <f t="shared" si="9"/>
        <v>1.3937507843781678E-2</v>
      </c>
      <c r="M134">
        <f t="shared" si="8"/>
        <v>1.4719630562726694E-2</v>
      </c>
      <c r="O134">
        <f t="shared" si="10"/>
        <v>9.7252582981211214E-2</v>
      </c>
      <c r="AB134" s="29">
        <v>36962</v>
      </c>
      <c r="AC134">
        <v>38.97</v>
      </c>
      <c r="AD134">
        <v>1180.1600000000001</v>
      </c>
      <c r="AE134">
        <f t="shared" si="11"/>
        <v>-2.4416797410449477E-2</v>
      </c>
      <c r="AF134">
        <f t="shared" si="11"/>
        <v>1.4719630562726694E-2</v>
      </c>
      <c r="AR134">
        <v>61.27</v>
      </c>
      <c r="AS134">
        <f t="shared" si="12"/>
        <v>1.2650184913053008E-2</v>
      </c>
    </row>
    <row r="135" spans="1:45" x14ac:dyDescent="0.2">
      <c r="A135" s="29">
        <v>36959</v>
      </c>
      <c r="B135">
        <v>18.75</v>
      </c>
      <c r="C135">
        <v>17.875</v>
      </c>
      <c r="D135">
        <v>13.938000000000001</v>
      </c>
      <c r="E135">
        <v>6.47</v>
      </c>
      <c r="F135">
        <v>40</v>
      </c>
      <c r="G135">
        <v>1233.42</v>
      </c>
      <c r="H135">
        <f t="shared" si="9"/>
        <v>-6.5399335976821349E-2</v>
      </c>
      <c r="I135">
        <f t="shared" si="9"/>
        <v>-1.0516645024926241E-2</v>
      </c>
      <c r="J135">
        <f t="shared" si="9"/>
        <v>-0.30121368768239515</v>
      </c>
      <c r="K135">
        <f t="shared" si="9"/>
        <v>-0.12670993367230463</v>
      </c>
      <c r="M135">
        <f t="shared" si="8"/>
        <v>-4.4140776277516995E-2</v>
      </c>
      <c r="O135">
        <f t="shared" si="10"/>
        <v>-0.12561316243619658</v>
      </c>
      <c r="AB135" s="29">
        <v>36959</v>
      </c>
      <c r="AC135">
        <v>40</v>
      </c>
      <c r="AD135">
        <v>1233.42</v>
      </c>
      <c r="AE135">
        <f t="shared" si="11"/>
        <v>-2.6087334763318492E-2</v>
      </c>
      <c r="AF135">
        <f t="shared" si="11"/>
        <v>-4.4140776277516995E-2</v>
      </c>
      <c r="AR135">
        <v>68.84</v>
      </c>
      <c r="AS135">
        <f t="shared" si="12"/>
        <v>-0.11649464460577541</v>
      </c>
    </row>
    <row r="136" spans="1:45" x14ac:dyDescent="0.2">
      <c r="A136" s="29">
        <v>36958</v>
      </c>
      <c r="B136">
        <v>19.5</v>
      </c>
      <c r="C136">
        <v>17.5</v>
      </c>
      <c r="D136">
        <v>13.813000000000001</v>
      </c>
      <c r="E136">
        <v>7.04</v>
      </c>
      <c r="F136">
        <v>40.5</v>
      </c>
      <c r="G136">
        <v>1264.74</v>
      </c>
      <c r="H136">
        <f t="shared" si="9"/>
        <v>-3.9220713153281267E-2</v>
      </c>
      <c r="I136">
        <f t="shared" si="9"/>
        <v>2.1202207650602906E-2</v>
      </c>
      <c r="J136">
        <f t="shared" si="9"/>
        <v>9.0087452985042962E-3</v>
      </c>
      <c r="K136">
        <f t="shared" si="9"/>
        <v>-8.4432061657141927E-2</v>
      </c>
      <c r="M136">
        <f t="shared" si="8"/>
        <v>-2.5075768674221666E-2</v>
      </c>
      <c r="O136">
        <f t="shared" si="10"/>
        <v>-9.0455584597640137E-3</v>
      </c>
      <c r="AB136" s="29">
        <v>36958</v>
      </c>
      <c r="AC136">
        <v>40.5</v>
      </c>
      <c r="AD136">
        <v>1264.74</v>
      </c>
      <c r="AE136">
        <f t="shared" si="11"/>
        <v>-1.2422519998557209E-2</v>
      </c>
      <c r="AF136">
        <f t="shared" si="11"/>
        <v>-2.5075768674221666E-2</v>
      </c>
      <c r="AR136">
        <v>70.59</v>
      </c>
      <c r="AS136">
        <f t="shared" si="12"/>
        <v>-2.5103520064042116E-2</v>
      </c>
    </row>
    <row r="137" spans="1:45" x14ac:dyDescent="0.2">
      <c r="A137" s="29">
        <v>36957</v>
      </c>
      <c r="B137">
        <v>20.5</v>
      </c>
      <c r="C137">
        <v>16.75</v>
      </c>
      <c r="D137">
        <v>14.375</v>
      </c>
      <c r="E137">
        <v>7</v>
      </c>
      <c r="F137">
        <v>40.5</v>
      </c>
      <c r="G137">
        <v>1261.8900000000001</v>
      </c>
      <c r="H137">
        <f t="shared" si="9"/>
        <v>-5.0010420574661422E-2</v>
      </c>
      <c r="I137">
        <f t="shared" si="9"/>
        <v>4.380262265839284E-2</v>
      </c>
      <c r="J137">
        <f t="shared" si="9"/>
        <v>-3.9880408965591294E-2</v>
      </c>
      <c r="K137">
        <f t="shared" si="9"/>
        <v>5.6980211146377959E-3</v>
      </c>
      <c r="M137">
        <f t="shared" si="8"/>
        <v>2.2559703705987118E-3</v>
      </c>
      <c r="O137">
        <f t="shared" si="10"/>
        <v>-2.3450751742797538E-2</v>
      </c>
      <c r="AB137" s="29">
        <v>36957</v>
      </c>
      <c r="AC137">
        <v>40.5</v>
      </c>
      <c r="AD137">
        <v>1261.8900000000001</v>
      </c>
      <c r="AE137">
        <f t="shared" si="11"/>
        <v>0</v>
      </c>
      <c r="AF137">
        <f t="shared" si="11"/>
        <v>2.2559703705987118E-3</v>
      </c>
      <c r="AR137">
        <v>70</v>
      </c>
      <c r="AS137">
        <f t="shared" si="12"/>
        <v>8.3932493580218398E-3</v>
      </c>
    </row>
    <row r="138" spans="1:45" x14ac:dyDescent="0.2">
      <c r="A138" s="29">
        <v>36956</v>
      </c>
      <c r="B138">
        <v>18.25</v>
      </c>
      <c r="C138">
        <v>17</v>
      </c>
      <c r="D138">
        <v>14.063000000000001</v>
      </c>
      <c r="E138">
        <v>6.76</v>
      </c>
      <c r="F138">
        <v>38.340000000000003</v>
      </c>
      <c r="G138">
        <v>1253.8</v>
      </c>
      <c r="H138">
        <f t="shared" si="9"/>
        <v>0.11625980611586202</v>
      </c>
      <c r="I138">
        <f t="shared" si="9"/>
        <v>-1.4815085785140587E-2</v>
      </c>
      <c r="J138">
        <f t="shared" si="9"/>
        <v>2.1943351795303403E-2</v>
      </c>
      <c r="K138">
        <f t="shared" si="9"/>
        <v>3.488725900044054E-2</v>
      </c>
      <c r="M138">
        <f t="shared" si="8"/>
        <v>6.4316572293915486E-3</v>
      </c>
      <c r="O138">
        <f t="shared" si="10"/>
        <v>5.4031002970212572E-2</v>
      </c>
      <c r="AB138" s="29">
        <v>36956</v>
      </c>
      <c r="AC138">
        <v>38.340000000000003</v>
      </c>
      <c r="AD138">
        <v>1253.8</v>
      </c>
      <c r="AE138">
        <f t="shared" si="11"/>
        <v>5.4808236494994951E-2</v>
      </c>
      <c r="AF138">
        <f t="shared" si="11"/>
        <v>6.4316572293915486E-3</v>
      </c>
      <c r="AR138">
        <v>68.87</v>
      </c>
      <c r="AS138">
        <f t="shared" si="12"/>
        <v>1.6274572492751955E-2</v>
      </c>
    </row>
    <row r="139" spans="1:45" x14ac:dyDescent="0.2">
      <c r="A139" s="29">
        <v>36955</v>
      </c>
      <c r="B139">
        <v>17.375</v>
      </c>
      <c r="C139">
        <v>17</v>
      </c>
      <c r="D139">
        <v>14.375</v>
      </c>
      <c r="E139">
        <v>6.5</v>
      </c>
      <c r="F139">
        <v>38.65</v>
      </c>
      <c r="G139">
        <v>1241.4100000000001</v>
      </c>
      <c r="H139">
        <f t="shared" si="9"/>
        <v>4.9132688577644593E-2</v>
      </c>
      <c r="I139">
        <f t="shared" si="9"/>
        <v>0</v>
      </c>
      <c r="J139">
        <f t="shared" si="9"/>
        <v>-2.1943351795303389E-2</v>
      </c>
      <c r="K139">
        <f t="shared" si="9"/>
        <v>3.9220713153281329E-2</v>
      </c>
      <c r="M139">
        <f t="shared" si="8"/>
        <v>9.9311094714618839E-3</v>
      </c>
      <c r="O139">
        <f t="shared" si="10"/>
        <v>1.4612714273338011E-2</v>
      </c>
      <c r="AB139" s="29">
        <v>36955</v>
      </c>
      <c r="AC139">
        <v>38.65</v>
      </c>
      <c r="AD139">
        <v>1241.4100000000001</v>
      </c>
      <c r="AE139">
        <f t="shared" si="11"/>
        <v>-8.0530374159324368E-3</v>
      </c>
      <c r="AF139">
        <f t="shared" si="11"/>
        <v>9.9311094714618839E-3</v>
      </c>
      <c r="AR139">
        <v>70.11</v>
      </c>
      <c r="AS139">
        <f t="shared" si="12"/>
        <v>-1.7844767662269317E-2</v>
      </c>
    </row>
    <row r="140" spans="1:45" x14ac:dyDescent="0.2">
      <c r="A140" s="29">
        <v>36952</v>
      </c>
      <c r="B140">
        <v>18</v>
      </c>
      <c r="C140">
        <v>16.812999999999999</v>
      </c>
      <c r="D140">
        <v>14.688000000000001</v>
      </c>
      <c r="E140">
        <v>6.05</v>
      </c>
      <c r="F140">
        <v>38.520000000000003</v>
      </c>
      <c r="G140">
        <v>1234.18</v>
      </c>
      <c r="H140">
        <f t="shared" si="9"/>
        <v>-3.5339366445308849E-2</v>
      </c>
      <c r="I140">
        <f t="shared" si="9"/>
        <v>1.1060947359424976E-2</v>
      </c>
      <c r="J140">
        <f t="shared" si="9"/>
        <v>-2.1540247194720509E-2</v>
      </c>
      <c r="K140">
        <f t="shared" si="9"/>
        <v>7.1743904858841315E-2</v>
      </c>
      <c r="M140">
        <f t="shared" si="8"/>
        <v>5.8410484417784634E-3</v>
      </c>
      <c r="O140">
        <f t="shared" si="10"/>
        <v>-1.9448796653149747E-2</v>
      </c>
      <c r="AB140" s="29">
        <v>36952</v>
      </c>
      <c r="AC140">
        <v>38.520000000000003</v>
      </c>
      <c r="AD140">
        <v>1234.18</v>
      </c>
      <c r="AE140">
        <f t="shared" si="11"/>
        <v>3.3691881035060418E-3</v>
      </c>
      <c r="AF140">
        <f t="shared" si="11"/>
        <v>5.8410484417784634E-3</v>
      </c>
      <c r="AR140">
        <v>70.19</v>
      </c>
      <c r="AS140">
        <f t="shared" si="12"/>
        <v>-1.1404135234538574E-3</v>
      </c>
    </row>
    <row r="141" spans="1:45" x14ac:dyDescent="0.2">
      <c r="A141" s="29">
        <v>36951</v>
      </c>
      <c r="B141">
        <v>18.75</v>
      </c>
      <c r="C141">
        <v>17</v>
      </c>
      <c r="D141">
        <v>16.25</v>
      </c>
      <c r="E141">
        <v>6.2</v>
      </c>
      <c r="F141">
        <v>37.42</v>
      </c>
      <c r="G141">
        <v>1241.23</v>
      </c>
      <c r="H141">
        <f t="shared" si="9"/>
        <v>-4.0821994520255166E-2</v>
      </c>
      <c r="I141">
        <f t="shared" si="9"/>
        <v>-1.1060947359425061E-2</v>
      </c>
      <c r="J141">
        <f t="shared" si="9"/>
        <v>-0.10106207489761178</v>
      </c>
      <c r="K141">
        <f t="shared" si="9"/>
        <v>-2.449102000829587E-2</v>
      </c>
      <c r="M141">
        <f t="shared" si="8"/>
        <v>-5.6960415134154176E-3</v>
      </c>
      <c r="O141">
        <f t="shared" si="10"/>
        <v>-5.2280107697797028E-2</v>
      </c>
      <c r="AB141" s="29">
        <v>36951</v>
      </c>
      <c r="AC141">
        <v>37.42</v>
      </c>
      <c r="AD141">
        <v>1241.23</v>
      </c>
      <c r="AE141">
        <f t="shared" si="11"/>
        <v>2.8972266083981329E-2</v>
      </c>
      <c r="AF141">
        <f t="shared" si="11"/>
        <v>-5.6960415134154176E-3</v>
      </c>
      <c r="AR141">
        <v>68.680000000000007</v>
      </c>
      <c r="AS141">
        <f t="shared" si="12"/>
        <v>2.1747814713055223E-2</v>
      </c>
    </row>
    <row r="142" spans="1:45" x14ac:dyDescent="0.2">
      <c r="A142" s="29">
        <v>36950</v>
      </c>
      <c r="B142">
        <v>19.875</v>
      </c>
      <c r="C142">
        <v>16.25</v>
      </c>
      <c r="D142">
        <v>15.063000000000001</v>
      </c>
      <c r="E142">
        <v>6.25</v>
      </c>
      <c r="F142">
        <v>37.5</v>
      </c>
      <c r="G142">
        <v>1239.94</v>
      </c>
      <c r="H142">
        <f t="shared" si="9"/>
        <v>-5.8268908123975761E-2</v>
      </c>
      <c r="I142">
        <f t="shared" si="9"/>
        <v>4.5120435280469641E-2</v>
      </c>
      <c r="J142">
        <f t="shared" si="9"/>
        <v>7.5851503055068367E-2</v>
      </c>
      <c r="K142">
        <f t="shared" si="9"/>
        <v>-8.0321716972642666E-3</v>
      </c>
      <c r="M142">
        <f t="shared" si="8"/>
        <v>1.0398321084283263E-3</v>
      </c>
      <c r="O142">
        <f t="shared" si="10"/>
        <v>9.5315186716156061E-3</v>
      </c>
      <c r="AB142" s="29">
        <v>36950</v>
      </c>
      <c r="AC142">
        <v>37.5</v>
      </c>
      <c r="AD142">
        <v>1239.94</v>
      </c>
      <c r="AE142">
        <f t="shared" si="11"/>
        <v>-2.135612130421561E-3</v>
      </c>
      <c r="AF142">
        <f t="shared" si="11"/>
        <v>1.0398321084283263E-3</v>
      </c>
      <c r="AR142">
        <v>68.5</v>
      </c>
      <c r="AS142">
        <f t="shared" si="12"/>
        <v>2.6242907610953192E-3</v>
      </c>
    </row>
    <row r="143" spans="1:45" x14ac:dyDescent="0.2">
      <c r="A143" s="29">
        <v>36949</v>
      </c>
      <c r="B143">
        <v>21.562999999999999</v>
      </c>
      <c r="C143">
        <v>16.937999999999999</v>
      </c>
      <c r="D143">
        <v>15.75</v>
      </c>
      <c r="E143">
        <v>6.49</v>
      </c>
      <c r="F143">
        <v>37.729999999999997</v>
      </c>
      <c r="G143">
        <v>1257.94</v>
      </c>
      <c r="H143">
        <f t="shared" si="9"/>
        <v>-8.1516222388132983E-2</v>
      </c>
      <c r="I143">
        <f t="shared" si="9"/>
        <v>-4.1466709723660733E-2</v>
      </c>
      <c r="J143">
        <f t="shared" si="9"/>
        <v>-4.4598959550963865E-2</v>
      </c>
      <c r="K143">
        <f t="shared" si="9"/>
        <v>-3.7681066967688477E-2</v>
      </c>
      <c r="M143">
        <f t="shared" si="8"/>
        <v>-1.4412471037762728E-2</v>
      </c>
      <c r="O143">
        <f t="shared" si="10"/>
        <v>-5.9964455387749555E-2</v>
      </c>
      <c r="AB143" s="29">
        <v>36949</v>
      </c>
      <c r="AC143">
        <v>37.729999999999997</v>
      </c>
      <c r="AD143">
        <v>1257.94</v>
      </c>
      <c r="AE143">
        <f t="shared" si="11"/>
        <v>-6.1146009998539232E-3</v>
      </c>
      <c r="AF143">
        <f t="shared" si="11"/>
        <v>-1.4412471037762728E-2</v>
      </c>
      <c r="AR143">
        <v>70.040000000000006</v>
      </c>
      <c r="AS143">
        <f t="shared" si="12"/>
        <v>-2.2232762149471553E-2</v>
      </c>
    </row>
    <row r="144" spans="1:45" x14ac:dyDescent="0.2">
      <c r="A144" s="29">
        <v>36948</v>
      </c>
      <c r="B144">
        <v>21.375</v>
      </c>
      <c r="C144">
        <v>16.625</v>
      </c>
      <c r="D144">
        <v>16.562999999999999</v>
      </c>
      <c r="E144">
        <v>6.8</v>
      </c>
      <c r="F144">
        <v>37.69</v>
      </c>
      <c r="G144">
        <v>1267.6500000000001</v>
      </c>
      <c r="H144">
        <f t="shared" si="9"/>
        <v>8.7568681057046821E-3</v>
      </c>
      <c r="I144">
        <f t="shared" si="9"/>
        <v>1.8652031957489365E-2</v>
      </c>
      <c r="J144">
        <f t="shared" si="9"/>
        <v>-5.0330926698375154E-2</v>
      </c>
      <c r="K144">
        <f t="shared" ref="J144:K207" si="13">LN(E143/E144)</f>
        <v>-4.6660081466062334E-2</v>
      </c>
      <c r="M144">
        <f t="shared" ref="M144:M207" si="14">LN(G143/G144)</f>
        <v>-7.6893302892232628E-3</v>
      </c>
      <c r="O144">
        <f t="shared" si="10"/>
        <v>-7.2922506817599611E-3</v>
      </c>
      <c r="AB144" s="29">
        <v>36948</v>
      </c>
      <c r="AC144">
        <v>37.69</v>
      </c>
      <c r="AD144">
        <v>1267.6500000000001</v>
      </c>
      <c r="AE144">
        <f t="shared" si="11"/>
        <v>1.0607266971749065E-3</v>
      </c>
      <c r="AF144">
        <f t="shared" si="11"/>
        <v>-7.6893302892232628E-3</v>
      </c>
      <c r="AR144">
        <v>70.56</v>
      </c>
      <c r="AS144">
        <f t="shared" si="12"/>
        <v>-7.3969042808847505E-3</v>
      </c>
    </row>
    <row r="145" spans="1:45" x14ac:dyDescent="0.2">
      <c r="A145" s="29">
        <v>36945</v>
      </c>
      <c r="B145">
        <v>20.625</v>
      </c>
      <c r="C145">
        <v>16.937999999999999</v>
      </c>
      <c r="D145">
        <v>16.109000000000002</v>
      </c>
      <c r="E145">
        <v>6.59</v>
      </c>
      <c r="F145">
        <v>36.97</v>
      </c>
      <c r="G145">
        <v>1245.8599999999999</v>
      </c>
      <c r="H145">
        <f t="shared" ref="H145:I208" si="15">LN(B144/B145)</f>
        <v>3.5718082602079246E-2</v>
      </c>
      <c r="I145">
        <f t="shared" si="15"/>
        <v>-1.8652031957489369E-2</v>
      </c>
      <c r="J145">
        <f t="shared" si="13"/>
        <v>2.7793169954188485E-2</v>
      </c>
      <c r="K145">
        <f t="shared" si="13"/>
        <v>3.1369263667645128E-2</v>
      </c>
      <c r="M145">
        <f t="shared" si="14"/>
        <v>1.7338738174571561E-2</v>
      </c>
      <c r="O145">
        <f t="shared" ref="O145:O191" si="16">$N$15*H145+$O$15*I145+$P$15*J145</f>
        <v>1.9681574357686617E-2</v>
      </c>
      <c r="AB145" s="29">
        <v>36945</v>
      </c>
      <c r="AC145">
        <v>36.97</v>
      </c>
      <c r="AD145">
        <v>1245.8599999999999</v>
      </c>
      <c r="AE145">
        <f t="shared" ref="AE145:AF208" si="17">LN(AC144/AC145)</f>
        <v>1.9288034330503547E-2</v>
      </c>
      <c r="AF145">
        <f t="shared" si="17"/>
        <v>1.7338738174571561E-2</v>
      </c>
      <c r="AR145">
        <v>71</v>
      </c>
      <c r="AS145">
        <f t="shared" ref="AS145:AS208" si="18">LN(AR144/AR145)</f>
        <v>-6.2164653427795279E-3</v>
      </c>
    </row>
    <row r="146" spans="1:45" x14ac:dyDescent="0.2">
      <c r="A146" s="29">
        <v>36944</v>
      </c>
      <c r="B146">
        <v>19.5</v>
      </c>
      <c r="C146">
        <v>16.937999999999999</v>
      </c>
      <c r="D146">
        <v>13.063000000000001</v>
      </c>
      <c r="E146">
        <v>6.8</v>
      </c>
      <c r="F146">
        <v>37.21</v>
      </c>
      <c r="G146">
        <v>1252.82</v>
      </c>
      <c r="H146">
        <f t="shared" si="15"/>
        <v>5.6089466651043578E-2</v>
      </c>
      <c r="I146">
        <f t="shared" si="15"/>
        <v>0</v>
      </c>
      <c r="J146">
        <f t="shared" si="13"/>
        <v>0.20959431551140231</v>
      </c>
      <c r="K146">
        <f t="shared" si="13"/>
        <v>-3.1369263667645163E-2</v>
      </c>
      <c r="M146">
        <f t="shared" si="14"/>
        <v>-5.5709558651842886E-3</v>
      </c>
      <c r="O146">
        <f t="shared" si="16"/>
        <v>9.0209976752201076E-2</v>
      </c>
      <c r="AB146" s="29">
        <v>36944</v>
      </c>
      <c r="AC146">
        <v>37.21</v>
      </c>
      <c r="AD146">
        <v>1252.82</v>
      </c>
      <c r="AE146">
        <f t="shared" si="17"/>
        <v>-6.4707694099906208E-3</v>
      </c>
      <c r="AF146">
        <f t="shared" si="17"/>
        <v>-5.5709558651842886E-3</v>
      </c>
      <c r="AR146">
        <v>72.150000000000006</v>
      </c>
      <c r="AS146">
        <f t="shared" si="18"/>
        <v>-1.606740817856455E-2</v>
      </c>
    </row>
    <row r="147" spans="1:45" x14ac:dyDescent="0.2">
      <c r="A147" s="29">
        <v>36943</v>
      </c>
      <c r="B147">
        <v>20.375</v>
      </c>
      <c r="C147">
        <v>16.937999999999999</v>
      </c>
      <c r="D147">
        <v>15.125</v>
      </c>
      <c r="E147">
        <v>6.9</v>
      </c>
      <c r="F147">
        <v>38.200000000000003</v>
      </c>
      <c r="G147">
        <v>1255.27</v>
      </c>
      <c r="H147">
        <f t="shared" si="15"/>
        <v>-4.3894193557225264E-2</v>
      </c>
      <c r="I147">
        <f t="shared" si="15"/>
        <v>0</v>
      </c>
      <c r="J147">
        <f t="shared" si="13"/>
        <v>-0.14656519741247884</v>
      </c>
      <c r="K147">
        <f t="shared" si="13"/>
        <v>-1.4598799421152749E-2</v>
      </c>
      <c r="M147">
        <f t="shared" si="14"/>
        <v>-1.9536785197305554E-3</v>
      </c>
      <c r="O147">
        <f t="shared" si="16"/>
        <v>-6.5125403395231193E-2</v>
      </c>
      <c r="AB147" s="29">
        <v>36943</v>
      </c>
      <c r="AC147">
        <v>38.200000000000003</v>
      </c>
      <c r="AD147">
        <v>1255.27</v>
      </c>
      <c r="AE147">
        <f t="shared" si="17"/>
        <v>-2.6257973253998378E-2</v>
      </c>
      <c r="AF147">
        <f t="shared" si="17"/>
        <v>-1.9536785197305554E-3</v>
      </c>
      <c r="AR147">
        <v>73.09</v>
      </c>
      <c r="AS147">
        <f t="shared" si="18"/>
        <v>-1.2944273272420419E-2</v>
      </c>
    </row>
    <row r="148" spans="1:45" x14ac:dyDescent="0.2">
      <c r="A148" s="29">
        <v>36942</v>
      </c>
      <c r="B148">
        <v>20.625</v>
      </c>
      <c r="C148">
        <v>16.937999999999999</v>
      </c>
      <c r="D148">
        <v>17.640999999999998</v>
      </c>
      <c r="E148">
        <v>7.5</v>
      </c>
      <c r="F148">
        <v>38.43</v>
      </c>
      <c r="G148">
        <v>1278.94</v>
      </c>
      <c r="H148">
        <f t="shared" si="15"/>
        <v>-1.2195273093818243E-2</v>
      </c>
      <c r="I148">
        <f t="shared" si="15"/>
        <v>0</v>
      </c>
      <c r="J148">
        <f t="shared" si="13"/>
        <v>-0.15387673439736357</v>
      </c>
      <c r="K148">
        <f t="shared" si="13"/>
        <v>-8.3381608939051013E-2</v>
      </c>
      <c r="M148">
        <f t="shared" si="14"/>
        <v>-1.868092095978631E-2</v>
      </c>
      <c r="O148">
        <f t="shared" si="16"/>
        <v>-5.3552571874819196E-2</v>
      </c>
      <c r="AB148" s="29">
        <v>36942</v>
      </c>
      <c r="AC148">
        <v>38.43</v>
      </c>
      <c r="AD148">
        <v>1278.94</v>
      </c>
      <c r="AE148">
        <f t="shared" si="17"/>
        <v>-6.0028889642230396E-3</v>
      </c>
      <c r="AF148">
        <f t="shared" si="17"/>
        <v>-1.868092095978631E-2</v>
      </c>
      <c r="AR148">
        <v>75.09</v>
      </c>
      <c r="AS148">
        <f t="shared" si="18"/>
        <v>-2.6995835619492214E-2</v>
      </c>
    </row>
    <row r="149" spans="1:45" x14ac:dyDescent="0.2">
      <c r="A149" s="29">
        <v>36938</v>
      </c>
      <c r="B149">
        <v>20.375</v>
      </c>
      <c r="C149">
        <v>16.937999999999999</v>
      </c>
      <c r="D149">
        <v>20.625</v>
      </c>
      <c r="E149">
        <v>7.84</v>
      </c>
      <c r="F149">
        <v>38.92</v>
      </c>
      <c r="G149">
        <v>1301.53</v>
      </c>
      <c r="H149">
        <f t="shared" si="15"/>
        <v>1.2195273093818206E-2</v>
      </c>
      <c r="I149">
        <f t="shared" si="15"/>
        <v>0</v>
      </c>
      <c r="J149">
        <f t="shared" si="13"/>
        <v>-0.15627819390647596</v>
      </c>
      <c r="K149">
        <f t="shared" si="13"/>
        <v>-4.4335813820051743E-2</v>
      </c>
      <c r="M149">
        <f t="shared" si="14"/>
        <v>-1.750888566678116E-2</v>
      </c>
      <c r="O149">
        <f t="shared" si="16"/>
        <v>-4.3637540524519389E-2</v>
      </c>
      <c r="AB149" s="29">
        <v>36938</v>
      </c>
      <c r="AC149">
        <v>38.92</v>
      </c>
      <c r="AD149">
        <v>1301.53</v>
      </c>
      <c r="AE149">
        <f t="shared" si="17"/>
        <v>-1.2669852741051778E-2</v>
      </c>
      <c r="AF149">
        <f t="shared" si="17"/>
        <v>-1.750888566678116E-2</v>
      </c>
      <c r="AR149">
        <v>76.650000000000006</v>
      </c>
      <c r="AS149">
        <f t="shared" si="18"/>
        <v>-2.0562211206030637E-2</v>
      </c>
    </row>
    <row r="150" spans="1:45" x14ac:dyDescent="0.2">
      <c r="A150" s="29">
        <v>36937</v>
      </c>
      <c r="B150">
        <v>20.5</v>
      </c>
      <c r="C150">
        <v>17</v>
      </c>
      <c r="D150">
        <v>22.562999999999999</v>
      </c>
      <c r="E150">
        <v>8.15</v>
      </c>
      <c r="F150">
        <v>39.57</v>
      </c>
      <c r="G150">
        <v>1326.61</v>
      </c>
      <c r="H150">
        <f t="shared" si="15"/>
        <v>-6.1162270174360944E-3</v>
      </c>
      <c r="I150">
        <f t="shared" si="15"/>
        <v>-3.6537255568088413E-3</v>
      </c>
      <c r="J150">
        <f t="shared" si="13"/>
        <v>-8.9807464291630973E-2</v>
      </c>
      <c r="K150">
        <f t="shared" si="13"/>
        <v>-3.8779092890454982E-2</v>
      </c>
      <c r="M150">
        <f t="shared" si="14"/>
        <v>-1.9086320634772405E-2</v>
      </c>
      <c r="O150">
        <f t="shared" si="16"/>
        <v>-3.1727861197441094E-2</v>
      </c>
      <c r="AB150" s="29">
        <v>36937</v>
      </c>
      <c r="AC150">
        <v>39.57</v>
      </c>
      <c r="AD150">
        <v>1326.61</v>
      </c>
      <c r="AE150">
        <f t="shared" si="17"/>
        <v>-1.6562998079528553E-2</v>
      </c>
      <c r="AF150">
        <f t="shared" si="17"/>
        <v>-1.9086320634772405E-2</v>
      </c>
      <c r="AR150">
        <v>77.900000000000006</v>
      </c>
      <c r="AS150">
        <f t="shared" si="18"/>
        <v>-1.6176347558879468E-2</v>
      </c>
    </row>
    <row r="151" spans="1:45" x14ac:dyDescent="0.2">
      <c r="A151" s="29">
        <v>36936</v>
      </c>
      <c r="B151">
        <v>20.812999999999999</v>
      </c>
      <c r="C151">
        <v>16.125</v>
      </c>
      <c r="D151">
        <v>19.875</v>
      </c>
      <c r="E151">
        <v>8</v>
      </c>
      <c r="F151">
        <v>39.49</v>
      </c>
      <c r="G151">
        <v>1315.92</v>
      </c>
      <c r="H151">
        <f t="shared" si="15"/>
        <v>-1.5152905331751799E-2</v>
      </c>
      <c r="I151">
        <f t="shared" si="15"/>
        <v>5.2842481374379982E-2</v>
      </c>
      <c r="J151">
        <f t="shared" si="13"/>
        <v>0.12684873597198015</v>
      </c>
      <c r="K151">
        <f t="shared" si="13"/>
        <v>1.8576385572935457E-2</v>
      </c>
      <c r="M151">
        <f t="shared" si="14"/>
        <v>8.0907753663812948E-3</v>
      </c>
      <c r="O151">
        <f t="shared" si="16"/>
        <v>4.629432287083754E-2</v>
      </c>
      <c r="AB151" s="29">
        <v>36936</v>
      </c>
      <c r="AC151">
        <v>39.49</v>
      </c>
      <c r="AD151">
        <v>1315.92</v>
      </c>
      <c r="AE151">
        <f t="shared" si="17"/>
        <v>2.0237800987749229E-3</v>
      </c>
      <c r="AF151">
        <f t="shared" si="17"/>
        <v>8.0907753663812948E-3</v>
      </c>
      <c r="AR151">
        <v>80</v>
      </c>
      <c r="AS151">
        <f t="shared" si="18"/>
        <v>-2.6600681797178914E-2</v>
      </c>
    </row>
    <row r="152" spans="1:45" x14ac:dyDescent="0.2">
      <c r="A152" s="29">
        <v>36935</v>
      </c>
      <c r="B152">
        <v>21.062999999999999</v>
      </c>
      <c r="C152">
        <v>15</v>
      </c>
      <c r="D152">
        <v>20.75</v>
      </c>
      <c r="E152">
        <v>8.1999999999999993</v>
      </c>
      <c r="F152">
        <v>38.9</v>
      </c>
      <c r="G152">
        <v>1318.8</v>
      </c>
      <c r="H152">
        <f t="shared" si="15"/>
        <v>-1.1940155227107058E-2</v>
      </c>
      <c r="I152">
        <f t="shared" si="15"/>
        <v>7.2320661579626078E-2</v>
      </c>
      <c r="J152">
        <f t="shared" si="13"/>
        <v>-4.3083586136311677E-2</v>
      </c>
      <c r="K152">
        <f t="shared" si="13"/>
        <v>-2.4692612590371411E-2</v>
      </c>
      <c r="M152">
        <f t="shared" si="14"/>
        <v>-2.1861914336732263E-3</v>
      </c>
      <c r="O152">
        <f t="shared" si="16"/>
        <v>-6.9506727652083114E-4</v>
      </c>
      <c r="AB152" s="29">
        <v>36935</v>
      </c>
      <c r="AC152">
        <v>38.9</v>
      </c>
      <c r="AD152">
        <v>1318.8</v>
      </c>
      <c r="AE152">
        <f t="shared" si="17"/>
        <v>1.5053224674157468E-2</v>
      </c>
      <c r="AF152">
        <f t="shared" si="17"/>
        <v>-2.1861914336732263E-3</v>
      </c>
      <c r="AR152">
        <v>81.150000000000006</v>
      </c>
      <c r="AS152">
        <f t="shared" si="18"/>
        <v>-1.4272659286718638E-2</v>
      </c>
    </row>
    <row r="153" spans="1:45" x14ac:dyDescent="0.2">
      <c r="A153" s="29">
        <v>36934</v>
      </c>
      <c r="B153">
        <v>19.437999999999999</v>
      </c>
      <c r="C153">
        <v>14.875</v>
      </c>
      <c r="D153">
        <v>23.875</v>
      </c>
      <c r="E153">
        <v>7.9</v>
      </c>
      <c r="F153">
        <v>38.46</v>
      </c>
      <c r="G153">
        <v>1330.31</v>
      </c>
      <c r="H153">
        <f t="shared" si="15"/>
        <v>8.0288033621942659E-2</v>
      </c>
      <c r="I153">
        <f t="shared" si="15"/>
        <v>8.3682496705165792E-3</v>
      </c>
      <c r="J153">
        <f t="shared" si="13"/>
        <v>-0.14028563969008662</v>
      </c>
      <c r="K153">
        <f t="shared" si="13"/>
        <v>3.7271394797231384E-2</v>
      </c>
      <c r="M153">
        <f t="shared" si="14"/>
        <v>-8.6897655654364792E-3</v>
      </c>
      <c r="O153">
        <f t="shared" si="16"/>
        <v>-6.7587750319741402E-3</v>
      </c>
      <c r="AB153" s="29">
        <v>36934</v>
      </c>
      <c r="AC153">
        <v>38.46</v>
      </c>
      <c r="AD153">
        <v>1330.31</v>
      </c>
      <c r="AE153">
        <f t="shared" si="17"/>
        <v>1.1375510463766905E-2</v>
      </c>
      <c r="AF153">
        <f t="shared" si="17"/>
        <v>-8.6897655654364792E-3</v>
      </c>
      <c r="AR153">
        <v>79.8</v>
      </c>
      <c r="AS153">
        <f t="shared" si="18"/>
        <v>1.6775789504837206E-2</v>
      </c>
    </row>
    <row r="154" spans="1:45" x14ac:dyDescent="0.2">
      <c r="A154" s="29">
        <v>36931</v>
      </c>
      <c r="B154">
        <v>20</v>
      </c>
      <c r="C154">
        <v>15.688000000000001</v>
      </c>
      <c r="D154">
        <v>25.062999999999999</v>
      </c>
      <c r="E154">
        <v>8.35</v>
      </c>
      <c r="F154">
        <v>38.450000000000003</v>
      </c>
      <c r="G154">
        <v>1314.76</v>
      </c>
      <c r="H154">
        <f t="shared" si="15"/>
        <v>-2.8502360472712152E-2</v>
      </c>
      <c r="I154">
        <f t="shared" si="15"/>
        <v>-5.3214137462351756E-2</v>
      </c>
      <c r="J154">
        <f t="shared" si="13"/>
        <v>-4.8560768625681094E-2</v>
      </c>
      <c r="K154">
        <f t="shared" si="13"/>
        <v>-5.5398779389788169E-2</v>
      </c>
      <c r="M154">
        <f t="shared" si="14"/>
        <v>1.1757858313737482E-2</v>
      </c>
      <c r="O154">
        <f t="shared" si="16"/>
        <v>-4.0947911056984962E-2</v>
      </c>
      <c r="AB154" s="29">
        <v>36931</v>
      </c>
      <c r="AC154">
        <v>38.450000000000003</v>
      </c>
      <c r="AD154">
        <v>1314.76</v>
      </c>
      <c r="AE154">
        <f t="shared" si="17"/>
        <v>2.6004420898066488E-4</v>
      </c>
      <c r="AF154">
        <f t="shared" si="17"/>
        <v>1.1757858313737482E-2</v>
      </c>
      <c r="AR154">
        <v>80.2</v>
      </c>
      <c r="AS154">
        <f t="shared" si="18"/>
        <v>-5.0000104167057515E-3</v>
      </c>
    </row>
    <row r="155" spans="1:45" x14ac:dyDescent="0.2">
      <c r="A155" s="29">
        <v>36930</v>
      </c>
      <c r="B155">
        <v>21.312999999999999</v>
      </c>
      <c r="C155">
        <v>16.25</v>
      </c>
      <c r="D155">
        <v>25.5</v>
      </c>
      <c r="E155">
        <v>8.75</v>
      </c>
      <c r="F155">
        <v>37.74</v>
      </c>
      <c r="G155">
        <v>1332.53</v>
      </c>
      <c r="H155">
        <f t="shared" si="15"/>
        <v>-6.3584941625110566E-2</v>
      </c>
      <c r="I155">
        <f t="shared" si="15"/>
        <v>-3.5196819881701272E-2</v>
      </c>
      <c r="J155">
        <f t="shared" si="13"/>
        <v>-1.728579717190537E-2</v>
      </c>
      <c r="K155">
        <f t="shared" si="13"/>
        <v>-4.6792161506758939E-2</v>
      </c>
      <c r="M155">
        <f t="shared" si="14"/>
        <v>-1.3425251408581335E-2</v>
      </c>
      <c r="O155">
        <f t="shared" si="16"/>
        <v>-4.2000172854442075E-2</v>
      </c>
      <c r="AB155" s="29">
        <v>36930</v>
      </c>
      <c r="AC155">
        <v>37.74</v>
      </c>
      <c r="AD155">
        <v>1332.53</v>
      </c>
      <c r="AE155">
        <f t="shared" si="17"/>
        <v>1.8638156011248918E-2</v>
      </c>
      <c r="AF155">
        <f t="shared" si="17"/>
        <v>-1.3425251408581335E-2</v>
      </c>
      <c r="AR155">
        <v>80</v>
      </c>
      <c r="AS155">
        <f t="shared" si="18"/>
        <v>2.4968801985871458E-3</v>
      </c>
    </row>
    <row r="156" spans="1:45" x14ac:dyDescent="0.2">
      <c r="A156" s="29">
        <v>36929</v>
      </c>
      <c r="B156">
        <v>22.687999999999999</v>
      </c>
      <c r="C156">
        <v>15.875</v>
      </c>
      <c r="D156">
        <v>27.562999999999999</v>
      </c>
      <c r="E156">
        <v>9.24</v>
      </c>
      <c r="F156">
        <v>38</v>
      </c>
      <c r="G156">
        <v>1340.89</v>
      </c>
      <c r="H156">
        <f t="shared" si="15"/>
        <v>-6.2518935170615436E-2</v>
      </c>
      <c r="I156">
        <f t="shared" si="15"/>
        <v>2.3347363996991107E-2</v>
      </c>
      <c r="J156">
        <f t="shared" si="13"/>
        <v>-7.7795841467714857E-2</v>
      </c>
      <c r="K156">
        <f t="shared" si="13"/>
        <v>-5.4488185284069797E-2</v>
      </c>
      <c r="M156">
        <f t="shared" si="14"/>
        <v>-6.254181722252429E-3</v>
      </c>
      <c r="O156">
        <f t="shared" si="16"/>
        <v>-4.5901706866213719E-2</v>
      </c>
      <c r="AB156" s="29">
        <v>36929</v>
      </c>
      <c r="AC156">
        <v>38</v>
      </c>
      <c r="AD156">
        <v>1340.89</v>
      </c>
      <c r="AE156">
        <f t="shared" si="17"/>
        <v>-6.8656197859815887E-3</v>
      </c>
      <c r="AF156">
        <f t="shared" si="17"/>
        <v>-6.254181722252429E-3</v>
      </c>
      <c r="AR156">
        <v>80.349999999999994</v>
      </c>
      <c r="AS156">
        <f t="shared" si="18"/>
        <v>-4.3654575096399627E-3</v>
      </c>
    </row>
    <row r="157" spans="1:45" x14ac:dyDescent="0.2">
      <c r="A157" s="29">
        <v>36928</v>
      </c>
      <c r="B157">
        <v>23.75</v>
      </c>
      <c r="C157">
        <v>16</v>
      </c>
      <c r="D157">
        <v>31.125</v>
      </c>
      <c r="E157">
        <v>9.8800000000000008</v>
      </c>
      <c r="F157">
        <v>37.950000000000003</v>
      </c>
      <c r="G157">
        <v>1352.26</v>
      </c>
      <c r="H157">
        <f t="shared" si="15"/>
        <v>-4.5746380130933281E-2</v>
      </c>
      <c r="I157">
        <f t="shared" si="15"/>
        <v>-7.8431774610258926E-3</v>
      </c>
      <c r="J157">
        <f t="shared" si="13"/>
        <v>-0.12153706115277632</v>
      </c>
      <c r="K157">
        <f t="shared" si="13"/>
        <v>-6.697062610618372E-2</v>
      </c>
      <c r="M157">
        <f t="shared" si="14"/>
        <v>-8.4436942263544663E-3</v>
      </c>
      <c r="O157">
        <f t="shared" si="16"/>
        <v>-6.0047784687839119E-2</v>
      </c>
      <c r="AB157" s="29">
        <v>36928</v>
      </c>
      <c r="AC157">
        <v>37.950000000000003</v>
      </c>
      <c r="AD157">
        <v>1352.26</v>
      </c>
      <c r="AE157">
        <f t="shared" si="17"/>
        <v>1.3166558847466812E-3</v>
      </c>
      <c r="AF157">
        <f t="shared" si="17"/>
        <v>-8.4436942263544663E-3</v>
      </c>
      <c r="AR157">
        <v>80.150000000000006</v>
      </c>
      <c r="AS157">
        <f t="shared" si="18"/>
        <v>2.4922131279595436E-3</v>
      </c>
    </row>
    <row r="158" spans="1:45" x14ac:dyDescent="0.2">
      <c r="A158" s="29">
        <v>36927</v>
      </c>
      <c r="B158">
        <v>20.5</v>
      </c>
      <c r="C158">
        <v>16.5</v>
      </c>
      <c r="D158">
        <v>31.625</v>
      </c>
      <c r="E158">
        <v>10.25</v>
      </c>
      <c r="F158">
        <v>36.86</v>
      </c>
      <c r="G158">
        <v>1354.31</v>
      </c>
      <c r="H158">
        <f t="shared" si="15"/>
        <v>0.14715764433628764</v>
      </c>
      <c r="I158">
        <f t="shared" si="15"/>
        <v>-3.077165866675366E-2</v>
      </c>
      <c r="J158">
        <f t="shared" si="13"/>
        <v>-1.5936592262812639E-2</v>
      </c>
      <c r="K158">
        <f t="shared" si="13"/>
        <v>-3.6765193824640656E-2</v>
      </c>
      <c r="M158">
        <f t="shared" si="14"/>
        <v>-1.5148327159572937E-3</v>
      </c>
      <c r="O158">
        <f t="shared" si="16"/>
        <v>5.1696968415174245E-2</v>
      </c>
      <c r="AB158" s="29">
        <v>36927</v>
      </c>
      <c r="AC158">
        <v>36.86</v>
      </c>
      <c r="AD158">
        <v>1354.31</v>
      </c>
      <c r="AE158">
        <f t="shared" si="17"/>
        <v>2.9142551599961722E-2</v>
      </c>
      <c r="AF158">
        <f t="shared" si="17"/>
        <v>-1.5148327159572937E-3</v>
      </c>
      <c r="AR158">
        <v>81.81</v>
      </c>
      <c r="AS158">
        <f t="shared" si="18"/>
        <v>-2.0499606470044871E-2</v>
      </c>
    </row>
    <row r="159" spans="1:45" x14ac:dyDescent="0.2">
      <c r="A159" s="29">
        <v>36924</v>
      </c>
      <c r="B159">
        <v>20.562999999999999</v>
      </c>
      <c r="C159">
        <v>16.625</v>
      </c>
      <c r="D159">
        <v>34.5</v>
      </c>
      <c r="E159">
        <v>10.1</v>
      </c>
      <c r="F159">
        <v>38.74</v>
      </c>
      <c r="G159">
        <v>1349.47</v>
      </c>
      <c r="H159">
        <f t="shared" si="15"/>
        <v>-3.0684581950187802E-3</v>
      </c>
      <c r="I159">
        <f t="shared" si="15"/>
        <v>-7.5472056353829663E-3</v>
      </c>
      <c r="J159">
        <f t="shared" si="13"/>
        <v>-8.701137698962981E-2</v>
      </c>
      <c r="K159">
        <f t="shared" si="13"/>
        <v>1.4742281737203431E-2</v>
      </c>
      <c r="M159">
        <f t="shared" si="14"/>
        <v>3.5801767671857195E-3</v>
      </c>
      <c r="O159">
        <f t="shared" si="16"/>
        <v>-3.0489245244050854E-2</v>
      </c>
      <c r="AB159" s="29">
        <v>36924</v>
      </c>
      <c r="AC159">
        <v>38.74</v>
      </c>
      <c r="AD159">
        <v>1349.47</v>
      </c>
      <c r="AE159">
        <f t="shared" si="17"/>
        <v>-4.9745705737172609E-2</v>
      </c>
      <c r="AF159">
        <f t="shared" si="17"/>
        <v>3.5801767671857195E-3</v>
      </c>
      <c r="AR159">
        <v>79.98</v>
      </c>
      <c r="AS159">
        <f t="shared" si="18"/>
        <v>2.2622882106934483E-2</v>
      </c>
    </row>
    <row r="160" spans="1:45" x14ac:dyDescent="0.2">
      <c r="A160" s="29">
        <v>36923</v>
      </c>
      <c r="B160">
        <v>22</v>
      </c>
      <c r="C160">
        <v>16.25</v>
      </c>
      <c r="D160">
        <v>35.813000000000002</v>
      </c>
      <c r="E160">
        <v>10.91</v>
      </c>
      <c r="F160">
        <v>38.25</v>
      </c>
      <c r="G160">
        <v>1373.47</v>
      </c>
      <c r="H160">
        <f t="shared" si="15"/>
        <v>-6.7549109018934517E-2</v>
      </c>
      <c r="I160">
        <f t="shared" si="15"/>
        <v>2.2814677766171264E-2</v>
      </c>
      <c r="J160">
        <f t="shared" si="13"/>
        <v>-3.735163194576667E-2</v>
      </c>
      <c r="K160">
        <f t="shared" si="13"/>
        <v>-7.7144375997765677E-2</v>
      </c>
      <c r="M160">
        <f t="shared" si="14"/>
        <v>-1.7628461532088753E-2</v>
      </c>
      <c r="O160">
        <f t="shared" si="16"/>
        <v>-3.5560917994904073E-2</v>
      </c>
      <c r="AB160" s="29">
        <v>36923</v>
      </c>
      <c r="AC160">
        <v>38.25</v>
      </c>
      <c r="AD160">
        <v>1373.47</v>
      </c>
      <c r="AE160">
        <f t="shared" si="17"/>
        <v>1.2729097706305016E-2</v>
      </c>
      <c r="AF160">
        <f t="shared" si="17"/>
        <v>-1.7628461532088753E-2</v>
      </c>
      <c r="AR160">
        <v>78.790000000000006</v>
      </c>
      <c r="AS160">
        <f t="shared" si="18"/>
        <v>1.4990518161075536E-2</v>
      </c>
    </row>
    <row r="161" spans="1:45" x14ac:dyDescent="0.2">
      <c r="A161" s="29">
        <v>36922</v>
      </c>
      <c r="B161">
        <v>23.75</v>
      </c>
      <c r="C161">
        <v>16.625</v>
      </c>
      <c r="D161">
        <v>35.5</v>
      </c>
      <c r="E161">
        <v>10.6</v>
      </c>
      <c r="F161">
        <v>38.369999999999997</v>
      </c>
      <c r="G161">
        <v>1366.01</v>
      </c>
      <c r="H161">
        <f t="shared" si="15"/>
        <v>-7.6540077122334377E-2</v>
      </c>
      <c r="I161">
        <f t="shared" si="15"/>
        <v>-2.2814677766171399E-2</v>
      </c>
      <c r="J161">
        <f t="shared" si="13"/>
        <v>8.7782595017105499E-3</v>
      </c>
      <c r="K161">
        <f t="shared" si="13"/>
        <v>2.8825798726957931E-2</v>
      </c>
      <c r="M161">
        <f t="shared" si="14"/>
        <v>5.4463025391673792E-3</v>
      </c>
      <c r="O161">
        <f t="shared" si="16"/>
        <v>-3.6412286461643184E-2</v>
      </c>
      <c r="AB161" s="29">
        <v>36922</v>
      </c>
      <c r="AC161">
        <v>38.369999999999997</v>
      </c>
      <c r="AD161">
        <v>1366.01</v>
      </c>
      <c r="AE161">
        <f t="shared" si="17"/>
        <v>-3.1323439863161057E-3</v>
      </c>
      <c r="AF161">
        <f t="shared" si="17"/>
        <v>5.4463025391673792E-3</v>
      </c>
      <c r="AR161">
        <v>80</v>
      </c>
      <c r="AS161">
        <f t="shared" si="18"/>
        <v>-1.524054941628483E-2</v>
      </c>
    </row>
    <row r="162" spans="1:45" x14ac:dyDescent="0.2">
      <c r="A162" s="29">
        <v>36921</v>
      </c>
      <c r="B162">
        <v>25</v>
      </c>
      <c r="C162">
        <v>16</v>
      </c>
      <c r="D162">
        <v>32.25</v>
      </c>
      <c r="E162">
        <v>9.8000000000000007</v>
      </c>
      <c r="F162">
        <v>37.69</v>
      </c>
      <c r="G162">
        <v>1373.73</v>
      </c>
      <c r="H162">
        <f t="shared" si="15"/>
        <v>-5.1293294387550578E-2</v>
      </c>
      <c r="I162">
        <f t="shared" si="15"/>
        <v>3.8318864302136602E-2</v>
      </c>
      <c r="J162">
        <f t="shared" si="13"/>
        <v>9.6014653239588577E-2</v>
      </c>
      <c r="K162">
        <f t="shared" si="13"/>
        <v>7.8471615441495099E-2</v>
      </c>
      <c r="M162">
        <f t="shared" si="14"/>
        <v>-5.6355861739781901E-3</v>
      </c>
      <c r="O162">
        <f t="shared" si="16"/>
        <v>1.7205257360870335E-2</v>
      </c>
      <c r="AB162" s="29">
        <v>36921</v>
      </c>
      <c r="AC162">
        <v>37.69</v>
      </c>
      <c r="AD162">
        <v>1373.73</v>
      </c>
      <c r="AE162">
        <f t="shared" si="17"/>
        <v>1.7881096979816862E-2</v>
      </c>
      <c r="AF162">
        <f t="shared" si="17"/>
        <v>-5.6355861739781901E-3</v>
      </c>
      <c r="AR162">
        <v>78.5</v>
      </c>
      <c r="AS162">
        <f t="shared" si="18"/>
        <v>1.8928009885518859E-2</v>
      </c>
    </row>
    <row r="163" spans="1:45" x14ac:dyDescent="0.2">
      <c r="A163" s="29">
        <v>36920</v>
      </c>
      <c r="B163">
        <v>22.875</v>
      </c>
      <c r="C163">
        <v>14.75</v>
      </c>
      <c r="D163">
        <v>32</v>
      </c>
      <c r="E163">
        <v>9.75</v>
      </c>
      <c r="F163">
        <v>37.49</v>
      </c>
      <c r="G163">
        <v>1364.17</v>
      </c>
      <c r="H163">
        <f t="shared" si="15"/>
        <v>8.8831213706615827E-2</v>
      </c>
      <c r="I163">
        <f t="shared" si="15"/>
        <v>8.1345639453952401E-2</v>
      </c>
      <c r="J163">
        <f t="shared" si="13"/>
        <v>7.782140442054949E-3</v>
      </c>
      <c r="K163">
        <f t="shared" si="13"/>
        <v>5.1151006667704089E-3</v>
      </c>
      <c r="M163">
        <f t="shared" si="14"/>
        <v>6.9834828537428117E-3</v>
      </c>
      <c r="O163">
        <f t="shared" si="16"/>
        <v>6.1567712336798239E-2</v>
      </c>
      <c r="AB163" s="29">
        <v>36920</v>
      </c>
      <c r="AC163">
        <v>37.49</v>
      </c>
      <c r="AD163">
        <v>1364.17</v>
      </c>
      <c r="AE163">
        <f t="shared" si="17"/>
        <v>5.3205765312233748E-3</v>
      </c>
      <c r="AF163">
        <f t="shared" si="17"/>
        <v>6.9834828537428117E-3</v>
      </c>
      <c r="AR163">
        <v>80.77</v>
      </c>
      <c r="AS163">
        <f t="shared" si="18"/>
        <v>-2.8506984665842169E-2</v>
      </c>
    </row>
    <row r="164" spans="1:45" x14ac:dyDescent="0.2">
      <c r="A164" s="29">
        <v>36917</v>
      </c>
      <c r="B164">
        <v>23</v>
      </c>
      <c r="C164">
        <v>14.313000000000001</v>
      </c>
      <c r="D164">
        <v>31.25</v>
      </c>
      <c r="E164">
        <v>9.6880000000000006</v>
      </c>
      <c r="F164">
        <v>37.188000000000002</v>
      </c>
      <c r="G164">
        <v>1354.95</v>
      </c>
      <c r="H164">
        <f t="shared" si="15"/>
        <v>-5.449604767564703E-3</v>
      </c>
      <c r="I164">
        <f t="shared" si="15"/>
        <v>3.0074867583749231E-2</v>
      </c>
      <c r="J164">
        <f t="shared" si="13"/>
        <v>2.3716526617316065E-2</v>
      </c>
      <c r="K164">
        <f t="shared" si="13"/>
        <v>6.3792787589645574E-3</v>
      </c>
      <c r="M164">
        <f t="shared" si="14"/>
        <v>6.7816318044293892E-3</v>
      </c>
      <c r="O164">
        <f t="shared" si="16"/>
        <v>1.2545285141013844E-2</v>
      </c>
      <c r="AB164" s="29">
        <v>36917</v>
      </c>
      <c r="AC164">
        <v>37.188000000000002</v>
      </c>
      <c r="AD164">
        <v>1354.95</v>
      </c>
      <c r="AE164">
        <f t="shared" si="17"/>
        <v>8.0881021542092129E-3</v>
      </c>
      <c r="AF164">
        <f t="shared" si="17"/>
        <v>6.7816318044293892E-3</v>
      </c>
      <c r="AR164">
        <v>82</v>
      </c>
      <c r="AS164">
        <f t="shared" si="18"/>
        <v>-1.5113637810048184E-2</v>
      </c>
    </row>
    <row r="165" spans="1:45" x14ac:dyDescent="0.2">
      <c r="A165" s="29">
        <v>36916</v>
      </c>
      <c r="B165">
        <v>20</v>
      </c>
      <c r="C165">
        <v>14.125</v>
      </c>
      <c r="D165">
        <v>31.625</v>
      </c>
      <c r="E165">
        <v>10.063000000000001</v>
      </c>
      <c r="F165">
        <v>36.375</v>
      </c>
      <c r="G165">
        <v>1357.51</v>
      </c>
      <c r="H165">
        <f t="shared" si="15"/>
        <v>0.13976194237515863</v>
      </c>
      <c r="I165">
        <f t="shared" si="15"/>
        <v>1.322193816957511E-2</v>
      </c>
      <c r="J165">
        <f t="shared" si="13"/>
        <v>-1.1928570865273845E-2</v>
      </c>
      <c r="K165">
        <f t="shared" si="13"/>
        <v>-3.7977324700405067E-2</v>
      </c>
      <c r="M165">
        <f t="shared" si="14"/>
        <v>-1.8875859995004475E-3</v>
      </c>
      <c r="O165">
        <f t="shared" si="16"/>
        <v>6.0684848926520478E-2</v>
      </c>
      <c r="AB165" s="29">
        <v>36916</v>
      </c>
      <c r="AC165">
        <v>36.375</v>
      </c>
      <c r="AD165">
        <v>1357.51</v>
      </c>
      <c r="AE165">
        <f t="shared" si="17"/>
        <v>2.2104403101955026E-2</v>
      </c>
      <c r="AF165">
        <f t="shared" si="17"/>
        <v>-1.8875859995004475E-3</v>
      </c>
      <c r="AR165">
        <v>82</v>
      </c>
      <c r="AS165">
        <f t="shared" si="18"/>
        <v>0</v>
      </c>
    </row>
    <row r="166" spans="1:45" x14ac:dyDescent="0.2">
      <c r="A166" s="29">
        <v>36915</v>
      </c>
      <c r="B166">
        <v>24</v>
      </c>
      <c r="C166">
        <v>14.313000000000001</v>
      </c>
      <c r="D166">
        <v>33.438000000000002</v>
      </c>
      <c r="E166">
        <v>11</v>
      </c>
      <c r="F166">
        <v>35.75</v>
      </c>
      <c r="G166">
        <v>1364.3</v>
      </c>
      <c r="H166">
        <f t="shared" si="15"/>
        <v>-0.18232155679395459</v>
      </c>
      <c r="I166">
        <f t="shared" si="15"/>
        <v>-1.3221938169575039E-2</v>
      </c>
      <c r="J166">
        <f t="shared" si="13"/>
        <v>-5.5745030767770022E-2</v>
      </c>
      <c r="K166">
        <f t="shared" si="13"/>
        <v>-8.9029941847174332E-2</v>
      </c>
      <c r="M166">
        <f t="shared" si="14"/>
        <v>-4.9893373053657136E-3</v>
      </c>
      <c r="O166">
        <f t="shared" si="16"/>
        <v>-0.10050509383285827</v>
      </c>
      <c r="AB166" s="29">
        <v>36915</v>
      </c>
      <c r="AC166">
        <v>35.75</v>
      </c>
      <c r="AD166">
        <v>1364.3</v>
      </c>
      <c r="AE166">
        <f t="shared" si="17"/>
        <v>1.7331456351639941E-2</v>
      </c>
      <c r="AF166">
        <f t="shared" si="17"/>
        <v>-4.9893373053657136E-3</v>
      </c>
      <c r="AR166">
        <v>79.75</v>
      </c>
      <c r="AS166">
        <f t="shared" si="18"/>
        <v>2.7822505599299194E-2</v>
      </c>
    </row>
    <row r="167" spans="1:45" x14ac:dyDescent="0.2">
      <c r="A167" s="29">
        <v>36914</v>
      </c>
      <c r="B167">
        <v>25.5</v>
      </c>
      <c r="C167">
        <v>14.125</v>
      </c>
      <c r="D167">
        <v>37</v>
      </c>
      <c r="E167">
        <v>10.25</v>
      </c>
      <c r="F167">
        <v>35.625</v>
      </c>
      <c r="G167">
        <v>1360.4</v>
      </c>
      <c r="H167">
        <f t="shared" si="15"/>
        <v>-6.0624621816434854E-2</v>
      </c>
      <c r="I167">
        <f t="shared" si="15"/>
        <v>1.322193816957511E-2</v>
      </c>
      <c r="J167">
        <f t="shared" si="13"/>
        <v>-0.10122493482877011</v>
      </c>
      <c r="K167">
        <f t="shared" si="13"/>
        <v>7.0617567213953417E-2</v>
      </c>
      <c r="M167">
        <f t="shared" si="14"/>
        <v>2.8627024357880432E-3</v>
      </c>
      <c r="O167">
        <f t="shared" si="16"/>
        <v>-5.4938964452860742E-2</v>
      </c>
      <c r="AB167" s="29">
        <v>36914</v>
      </c>
      <c r="AC167">
        <v>35.625</v>
      </c>
      <c r="AD167">
        <v>1360.4</v>
      </c>
      <c r="AE167">
        <f t="shared" si="17"/>
        <v>3.5026305512020745E-3</v>
      </c>
      <c r="AF167">
        <f t="shared" si="17"/>
        <v>2.8627024357880432E-3</v>
      </c>
      <c r="AR167">
        <v>78.563000000000002</v>
      </c>
      <c r="AS167">
        <f t="shared" si="18"/>
        <v>1.4995890975153933E-2</v>
      </c>
    </row>
    <row r="168" spans="1:45" x14ac:dyDescent="0.2">
      <c r="A168" s="29">
        <v>36913</v>
      </c>
      <c r="B168">
        <v>27.312999999999999</v>
      </c>
      <c r="C168">
        <v>14.25</v>
      </c>
      <c r="D168">
        <v>28.875</v>
      </c>
      <c r="E168">
        <v>9.1880000000000006</v>
      </c>
      <c r="F168">
        <v>34.063000000000002</v>
      </c>
      <c r="G168">
        <v>1342.9</v>
      </c>
      <c r="H168">
        <f t="shared" si="15"/>
        <v>-6.8684327160019598E-2</v>
      </c>
      <c r="I168">
        <f t="shared" si="15"/>
        <v>-8.8106296821549197E-3</v>
      </c>
      <c r="J168">
        <f t="shared" si="13"/>
        <v>0.24794174380226677</v>
      </c>
      <c r="K168">
        <f t="shared" si="13"/>
        <v>0.10937942075756535</v>
      </c>
      <c r="M168">
        <f t="shared" si="14"/>
        <v>1.2947319545910756E-2</v>
      </c>
      <c r="O168">
        <f t="shared" si="16"/>
        <v>4.5458650802097961E-2</v>
      </c>
      <c r="AB168" s="29">
        <v>36913</v>
      </c>
      <c r="AC168">
        <v>34.063000000000002</v>
      </c>
      <c r="AD168">
        <v>1342.9</v>
      </c>
      <c r="AE168">
        <f t="shared" si="17"/>
        <v>4.4835887374003187E-2</v>
      </c>
      <c r="AF168">
        <f t="shared" si="17"/>
        <v>1.2947319545910756E-2</v>
      </c>
      <c r="AR168">
        <v>75.063000000000002</v>
      </c>
      <c r="AS168">
        <f t="shared" si="18"/>
        <v>4.5573089756046015E-2</v>
      </c>
    </row>
    <row r="169" spans="1:45" x14ac:dyDescent="0.2">
      <c r="A169" s="29">
        <v>36910</v>
      </c>
      <c r="B169">
        <v>29.062999999999999</v>
      </c>
      <c r="C169">
        <v>14.5</v>
      </c>
      <c r="D169">
        <v>31.187999999999999</v>
      </c>
      <c r="E169">
        <v>9.3130000000000006</v>
      </c>
      <c r="F169">
        <v>33.875</v>
      </c>
      <c r="G169">
        <v>1342.54</v>
      </c>
      <c r="H169">
        <f t="shared" si="15"/>
        <v>-6.2103108176257901E-2</v>
      </c>
      <c r="I169">
        <f t="shared" si="15"/>
        <v>-1.7391742711869222E-2</v>
      </c>
      <c r="J169">
        <f t="shared" si="13"/>
        <v>-7.7057236605395887E-2</v>
      </c>
      <c r="K169">
        <f t="shared" si="13"/>
        <v>-1.3512988712668929E-2</v>
      </c>
      <c r="M169">
        <f t="shared" si="14"/>
        <v>2.6811248969000001E-4</v>
      </c>
      <c r="O169">
        <f t="shared" si="16"/>
        <v>-5.5643666841423481E-2</v>
      </c>
      <c r="AB169" s="29">
        <v>36910</v>
      </c>
      <c r="AC169">
        <v>33.875</v>
      </c>
      <c r="AD169">
        <v>1342.54</v>
      </c>
      <c r="AE169">
        <f t="shared" si="17"/>
        <v>5.5344720149464984E-3</v>
      </c>
      <c r="AF169">
        <f t="shared" si="17"/>
        <v>2.6811248969000001E-4</v>
      </c>
      <c r="AR169">
        <v>70.875</v>
      </c>
      <c r="AS169">
        <f t="shared" si="18"/>
        <v>5.7409998885837907E-2</v>
      </c>
    </row>
    <row r="170" spans="1:45" x14ac:dyDescent="0.2">
      <c r="A170" s="29">
        <v>36909</v>
      </c>
      <c r="B170">
        <v>26.75</v>
      </c>
      <c r="C170">
        <v>14.375</v>
      </c>
      <c r="D170">
        <v>34.063000000000002</v>
      </c>
      <c r="E170">
        <v>8.5630000000000006</v>
      </c>
      <c r="F170">
        <v>33.813000000000002</v>
      </c>
      <c r="G170">
        <v>1347.97</v>
      </c>
      <c r="H170">
        <f t="shared" si="15"/>
        <v>8.2931414158642469E-2</v>
      </c>
      <c r="I170">
        <f t="shared" si="15"/>
        <v>8.6580627431145311E-3</v>
      </c>
      <c r="J170">
        <f t="shared" si="13"/>
        <v>-8.8178345767458033E-2</v>
      </c>
      <c r="K170">
        <f t="shared" si="13"/>
        <v>8.3960677495465819E-2</v>
      </c>
      <c r="M170">
        <f t="shared" si="14"/>
        <v>-4.0364149342839196E-3</v>
      </c>
      <c r="O170">
        <f t="shared" si="16"/>
        <v>1.0797924055227923E-2</v>
      </c>
      <c r="AB170" s="29">
        <v>36909</v>
      </c>
      <c r="AC170">
        <v>33.813000000000002</v>
      </c>
      <c r="AD170">
        <v>1347.97</v>
      </c>
      <c r="AE170">
        <f t="shared" si="17"/>
        <v>1.831935271813712E-3</v>
      </c>
      <c r="AF170">
        <f t="shared" si="17"/>
        <v>-4.0364149342839196E-3</v>
      </c>
      <c r="AR170">
        <v>72.063000000000002</v>
      </c>
      <c r="AS170">
        <f t="shared" si="18"/>
        <v>-1.662297437880008E-2</v>
      </c>
    </row>
    <row r="171" spans="1:45" x14ac:dyDescent="0.2">
      <c r="A171" s="29">
        <v>36908</v>
      </c>
      <c r="B171">
        <v>24</v>
      </c>
      <c r="C171">
        <v>14.375</v>
      </c>
      <c r="D171">
        <v>34.938000000000002</v>
      </c>
      <c r="E171">
        <v>8.25</v>
      </c>
      <c r="F171">
        <v>34.875</v>
      </c>
      <c r="G171">
        <v>1329.47</v>
      </c>
      <c r="H171">
        <f t="shared" si="15"/>
        <v>0.10848064299406987</v>
      </c>
      <c r="I171">
        <f t="shared" si="15"/>
        <v>0</v>
      </c>
      <c r="J171">
        <f t="shared" si="13"/>
        <v>-2.5363310868226494E-2</v>
      </c>
      <c r="K171">
        <f t="shared" si="13"/>
        <v>3.7237395697465377E-2</v>
      </c>
      <c r="M171">
        <f t="shared" si="14"/>
        <v>1.3819390477252412E-2</v>
      </c>
      <c r="O171">
        <f t="shared" si="16"/>
        <v>3.9497708609843002E-2</v>
      </c>
      <c r="AB171" s="29">
        <v>36908</v>
      </c>
      <c r="AC171">
        <v>34.875</v>
      </c>
      <c r="AD171">
        <v>1329.47</v>
      </c>
      <c r="AE171">
        <f t="shared" si="17"/>
        <v>-3.0924896213478398E-2</v>
      </c>
      <c r="AF171">
        <f t="shared" si="17"/>
        <v>1.3819390477252412E-2</v>
      </c>
      <c r="AR171">
        <v>71.125</v>
      </c>
      <c r="AS171">
        <f t="shared" si="18"/>
        <v>1.3101843980221288E-2</v>
      </c>
    </row>
    <row r="172" spans="1:45" x14ac:dyDescent="0.2">
      <c r="A172" s="29">
        <v>36907</v>
      </c>
      <c r="B172">
        <v>27.625</v>
      </c>
      <c r="C172">
        <v>13.938000000000001</v>
      </c>
      <c r="D172">
        <v>33.938000000000002</v>
      </c>
      <c r="E172">
        <v>7.8129999999999997</v>
      </c>
      <c r="F172">
        <v>35.938000000000002</v>
      </c>
      <c r="G172">
        <v>1326.65</v>
      </c>
      <c r="H172">
        <f t="shared" si="15"/>
        <v>-0.14066732948997124</v>
      </c>
      <c r="I172">
        <f t="shared" si="15"/>
        <v>3.0871663667086931E-2</v>
      </c>
      <c r="J172">
        <f t="shared" si="13"/>
        <v>2.9039731532403624E-2</v>
      </c>
      <c r="K172">
        <f t="shared" si="13"/>
        <v>5.442418733198242E-2</v>
      </c>
      <c r="M172">
        <f t="shared" si="14"/>
        <v>2.1233988370804768E-3</v>
      </c>
      <c r="O172">
        <f t="shared" si="16"/>
        <v>-4.4727409829037133E-2</v>
      </c>
      <c r="AB172" s="29">
        <v>36907</v>
      </c>
      <c r="AC172">
        <v>35.938000000000002</v>
      </c>
      <c r="AD172">
        <v>1326.65</v>
      </c>
      <c r="AE172">
        <f t="shared" si="17"/>
        <v>-3.0024991362732293E-2</v>
      </c>
      <c r="AF172">
        <f t="shared" si="17"/>
        <v>2.1233988370804768E-3</v>
      </c>
      <c r="AR172">
        <v>68.438000000000002</v>
      </c>
      <c r="AS172">
        <f t="shared" si="18"/>
        <v>3.8510666526290177E-2</v>
      </c>
    </row>
    <row r="173" spans="1:45" x14ac:dyDescent="0.2">
      <c r="A173" s="29">
        <v>36903</v>
      </c>
      <c r="B173">
        <v>23.625</v>
      </c>
      <c r="C173">
        <v>14.125</v>
      </c>
      <c r="D173">
        <v>37.125</v>
      </c>
      <c r="E173">
        <v>8.0630000000000006</v>
      </c>
      <c r="F173">
        <v>36.688000000000002</v>
      </c>
      <c r="G173">
        <v>1318.55</v>
      </c>
      <c r="H173">
        <f t="shared" si="15"/>
        <v>0.15641568645811044</v>
      </c>
      <c r="I173">
        <f t="shared" si="15"/>
        <v>-1.3327354016177486E-2</v>
      </c>
      <c r="J173">
        <f t="shared" si="13"/>
        <v>-8.9755266572229334E-2</v>
      </c>
      <c r="K173">
        <f t="shared" si="13"/>
        <v>-3.1496682688277829E-2</v>
      </c>
      <c r="M173">
        <f t="shared" si="14"/>
        <v>6.1243197621403131E-3</v>
      </c>
      <c r="O173">
        <f t="shared" si="16"/>
        <v>3.6962738154596206E-2</v>
      </c>
      <c r="AB173" s="29">
        <v>36903</v>
      </c>
      <c r="AC173">
        <v>36.688000000000002</v>
      </c>
      <c r="AD173">
        <v>1318.55</v>
      </c>
      <c r="AE173">
        <f t="shared" si="17"/>
        <v>-2.0654494611286649E-2</v>
      </c>
      <c r="AF173">
        <f t="shared" si="17"/>
        <v>6.1243197621403131E-3</v>
      </c>
      <c r="AR173">
        <v>70.438000000000002</v>
      </c>
      <c r="AS173">
        <f t="shared" si="18"/>
        <v>-2.8804664346166652E-2</v>
      </c>
    </row>
    <row r="174" spans="1:45" x14ac:dyDescent="0.2">
      <c r="A174" s="29">
        <v>36902</v>
      </c>
      <c r="B174">
        <v>22.75</v>
      </c>
      <c r="C174">
        <v>14.25</v>
      </c>
      <c r="D174">
        <v>35.563000000000002</v>
      </c>
      <c r="E174">
        <v>8.8130000000000006</v>
      </c>
      <c r="F174">
        <v>38.313000000000002</v>
      </c>
      <c r="G174">
        <v>1326.82</v>
      </c>
      <c r="H174">
        <f t="shared" si="15"/>
        <v>3.7740327982847113E-2</v>
      </c>
      <c r="I174">
        <f t="shared" si="15"/>
        <v>-8.8106296821549197E-3</v>
      </c>
      <c r="J174">
        <f t="shared" si="13"/>
        <v>4.2984825581197053E-2</v>
      </c>
      <c r="K174">
        <f t="shared" si="13"/>
        <v>-8.8942208414638471E-2</v>
      </c>
      <c r="M174">
        <f t="shared" si="14"/>
        <v>-6.2524538659609425E-3</v>
      </c>
      <c r="O174">
        <f t="shared" si="16"/>
        <v>2.7779711878219301E-2</v>
      </c>
      <c r="AB174" s="29">
        <v>36902</v>
      </c>
      <c r="AC174">
        <v>38.313000000000002</v>
      </c>
      <c r="AD174">
        <v>1326.82</v>
      </c>
      <c r="AE174">
        <f t="shared" si="17"/>
        <v>-4.3339538066686056E-2</v>
      </c>
      <c r="AF174">
        <f t="shared" si="17"/>
        <v>-6.2524538659609425E-3</v>
      </c>
      <c r="AR174">
        <v>69.438000000000002</v>
      </c>
      <c r="AS174">
        <f t="shared" si="18"/>
        <v>1.4298622172375805E-2</v>
      </c>
    </row>
    <row r="175" spans="1:45" x14ac:dyDescent="0.2">
      <c r="A175" s="29">
        <v>36901</v>
      </c>
      <c r="B175">
        <v>20.125</v>
      </c>
      <c r="C175">
        <v>14.75</v>
      </c>
      <c r="D175">
        <v>30.125</v>
      </c>
      <c r="E175">
        <v>8.6880000000000006</v>
      </c>
      <c r="F175">
        <v>38.375</v>
      </c>
      <c r="G175">
        <v>1313.27</v>
      </c>
      <c r="H175">
        <f t="shared" si="15"/>
        <v>0.12260232209233228</v>
      </c>
      <c r="I175">
        <f t="shared" si="15"/>
        <v>-3.4486176071169321E-2</v>
      </c>
      <c r="J175">
        <f t="shared" si="13"/>
        <v>0.1659503797308475</v>
      </c>
      <c r="K175">
        <f t="shared" si="13"/>
        <v>1.4285140925943794E-2</v>
      </c>
      <c r="M175">
        <f t="shared" si="14"/>
        <v>1.0264891710378438E-2</v>
      </c>
      <c r="O175">
        <f t="shared" si="16"/>
        <v>9.7027489688481489E-2</v>
      </c>
      <c r="AB175" s="29">
        <v>36901</v>
      </c>
      <c r="AC175">
        <v>38.375</v>
      </c>
      <c r="AD175">
        <v>1313.27</v>
      </c>
      <c r="AE175">
        <f t="shared" si="17"/>
        <v>-1.6169417251265352E-3</v>
      </c>
      <c r="AF175">
        <f t="shared" si="17"/>
        <v>1.0264891710378438E-2</v>
      </c>
      <c r="AR175">
        <v>68.938000000000002</v>
      </c>
      <c r="AS175">
        <f t="shared" si="18"/>
        <v>7.2267181600673578E-3</v>
      </c>
    </row>
    <row r="176" spans="1:45" x14ac:dyDescent="0.2">
      <c r="A176" s="29">
        <v>36900</v>
      </c>
      <c r="B176">
        <v>20.5</v>
      </c>
      <c r="C176">
        <v>15</v>
      </c>
      <c r="D176">
        <v>26.187999999999999</v>
      </c>
      <c r="E176">
        <v>8.875</v>
      </c>
      <c r="F176">
        <v>38</v>
      </c>
      <c r="G176">
        <v>1300.8</v>
      </c>
      <c r="H176">
        <f t="shared" si="15"/>
        <v>-1.8462062839735442E-2</v>
      </c>
      <c r="I176">
        <f t="shared" si="15"/>
        <v>-1.6807118316381289E-2</v>
      </c>
      <c r="J176">
        <f t="shared" si="13"/>
        <v>0.14005410123197412</v>
      </c>
      <c r="K176">
        <f t="shared" si="13"/>
        <v>-2.1295572169899787E-2</v>
      </c>
      <c r="M176">
        <f t="shared" si="14"/>
        <v>9.5407503172868311E-3</v>
      </c>
      <c r="O176">
        <f t="shared" si="16"/>
        <v>3.162308173245644E-2</v>
      </c>
      <c r="AB176" s="29">
        <v>36900</v>
      </c>
      <c r="AC176">
        <v>38</v>
      </c>
      <c r="AD176">
        <v>1300.8</v>
      </c>
      <c r="AE176">
        <f t="shared" si="17"/>
        <v>9.820046180975513E-3</v>
      </c>
      <c r="AF176">
        <f t="shared" si="17"/>
        <v>9.5407503172868311E-3</v>
      </c>
      <c r="AR176">
        <v>68.625</v>
      </c>
      <c r="AS176">
        <f t="shared" si="18"/>
        <v>4.550650104233573E-3</v>
      </c>
    </row>
    <row r="177" spans="1:45" x14ac:dyDescent="0.2">
      <c r="A177" s="29">
        <v>36899</v>
      </c>
      <c r="B177">
        <v>20.25</v>
      </c>
      <c r="C177">
        <v>15.375</v>
      </c>
      <c r="D177">
        <v>19.75</v>
      </c>
      <c r="E177">
        <v>8.6880000000000006</v>
      </c>
      <c r="F177">
        <v>38.188000000000002</v>
      </c>
      <c r="G177">
        <v>1295.8599999999999</v>
      </c>
      <c r="H177">
        <f t="shared" si="15"/>
        <v>1.2270092591814401E-2</v>
      </c>
      <c r="I177">
        <f t="shared" si="15"/>
        <v>-2.4692612590371522E-2</v>
      </c>
      <c r="J177">
        <f t="shared" si="13"/>
        <v>0.28214779923171407</v>
      </c>
      <c r="K177">
        <f t="shared" si="13"/>
        <v>2.1295572169899728E-2</v>
      </c>
      <c r="M177">
        <f t="shared" si="14"/>
        <v>3.804892407771464E-3</v>
      </c>
      <c r="O177">
        <f t="shared" si="16"/>
        <v>8.7625028355354656E-2</v>
      </c>
      <c r="AB177" s="29">
        <v>36899</v>
      </c>
      <c r="AC177">
        <v>38.188000000000002</v>
      </c>
      <c r="AD177">
        <v>1295.8599999999999</v>
      </c>
      <c r="AE177">
        <f t="shared" si="17"/>
        <v>-4.9351704094010582E-3</v>
      </c>
      <c r="AF177">
        <f t="shared" si="17"/>
        <v>3.804892407771464E-3</v>
      </c>
      <c r="AR177">
        <v>71.25</v>
      </c>
      <c r="AS177">
        <f t="shared" si="18"/>
        <v>-3.7537919319065208E-2</v>
      </c>
    </row>
    <row r="178" spans="1:45" x14ac:dyDescent="0.2">
      <c r="A178" s="29">
        <v>36896</v>
      </c>
      <c r="B178">
        <v>19.812999999999999</v>
      </c>
      <c r="C178">
        <v>16.062999999999999</v>
      </c>
      <c r="D178">
        <v>21.312999999999999</v>
      </c>
      <c r="E178">
        <v>9.75</v>
      </c>
      <c r="F178">
        <v>37.813000000000002</v>
      </c>
      <c r="G178">
        <v>1298.3499999999999</v>
      </c>
      <c r="H178">
        <f t="shared" si="15"/>
        <v>2.1816505640426351E-2</v>
      </c>
      <c r="I178">
        <f t="shared" si="15"/>
        <v>-4.3775676883047489E-2</v>
      </c>
      <c r="J178">
        <f t="shared" si="13"/>
        <v>-7.6163723831970676E-2</v>
      </c>
      <c r="K178">
        <f t="shared" si="13"/>
        <v>-0.11532452181817616</v>
      </c>
      <c r="M178">
        <f t="shared" si="14"/>
        <v>-1.9196601390459745E-3</v>
      </c>
      <c r="O178">
        <f t="shared" si="16"/>
        <v>-2.5237117196565455E-2</v>
      </c>
      <c r="AB178" s="29">
        <v>36896</v>
      </c>
      <c r="AC178">
        <v>37.813000000000002</v>
      </c>
      <c r="AD178">
        <v>1298.3499999999999</v>
      </c>
      <c r="AE178">
        <f t="shared" si="17"/>
        <v>9.8683712916555425E-3</v>
      </c>
      <c r="AF178">
        <f t="shared" si="17"/>
        <v>-1.9196601390459745E-3</v>
      </c>
      <c r="AR178">
        <v>71.375</v>
      </c>
      <c r="AS178">
        <f t="shared" si="18"/>
        <v>-1.7528488274143605E-3</v>
      </c>
    </row>
    <row r="179" spans="1:45" x14ac:dyDescent="0.2">
      <c r="A179" s="29">
        <v>36895</v>
      </c>
      <c r="B179">
        <v>19.937999999999999</v>
      </c>
      <c r="C179">
        <v>16.937999999999999</v>
      </c>
      <c r="D179">
        <v>24.937999999999999</v>
      </c>
      <c r="E179">
        <v>9.6880000000000006</v>
      </c>
      <c r="F179">
        <v>37.75</v>
      </c>
      <c r="G179">
        <v>1333.34</v>
      </c>
      <c r="H179">
        <f t="shared" si="15"/>
        <v>-6.2891706883903302E-3</v>
      </c>
      <c r="I179">
        <f t="shared" si="15"/>
        <v>-5.3041127923778228E-2</v>
      </c>
      <c r="J179">
        <f t="shared" si="13"/>
        <v>-0.15707552939529285</v>
      </c>
      <c r="K179">
        <f t="shared" si="13"/>
        <v>6.3792787589645574E-3</v>
      </c>
      <c r="M179">
        <f t="shared" si="14"/>
        <v>-2.659284489659736E-2</v>
      </c>
      <c r="O179">
        <f t="shared" si="16"/>
        <v>-6.5193702193599851E-2</v>
      </c>
      <c r="AB179" s="29">
        <v>36895</v>
      </c>
      <c r="AC179">
        <v>37.75</v>
      </c>
      <c r="AD179">
        <v>1333.34</v>
      </c>
      <c r="AE179">
        <f t="shared" si="17"/>
        <v>1.6674831490975312E-3</v>
      </c>
      <c r="AF179">
        <f t="shared" si="17"/>
        <v>-2.659284489659736E-2</v>
      </c>
      <c r="AR179">
        <v>72</v>
      </c>
      <c r="AS179">
        <f t="shared" si="18"/>
        <v>-8.7184510398810467E-3</v>
      </c>
    </row>
    <row r="180" spans="1:45" x14ac:dyDescent="0.2">
      <c r="A180" s="29">
        <v>36894</v>
      </c>
      <c r="B180">
        <v>20.562999999999999</v>
      </c>
      <c r="C180">
        <v>16.937999999999999</v>
      </c>
      <c r="D180">
        <v>26</v>
      </c>
      <c r="E180">
        <v>9.25</v>
      </c>
      <c r="F180">
        <v>39.75</v>
      </c>
      <c r="G180">
        <v>1347.56</v>
      </c>
      <c r="H180">
        <f t="shared" si="15"/>
        <v>-3.0865885738869087E-2</v>
      </c>
      <c r="I180">
        <f t="shared" si="15"/>
        <v>0</v>
      </c>
      <c r="J180">
        <f t="shared" si="13"/>
        <v>-4.1703793447087641E-2</v>
      </c>
      <c r="K180">
        <f t="shared" si="13"/>
        <v>4.6264454726457432E-2</v>
      </c>
      <c r="M180">
        <f t="shared" si="14"/>
        <v>-1.0608477272110929E-2</v>
      </c>
      <c r="O180">
        <f t="shared" si="16"/>
        <v>-2.6567930195875528E-2</v>
      </c>
      <c r="AB180" s="29">
        <v>36894</v>
      </c>
      <c r="AC180">
        <v>39.75</v>
      </c>
      <c r="AD180">
        <v>1347.56</v>
      </c>
      <c r="AE180">
        <f t="shared" si="17"/>
        <v>-5.1624365405307182E-2</v>
      </c>
      <c r="AF180">
        <f t="shared" si="17"/>
        <v>-1.0608477272110929E-2</v>
      </c>
      <c r="AR180">
        <v>75.063000000000002</v>
      </c>
      <c r="AS180">
        <f t="shared" si="18"/>
        <v>-4.1661641917698757E-2</v>
      </c>
    </row>
    <row r="181" spans="1:45" x14ac:dyDescent="0.2">
      <c r="A181" s="29">
        <v>36893</v>
      </c>
      <c r="B181">
        <v>20</v>
      </c>
      <c r="C181">
        <v>17.25</v>
      </c>
      <c r="D181">
        <v>23.25</v>
      </c>
      <c r="E181">
        <v>10</v>
      </c>
      <c r="F181">
        <v>41.75</v>
      </c>
      <c r="G181">
        <v>1283.27</v>
      </c>
      <c r="H181">
        <f t="shared" si="15"/>
        <v>2.7761070785390259E-2</v>
      </c>
      <c r="I181">
        <f t="shared" si="15"/>
        <v>-1.8252524977961555E-2</v>
      </c>
      <c r="J181">
        <f t="shared" si="13"/>
        <v>0.11179140598811663</v>
      </c>
      <c r="K181">
        <f t="shared" si="13"/>
        <v>-7.7961541469711806E-2</v>
      </c>
      <c r="M181">
        <f t="shared" si="14"/>
        <v>4.8884041946942638E-2</v>
      </c>
      <c r="O181">
        <f t="shared" si="16"/>
        <v>4.2622726989188946E-2</v>
      </c>
      <c r="AB181" s="29">
        <v>36893</v>
      </c>
      <c r="AC181">
        <v>41.75</v>
      </c>
      <c r="AD181">
        <v>1283.27</v>
      </c>
      <c r="AE181">
        <f t="shared" si="17"/>
        <v>-4.908961019652363E-2</v>
      </c>
      <c r="AF181">
        <f t="shared" si="17"/>
        <v>4.8884041946942638E-2</v>
      </c>
      <c r="AR181">
        <v>79.875</v>
      </c>
      <c r="AS181">
        <f t="shared" si="18"/>
        <v>-6.2135151763944844E-2</v>
      </c>
    </row>
    <row r="182" spans="1:45" x14ac:dyDescent="0.2">
      <c r="A182" s="29">
        <v>36889</v>
      </c>
      <c r="B182">
        <v>21.937999999999999</v>
      </c>
      <c r="C182">
        <v>17.25</v>
      </c>
      <c r="D182">
        <v>24.625</v>
      </c>
      <c r="E182">
        <v>9.8130000000000006</v>
      </c>
      <c r="F182">
        <v>44.563000000000002</v>
      </c>
      <c r="G182">
        <v>1320.28</v>
      </c>
      <c r="H182">
        <f t="shared" si="15"/>
        <v>-9.248801943515135E-2</v>
      </c>
      <c r="I182">
        <f t="shared" si="15"/>
        <v>0</v>
      </c>
      <c r="J182">
        <f t="shared" si="13"/>
        <v>-5.74570550247872E-2</v>
      </c>
      <c r="K182">
        <f t="shared" si="13"/>
        <v>1.8877055769689035E-2</v>
      </c>
      <c r="M182">
        <f t="shared" si="14"/>
        <v>-2.8432327551428264E-2</v>
      </c>
      <c r="O182">
        <f t="shared" si="16"/>
        <v>-5.8455687401019613E-2</v>
      </c>
      <c r="AB182" s="29">
        <v>36889</v>
      </c>
      <c r="AC182">
        <v>44.563000000000002</v>
      </c>
      <c r="AD182">
        <v>1320.28</v>
      </c>
      <c r="AE182">
        <f t="shared" si="17"/>
        <v>-6.5204467011057754E-2</v>
      </c>
      <c r="AF182">
        <f t="shared" si="17"/>
        <v>-2.8432327551428264E-2</v>
      </c>
      <c r="AR182">
        <v>83.125</v>
      </c>
      <c r="AS182">
        <f t="shared" si="18"/>
        <v>-3.9882586278319379E-2</v>
      </c>
    </row>
    <row r="183" spans="1:45" x14ac:dyDescent="0.2">
      <c r="A183" s="29">
        <v>36888</v>
      </c>
      <c r="B183">
        <v>24.5</v>
      </c>
      <c r="C183">
        <v>18</v>
      </c>
      <c r="D183">
        <v>27.5</v>
      </c>
      <c r="E183">
        <v>9.4380000000000006</v>
      </c>
      <c r="F183">
        <v>44.875</v>
      </c>
      <c r="G183">
        <v>1334.22</v>
      </c>
      <c r="H183">
        <f t="shared" si="15"/>
        <v>-0.110452824561539</v>
      </c>
      <c r="I183">
        <f t="shared" si="15"/>
        <v>-4.2559614418795889E-2</v>
      </c>
      <c r="J183">
        <f t="shared" si="13"/>
        <v>-0.11042381761437298</v>
      </c>
      <c r="K183">
        <f t="shared" si="13"/>
        <v>3.896394392016074E-2</v>
      </c>
      <c r="M183">
        <f t="shared" si="14"/>
        <v>-1.0503016121381319E-2</v>
      </c>
      <c r="O183">
        <f t="shared" si="16"/>
        <v>-9.3519594765720471E-2</v>
      </c>
      <c r="AB183" s="29">
        <v>36888</v>
      </c>
      <c r="AC183">
        <v>44.875</v>
      </c>
      <c r="AD183">
        <v>1334.22</v>
      </c>
      <c r="AE183">
        <f t="shared" si="17"/>
        <v>-6.9769285005206964E-3</v>
      </c>
      <c r="AF183">
        <f t="shared" si="17"/>
        <v>-1.0503016121381319E-2</v>
      </c>
      <c r="AR183">
        <v>84.625</v>
      </c>
      <c r="AS183">
        <f t="shared" si="18"/>
        <v>-1.7884232256420874E-2</v>
      </c>
    </row>
    <row r="184" spans="1:45" x14ac:dyDescent="0.2">
      <c r="A184" s="29">
        <v>36887</v>
      </c>
      <c r="B184">
        <v>20.875</v>
      </c>
      <c r="C184">
        <v>17.25</v>
      </c>
      <c r="D184">
        <v>25.25</v>
      </c>
      <c r="E184">
        <v>9</v>
      </c>
      <c r="F184">
        <v>45.125</v>
      </c>
      <c r="G184">
        <v>1328.92</v>
      </c>
      <c r="H184">
        <f t="shared" si="15"/>
        <v>0.16012084681376207</v>
      </c>
      <c r="I184">
        <f t="shared" si="15"/>
        <v>4.2559614418795903E-2</v>
      </c>
      <c r="J184">
        <f t="shared" si="13"/>
        <v>8.535984895115685E-2</v>
      </c>
      <c r="K184">
        <f t="shared" si="13"/>
        <v>4.7519515967976364E-2</v>
      </c>
      <c r="M184">
        <f t="shared" si="14"/>
        <v>3.9802691537967677E-3</v>
      </c>
      <c r="O184">
        <f t="shared" si="16"/>
        <v>0.10738856869862122</v>
      </c>
      <c r="AB184" s="29">
        <v>36887</v>
      </c>
      <c r="AC184">
        <v>45.125</v>
      </c>
      <c r="AD184">
        <v>1328.92</v>
      </c>
      <c r="AE184">
        <f t="shared" si="17"/>
        <v>-5.555569844601994E-3</v>
      </c>
      <c r="AF184">
        <f t="shared" si="17"/>
        <v>3.9802691537967677E-3</v>
      </c>
      <c r="AR184">
        <v>82.813000000000002</v>
      </c>
      <c r="AS184">
        <f t="shared" si="18"/>
        <v>2.164467733427573E-2</v>
      </c>
    </row>
    <row r="185" spans="1:45" x14ac:dyDescent="0.2">
      <c r="A185" s="29">
        <v>36886</v>
      </c>
      <c r="B185">
        <v>20.375</v>
      </c>
      <c r="C185">
        <v>16.25</v>
      </c>
      <c r="D185">
        <v>26.25</v>
      </c>
      <c r="E185">
        <v>7.3129999999999997</v>
      </c>
      <c r="F185">
        <v>41.625</v>
      </c>
      <c r="G185">
        <v>1315.19</v>
      </c>
      <c r="H185">
        <f t="shared" si="15"/>
        <v>2.4243611609992853E-2</v>
      </c>
      <c r="I185">
        <f t="shared" si="15"/>
        <v>5.9719234701622277E-2</v>
      </c>
      <c r="J185">
        <f t="shared" si="13"/>
        <v>-3.8839833316263894E-2</v>
      </c>
      <c r="K185">
        <f t="shared" si="13"/>
        <v>0.20757099104740537</v>
      </c>
      <c r="M185">
        <f t="shared" si="14"/>
        <v>1.0385440398915549E-2</v>
      </c>
      <c r="O185">
        <f t="shared" si="16"/>
        <v>1.3319008031032552E-2</v>
      </c>
      <c r="AB185" s="29">
        <v>36886</v>
      </c>
      <c r="AC185">
        <v>41.625</v>
      </c>
      <c r="AD185">
        <v>1315.19</v>
      </c>
      <c r="AE185">
        <f t="shared" si="17"/>
        <v>8.0735468352437181E-2</v>
      </c>
      <c r="AF185">
        <f t="shared" si="17"/>
        <v>1.0385440398915549E-2</v>
      </c>
      <c r="AR185">
        <v>83.5</v>
      </c>
      <c r="AS185">
        <f t="shared" si="18"/>
        <v>-8.2615779586464374E-3</v>
      </c>
    </row>
    <row r="186" spans="1:45" x14ac:dyDescent="0.2">
      <c r="A186" s="29">
        <v>36882</v>
      </c>
      <c r="B186">
        <v>17.437999999999999</v>
      </c>
      <c r="C186">
        <v>16.437999999999999</v>
      </c>
      <c r="D186">
        <v>24.937999999999999</v>
      </c>
      <c r="E186">
        <v>6.6879999999999997</v>
      </c>
      <c r="F186">
        <v>39.875</v>
      </c>
      <c r="G186">
        <v>1305.95</v>
      </c>
      <c r="H186">
        <f t="shared" si="15"/>
        <v>0.15565692612130322</v>
      </c>
      <c r="I186">
        <f t="shared" si="15"/>
        <v>-1.1502818950561655E-2</v>
      </c>
      <c r="J186">
        <f t="shared" si="13"/>
        <v>5.1273244463238339E-2</v>
      </c>
      <c r="K186">
        <f t="shared" si="13"/>
        <v>8.9338710506413635E-2</v>
      </c>
      <c r="M186">
        <f t="shared" si="14"/>
        <v>7.0503966023937586E-3</v>
      </c>
      <c r="O186">
        <f t="shared" si="16"/>
        <v>8.1278374000726059E-2</v>
      </c>
      <c r="AB186" s="29">
        <v>36882</v>
      </c>
      <c r="AC186">
        <v>39.875</v>
      </c>
      <c r="AD186">
        <v>1305.95</v>
      </c>
      <c r="AE186">
        <f t="shared" si="17"/>
        <v>4.295138719559926E-2</v>
      </c>
      <c r="AF186">
        <f t="shared" si="17"/>
        <v>7.0503966023937586E-3</v>
      </c>
      <c r="AR186">
        <v>81.188000000000002</v>
      </c>
      <c r="AS186">
        <f t="shared" si="18"/>
        <v>2.8079178861429573E-2</v>
      </c>
    </row>
    <row r="187" spans="1:45" x14ac:dyDescent="0.2">
      <c r="A187" s="29">
        <v>36881</v>
      </c>
      <c r="B187">
        <v>16.937999999999999</v>
      </c>
      <c r="C187">
        <v>16.5</v>
      </c>
      <c r="D187">
        <v>19.812999999999999</v>
      </c>
      <c r="E187">
        <v>6</v>
      </c>
      <c r="F187">
        <v>38.25</v>
      </c>
      <c r="G187">
        <v>1274.8599999999999</v>
      </c>
      <c r="H187">
        <f t="shared" si="15"/>
        <v>2.9092114506216033E-2</v>
      </c>
      <c r="I187">
        <f t="shared" si="15"/>
        <v>-3.7646531802267473E-3</v>
      </c>
      <c r="J187">
        <f t="shared" si="13"/>
        <v>0.23005445666227253</v>
      </c>
      <c r="K187">
        <f t="shared" si="13"/>
        <v>0.10855540655434552</v>
      </c>
      <c r="M187">
        <f t="shared" si="14"/>
        <v>2.4094376622223673E-2</v>
      </c>
      <c r="O187">
        <f t="shared" si="16"/>
        <v>8.3875250850876076E-2</v>
      </c>
      <c r="AB187" s="29">
        <v>36881</v>
      </c>
      <c r="AC187">
        <v>38.25</v>
      </c>
      <c r="AD187">
        <v>1274.8599999999999</v>
      </c>
      <c r="AE187">
        <f t="shared" si="17"/>
        <v>4.1606000832463866E-2</v>
      </c>
      <c r="AF187">
        <f t="shared" si="17"/>
        <v>2.4094376622223673E-2</v>
      </c>
      <c r="AR187">
        <v>79.313000000000002</v>
      </c>
      <c r="AS187">
        <f t="shared" si="18"/>
        <v>2.3365403364128019E-2</v>
      </c>
    </row>
    <row r="188" spans="1:45" x14ac:dyDescent="0.2">
      <c r="A188" s="29">
        <v>36880</v>
      </c>
      <c r="B188">
        <v>15.25</v>
      </c>
      <c r="C188">
        <v>14.938000000000001</v>
      </c>
      <c r="D188">
        <v>18.875</v>
      </c>
      <c r="E188">
        <v>6.9379999999999997</v>
      </c>
      <c r="F188">
        <v>37.875</v>
      </c>
      <c r="G188">
        <v>1264.74</v>
      </c>
      <c r="H188">
        <f t="shared" si="15"/>
        <v>0.10498011544598659</v>
      </c>
      <c r="I188">
        <f t="shared" si="15"/>
        <v>9.9452078971659863E-2</v>
      </c>
      <c r="J188">
        <f t="shared" si="13"/>
        <v>4.849999277703345E-2</v>
      </c>
      <c r="K188">
        <f t="shared" si="13"/>
        <v>-0.14525407931950288</v>
      </c>
      <c r="M188">
        <f t="shared" si="14"/>
        <v>7.9698012022075288E-3</v>
      </c>
      <c r="O188">
        <f t="shared" si="16"/>
        <v>8.5903504554403362E-2</v>
      </c>
      <c r="AB188" s="29">
        <v>36880</v>
      </c>
      <c r="AC188">
        <v>37.875</v>
      </c>
      <c r="AD188">
        <v>1264.74</v>
      </c>
      <c r="AE188">
        <f t="shared" si="17"/>
        <v>9.8522964430116395E-3</v>
      </c>
      <c r="AF188">
        <f t="shared" si="17"/>
        <v>7.9698012022075288E-3</v>
      </c>
      <c r="AR188">
        <v>79.75</v>
      </c>
      <c r="AS188">
        <f t="shared" si="18"/>
        <v>-5.4946920337017426E-3</v>
      </c>
    </row>
    <row r="189" spans="1:45" x14ac:dyDescent="0.2">
      <c r="A189" s="29">
        <v>36879</v>
      </c>
      <c r="B189">
        <v>17.625</v>
      </c>
      <c r="C189">
        <v>13.688000000000001</v>
      </c>
      <c r="D189">
        <v>22.812999999999999</v>
      </c>
      <c r="E189">
        <v>8.125</v>
      </c>
      <c r="F189">
        <v>38.563000000000002</v>
      </c>
      <c r="G189">
        <v>1305.5999999999999</v>
      </c>
      <c r="H189">
        <f t="shared" si="15"/>
        <v>-0.14473884564491168</v>
      </c>
      <c r="I189">
        <f t="shared" si="15"/>
        <v>8.7388765344982536E-2</v>
      </c>
      <c r="J189">
        <f t="shared" si="13"/>
        <v>-0.18949225377564932</v>
      </c>
      <c r="K189">
        <f t="shared" si="13"/>
        <v>-0.15793217966824327</v>
      </c>
      <c r="M189">
        <f t="shared" si="14"/>
        <v>-3.1796137769984203E-2</v>
      </c>
      <c r="O189">
        <f t="shared" si="16"/>
        <v>-0.10089895229611057</v>
      </c>
      <c r="AB189" s="29">
        <v>36879</v>
      </c>
      <c r="AC189">
        <v>38.563000000000002</v>
      </c>
      <c r="AD189">
        <v>1305.5999999999999</v>
      </c>
      <c r="AE189">
        <f t="shared" si="17"/>
        <v>-1.8002003716359606E-2</v>
      </c>
      <c r="AF189">
        <f t="shared" si="17"/>
        <v>-3.1796137769984203E-2</v>
      </c>
      <c r="AR189">
        <v>79.75</v>
      </c>
      <c r="AS189">
        <f t="shared" si="18"/>
        <v>0</v>
      </c>
    </row>
    <row r="190" spans="1:45" x14ac:dyDescent="0.2">
      <c r="A190" s="29">
        <v>36878</v>
      </c>
      <c r="B190">
        <v>18.5</v>
      </c>
      <c r="C190">
        <v>13.75</v>
      </c>
      <c r="D190">
        <v>27.937999999999999</v>
      </c>
      <c r="E190">
        <v>8.75</v>
      </c>
      <c r="F190">
        <v>36.563000000000002</v>
      </c>
      <c r="G190">
        <v>1322.74</v>
      </c>
      <c r="H190">
        <f t="shared" si="15"/>
        <v>-4.8452383385946741E-2</v>
      </c>
      <c r="I190">
        <f t="shared" si="15"/>
        <v>-4.5192875226879436E-3</v>
      </c>
      <c r="J190">
        <f t="shared" si="13"/>
        <v>-0.20265722039462136</v>
      </c>
      <c r="K190">
        <f t="shared" si="13"/>
        <v>-7.4107972153721849E-2</v>
      </c>
      <c r="M190">
        <f t="shared" si="14"/>
        <v>-1.3042637538261572E-2</v>
      </c>
      <c r="O190">
        <f t="shared" si="16"/>
        <v>-8.58225318034537E-2</v>
      </c>
      <c r="AB190" s="29">
        <v>36878</v>
      </c>
      <c r="AC190">
        <v>36.563000000000002</v>
      </c>
      <c r="AD190">
        <v>1322.74</v>
      </c>
      <c r="AE190">
        <f t="shared" si="17"/>
        <v>5.3256467433647176E-2</v>
      </c>
      <c r="AF190">
        <f t="shared" si="17"/>
        <v>-1.3042637538261572E-2</v>
      </c>
      <c r="AR190">
        <v>79.563000000000002</v>
      </c>
      <c r="AS190">
        <f t="shared" si="18"/>
        <v>2.3475809994396224E-3</v>
      </c>
    </row>
    <row r="191" spans="1:45" ht="13.5" customHeight="1" x14ac:dyDescent="0.2">
      <c r="A191" s="29">
        <v>36875</v>
      </c>
      <c r="B191">
        <v>19.875</v>
      </c>
      <c r="C191">
        <v>12.875</v>
      </c>
      <c r="D191">
        <v>31.25</v>
      </c>
      <c r="E191">
        <v>9.4380000000000006</v>
      </c>
      <c r="F191">
        <v>33.25</v>
      </c>
      <c r="G191">
        <v>1312.15</v>
      </c>
      <c r="H191">
        <f t="shared" si="15"/>
        <v>-7.1691928456116452E-2</v>
      </c>
      <c r="I191">
        <f t="shared" si="15"/>
        <v>6.5751377562780433E-2</v>
      </c>
      <c r="J191">
        <f t="shared" si="13"/>
        <v>-0.11203160687705144</v>
      </c>
      <c r="K191">
        <f t="shared" si="13"/>
        <v>-7.5690392934672765E-2</v>
      </c>
      <c r="M191">
        <f t="shared" si="14"/>
        <v>8.0383295108697461E-3</v>
      </c>
      <c r="O191">
        <f t="shared" si="16"/>
        <v>-5.0071463387075445E-2</v>
      </c>
      <c r="AB191" s="29">
        <v>36875</v>
      </c>
      <c r="AC191">
        <v>33.25</v>
      </c>
      <c r="AD191">
        <v>1312.15</v>
      </c>
      <c r="AE191">
        <f t="shared" si="17"/>
        <v>9.4982033010382605E-2</v>
      </c>
      <c r="AF191">
        <f t="shared" si="17"/>
        <v>8.0383295108697461E-3</v>
      </c>
      <c r="AR191">
        <v>77.563000000000002</v>
      </c>
      <c r="AS191">
        <f t="shared" si="18"/>
        <v>2.5458651307284256E-2</v>
      </c>
    </row>
    <row r="192" spans="1:45" x14ac:dyDescent="0.2">
      <c r="A192" s="29">
        <v>36874</v>
      </c>
      <c r="B192">
        <v>22.062999999999999</v>
      </c>
      <c r="C192">
        <v>13.125</v>
      </c>
      <c r="D192">
        <v>33.313000000000002</v>
      </c>
      <c r="E192">
        <v>9.6880000000000006</v>
      </c>
      <c r="F192">
        <v>33.875</v>
      </c>
      <c r="G192">
        <v>1340.93</v>
      </c>
      <c r="H192">
        <f t="shared" si="15"/>
        <v>-0.10443933678583889</v>
      </c>
      <c r="I192">
        <f t="shared" si="15"/>
        <v>-1.9231361927887644E-2</v>
      </c>
      <c r="J192">
        <f t="shared" si="13"/>
        <v>-6.3928335011876336E-2</v>
      </c>
      <c r="K192">
        <f t="shared" si="13"/>
        <v>-2.6143912946595394E-2</v>
      </c>
      <c r="M192">
        <f t="shared" si="14"/>
        <v>-2.1696389831127021E-2</v>
      </c>
      <c r="O192">
        <f>($N$15*H192+$O$15*I192+$P$15*J192)/(1-$O$15)</f>
        <v>-9.3915353497672049E-2</v>
      </c>
      <c r="AB192" s="29">
        <v>36874</v>
      </c>
      <c r="AC192">
        <v>33.875</v>
      </c>
      <c r="AD192">
        <v>1340.93</v>
      </c>
      <c r="AE192">
        <f t="shared" si="17"/>
        <v>-1.8622512098001798E-2</v>
      </c>
      <c r="AF192">
        <f t="shared" si="17"/>
        <v>-2.1696389831127021E-2</v>
      </c>
      <c r="AR192">
        <v>76.5</v>
      </c>
      <c r="AS192">
        <f t="shared" si="18"/>
        <v>1.3799768525740027E-2</v>
      </c>
    </row>
    <row r="193" spans="1:45" x14ac:dyDescent="0.2">
      <c r="A193" s="29">
        <v>36873</v>
      </c>
      <c r="B193">
        <v>22.625</v>
      </c>
      <c r="D193">
        <v>37.688000000000002</v>
      </c>
      <c r="E193">
        <v>9.625</v>
      </c>
      <c r="F193">
        <v>35.063000000000002</v>
      </c>
      <c r="G193">
        <v>1359.99</v>
      </c>
      <c r="H193">
        <f t="shared" si="15"/>
        <v>-2.5153492259755335E-2</v>
      </c>
      <c r="J193">
        <f t="shared" si="13"/>
        <v>-0.12339403020345331</v>
      </c>
      <c r="K193">
        <f t="shared" si="13"/>
        <v>6.5241260769432936E-3</v>
      </c>
      <c r="M193">
        <f t="shared" si="14"/>
        <v>-1.4113943693526846E-2</v>
      </c>
      <c r="O193">
        <f t="shared" ref="O193:O256" si="19">($N$15*H193+$O$15*I193+$P$15*J193)/(1-$O$15)</f>
        <v>-6.6160092496201264E-2</v>
      </c>
      <c r="AB193" s="29">
        <v>36873</v>
      </c>
      <c r="AC193">
        <v>35.063000000000002</v>
      </c>
      <c r="AD193">
        <v>1359.99</v>
      </c>
      <c r="AE193">
        <f t="shared" si="17"/>
        <v>-3.4469164230928162E-2</v>
      </c>
      <c r="AF193">
        <f t="shared" si="17"/>
        <v>-1.4113943693526846E-2</v>
      </c>
      <c r="AR193">
        <v>74.5</v>
      </c>
      <c r="AS193">
        <f t="shared" si="18"/>
        <v>2.6491615446976285E-2</v>
      </c>
    </row>
    <row r="194" spans="1:45" x14ac:dyDescent="0.2">
      <c r="A194" s="29">
        <v>36872</v>
      </c>
      <c r="B194">
        <v>23.125</v>
      </c>
      <c r="D194">
        <v>40.25</v>
      </c>
      <c r="E194">
        <v>8.625</v>
      </c>
      <c r="F194">
        <v>34.938000000000002</v>
      </c>
      <c r="G194">
        <v>1371.18</v>
      </c>
      <c r="H194">
        <f t="shared" si="15"/>
        <v>-2.1858793812499073E-2</v>
      </c>
      <c r="J194">
        <f t="shared" si="13"/>
        <v>-6.5768262466832358E-2</v>
      </c>
      <c r="K194">
        <f t="shared" si="13"/>
        <v>0.10969891725642453</v>
      </c>
      <c r="M194">
        <f t="shared" si="14"/>
        <v>-8.1943362109598225E-3</v>
      </c>
      <c r="O194">
        <f t="shared" si="19"/>
        <v>-4.0187052852926113E-2</v>
      </c>
      <c r="AB194" s="29">
        <v>36872</v>
      </c>
      <c r="AC194">
        <v>34.938000000000002</v>
      </c>
      <c r="AD194">
        <v>1371.18</v>
      </c>
      <c r="AE194">
        <f t="shared" si="17"/>
        <v>3.5713813477552228E-3</v>
      </c>
      <c r="AF194">
        <f t="shared" si="17"/>
        <v>-8.1943362109598225E-3</v>
      </c>
      <c r="AR194">
        <v>77.188000000000002</v>
      </c>
      <c r="AS194">
        <f t="shared" si="18"/>
        <v>-3.5444879148595641E-2</v>
      </c>
    </row>
    <row r="195" spans="1:45" x14ac:dyDescent="0.2">
      <c r="A195" s="29">
        <v>36871</v>
      </c>
      <c r="B195">
        <v>25.875</v>
      </c>
      <c r="D195">
        <v>42.375</v>
      </c>
      <c r="E195">
        <v>8.0630000000000006</v>
      </c>
      <c r="F195">
        <v>35.688000000000002</v>
      </c>
      <c r="G195">
        <v>1380.2</v>
      </c>
      <c r="H195">
        <f t="shared" si="15"/>
        <v>-0.11236296818704429</v>
      </c>
      <c r="J195">
        <f t="shared" si="13"/>
        <v>-5.1448561836041996E-2</v>
      </c>
      <c r="K195">
        <f t="shared" si="13"/>
        <v>6.7379267214538366E-2</v>
      </c>
      <c r="M195">
        <f t="shared" si="14"/>
        <v>-6.5567332136534174E-3</v>
      </c>
      <c r="O195">
        <f t="shared" si="19"/>
        <v>-8.6936675109256747E-2</v>
      </c>
      <c r="AB195" s="29">
        <v>36871</v>
      </c>
      <c r="AC195">
        <v>35.688000000000002</v>
      </c>
      <c r="AD195">
        <v>1380.2</v>
      </c>
      <c r="AE195">
        <f t="shared" si="17"/>
        <v>-2.123943574292575E-2</v>
      </c>
      <c r="AF195">
        <f t="shared" si="17"/>
        <v>-6.5567332136534174E-3</v>
      </c>
      <c r="AR195">
        <v>76.5</v>
      </c>
      <c r="AS195">
        <f t="shared" si="18"/>
        <v>8.9532637016192136E-3</v>
      </c>
    </row>
    <row r="196" spans="1:45" x14ac:dyDescent="0.2">
      <c r="A196" s="29">
        <v>36868</v>
      </c>
      <c r="B196">
        <v>23.437999999999999</v>
      </c>
      <c r="D196">
        <v>38.938000000000002</v>
      </c>
      <c r="E196">
        <v>6.5</v>
      </c>
      <c r="F196">
        <v>34.563000000000002</v>
      </c>
      <c r="G196">
        <v>1369.89</v>
      </c>
      <c r="H196">
        <f t="shared" si="15"/>
        <v>9.891861474912253E-2</v>
      </c>
      <c r="J196">
        <f t="shared" si="13"/>
        <v>8.4587928143895666E-2</v>
      </c>
      <c r="K196">
        <f t="shared" si="13"/>
        <v>0.2154835188012936</v>
      </c>
      <c r="M196">
        <f t="shared" si="14"/>
        <v>7.4979715587066521E-3</v>
      </c>
      <c r="O196">
        <f t="shared" si="19"/>
        <v>9.293684033059163E-2</v>
      </c>
      <c r="AB196" s="29">
        <v>36868</v>
      </c>
      <c r="AC196">
        <v>34.563000000000002</v>
      </c>
      <c r="AD196">
        <v>1369.89</v>
      </c>
      <c r="AE196">
        <f t="shared" si="17"/>
        <v>3.2030752101937447E-2</v>
      </c>
      <c r="AF196">
        <f t="shared" si="17"/>
        <v>7.4979715587066521E-3</v>
      </c>
      <c r="AR196">
        <v>73.063000000000002</v>
      </c>
      <c r="AS196">
        <f t="shared" si="18"/>
        <v>4.5968658167674023E-2</v>
      </c>
    </row>
    <row r="197" spans="1:45" x14ac:dyDescent="0.2">
      <c r="A197" s="29">
        <v>36867</v>
      </c>
      <c r="B197">
        <v>19.062999999999999</v>
      </c>
      <c r="D197">
        <v>34.563000000000002</v>
      </c>
      <c r="E197">
        <v>6.25</v>
      </c>
      <c r="F197">
        <v>33</v>
      </c>
      <c r="G197">
        <v>1343.55</v>
      </c>
      <c r="H197">
        <f t="shared" si="15"/>
        <v>0.206609353304571</v>
      </c>
      <c r="J197">
        <f t="shared" si="13"/>
        <v>0.11918689183269242</v>
      </c>
      <c r="K197">
        <f t="shared" si="13"/>
        <v>3.9220713153281329E-2</v>
      </c>
      <c r="M197">
        <f t="shared" si="14"/>
        <v>1.9415080038481004E-2</v>
      </c>
      <c r="O197">
        <f t="shared" si="19"/>
        <v>0.17011832827254261</v>
      </c>
      <c r="AB197" s="29">
        <v>36867</v>
      </c>
      <c r="AC197">
        <v>33</v>
      </c>
      <c r="AD197">
        <v>1343.55</v>
      </c>
      <c r="AE197">
        <f t="shared" si="17"/>
        <v>4.62761842575461E-2</v>
      </c>
      <c r="AF197">
        <f t="shared" si="17"/>
        <v>1.9415080038481004E-2</v>
      </c>
      <c r="AR197">
        <v>72.875</v>
      </c>
      <c r="AS197">
        <f t="shared" si="18"/>
        <v>2.5764379941597159E-3</v>
      </c>
    </row>
    <row r="198" spans="1:45" x14ac:dyDescent="0.2">
      <c r="A198" s="29">
        <v>36866</v>
      </c>
      <c r="B198">
        <v>22.625</v>
      </c>
      <c r="D198">
        <v>32.375</v>
      </c>
      <c r="E198">
        <v>6.9379999999999997</v>
      </c>
      <c r="F198">
        <v>32.813000000000002</v>
      </c>
      <c r="G198">
        <v>1351.46</v>
      </c>
      <c r="H198">
        <f t="shared" si="15"/>
        <v>-0.17130620605415031</v>
      </c>
      <c r="J198">
        <f t="shared" si="13"/>
        <v>6.5397225704324408E-2</v>
      </c>
      <c r="K198">
        <f t="shared" si="13"/>
        <v>-0.10443208479924782</v>
      </c>
      <c r="M198">
        <f t="shared" si="14"/>
        <v>-5.8701249448379709E-3</v>
      </c>
      <c r="O198">
        <f t="shared" si="19"/>
        <v>-7.2503784936735372E-2</v>
      </c>
      <c r="AB198" s="29">
        <v>36866</v>
      </c>
      <c r="AC198">
        <v>32.813000000000002</v>
      </c>
      <c r="AD198">
        <v>1351.46</v>
      </c>
      <c r="AE198">
        <f t="shared" si="17"/>
        <v>5.6827831354981546E-3</v>
      </c>
      <c r="AF198">
        <f t="shared" si="17"/>
        <v>-5.8701249448379709E-3</v>
      </c>
      <c r="AR198">
        <v>71.938000000000002</v>
      </c>
      <c r="AS198">
        <f t="shared" si="18"/>
        <v>1.294100773486416E-2</v>
      </c>
    </row>
    <row r="199" spans="1:45" x14ac:dyDescent="0.2">
      <c r="A199" s="29">
        <v>36865</v>
      </c>
      <c r="B199">
        <v>20</v>
      </c>
      <c r="D199">
        <v>31.75</v>
      </c>
      <c r="E199">
        <v>6.8129999999999997</v>
      </c>
      <c r="F199">
        <v>33.063000000000002</v>
      </c>
      <c r="G199">
        <v>1376.54</v>
      </c>
      <c r="H199">
        <f t="shared" si="15"/>
        <v>0.1233232160319989</v>
      </c>
      <c r="J199">
        <f t="shared" si="13"/>
        <v>1.9493794681001132E-2</v>
      </c>
      <c r="K199">
        <f t="shared" si="13"/>
        <v>1.8180996756026895E-2</v>
      </c>
      <c r="M199">
        <f t="shared" si="14"/>
        <v>-1.8387614834436079E-2</v>
      </c>
      <c r="O199">
        <f t="shared" si="19"/>
        <v>7.9983758988696002E-2</v>
      </c>
      <c r="AB199" s="29">
        <v>36865</v>
      </c>
      <c r="AC199">
        <v>33.063000000000002</v>
      </c>
      <c r="AD199">
        <v>1376.54</v>
      </c>
      <c r="AE199">
        <f t="shared" si="17"/>
        <v>-7.5900540465325926E-3</v>
      </c>
      <c r="AF199">
        <f t="shared" si="17"/>
        <v>-1.8387614834436079E-2</v>
      </c>
      <c r="AR199">
        <v>68.25</v>
      </c>
      <c r="AS199">
        <f t="shared" si="18"/>
        <v>5.2627202870723318E-2</v>
      </c>
    </row>
    <row r="200" spans="1:45" x14ac:dyDescent="0.2">
      <c r="A200" s="29">
        <v>36864</v>
      </c>
      <c r="B200">
        <v>17</v>
      </c>
      <c r="D200">
        <v>18</v>
      </c>
      <c r="E200">
        <v>6.1879999999999997</v>
      </c>
      <c r="F200">
        <v>32.5</v>
      </c>
      <c r="G200">
        <v>1324.97</v>
      </c>
      <c r="H200">
        <f t="shared" si="15"/>
        <v>0.16251892949777494</v>
      </c>
      <c r="J200">
        <f t="shared" si="13"/>
        <v>0.56752096744253588</v>
      </c>
      <c r="K200">
        <f t="shared" si="13"/>
        <v>9.62206190807115E-2</v>
      </c>
      <c r="M200">
        <f t="shared" si="14"/>
        <v>3.8183286714022199E-2</v>
      </c>
      <c r="O200">
        <f t="shared" si="19"/>
        <v>0.33157090144915702</v>
      </c>
      <c r="AB200" s="29">
        <v>36864</v>
      </c>
      <c r="AC200">
        <v>32.5</v>
      </c>
      <c r="AD200">
        <v>1324.97</v>
      </c>
      <c r="AE200">
        <f t="shared" si="17"/>
        <v>1.7174743041822853E-2</v>
      </c>
      <c r="AF200">
        <f t="shared" si="17"/>
        <v>3.8183286714022199E-2</v>
      </c>
      <c r="AR200">
        <v>65.938000000000002</v>
      </c>
      <c r="AS200">
        <f t="shared" si="18"/>
        <v>3.4462527485045136E-2</v>
      </c>
    </row>
    <row r="201" spans="1:45" x14ac:dyDescent="0.2">
      <c r="A201" s="29">
        <v>36861</v>
      </c>
      <c r="B201">
        <v>16.812999999999999</v>
      </c>
      <c r="D201">
        <v>21.75</v>
      </c>
      <c r="E201">
        <v>6.5</v>
      </c>
      <c r="F201">
        <v>32.063000000000002</v>
      </c>
      <c r="G201">
        <v>1315.23</v>
      </c>
      <c r="H201">
        <f t="shared" si="15"/>
        <v>1.1060947359424976E-2</v>
      </c>
      <c r="J201">
        <f t="shared" si="13"/>
        <v>-0.18924199963852842</v>
      </c>
      <c r="K201">
        <f t="shared" si="13"/>
        <v>-4.9190244190771781E-2</v>
      </c>
      <c r="M201">
        <f t="shared" si="14"/>
        <v>7.3782623938213002E-3</v>
      </c>
      <c r="O201">
        <f t="shared" si="19"/>
        <v>-7.2547541006491925E-2</v>
      </c>
      <c r="AB201" s="29">
        <v>36861</v>
      </c>
      <c r="AC201">
        <v>32.063000000000002</v>
      </c>
      <c r="AD201">
        <v>1315.23</v>
      </c>
      <c r="AE201">
        <f t="shared" si="17"/>
        <v>1.3537371984386766E-2</v>
      </c>
      <c r="AF201">
        <f t="shared" si="17"/>
        <v>7.3782623938213002E-3</v>
      </c>
      <c r="AR201">
        <v>65.5</v>
      </c>
      <c r="AS201">
        <f t="shared" si="18"/>
        <v>6.6647639388177282E-3</v>
      </c>
    </row>
    <row r="202" spans="1:45" x14ac:dyDescent="0.2">
      <c r="A202" s="29">
        <v>36860</v>
      </c>
      <c r="B202">
        <v>13.688000000000001</v>
      </c>
      <c r="D202">
        <v>21.125</v>
      </c>
      <c r="E202">
        <v>5.0629999999999997</v>
      </c>
      <c r="F202">
        <v>30.687999999999999</v>
      </c>
      <c r="G202">
        <v>1314.95</v>
      </c>
      <c r="H202">
        <f t="shared" si="15"/>
        <v>0.2056328601068986</v>
      </c>
      <c r="J202">
        <f t="shared" si="13"/>
        <v>2.9156584291455487E-2</v>
      </c>
      <c r="K202">
        <f t="shared" si="13"/>
        <v>0.24984298391381934</v>
      </c>
      <c r="M202">
        <f t="shared" si="14"/>
        <v>2.1291318545326105E-4</v>
      </c>
      <c r="O202">
        <f t="shared" si="19"/>
        <v>0.13196986675350289</v>
      </c>
      <c r="AB202" s="29">
        <v>36860</v>
      </c>
      <c r="AC202">
        <v>30.687999999999999</v>
      </c>
      <c r="AD202">
        <v>1314.95</v>
      </c>
      <c r="AE202">
        <f t="shared" si="17"/>
        <v>4.3831018650277401E-2</v>
      </c>
      <c r="AF202">
        <f t="shared" si="17"/>
        <v>2.1291318545326105E-4</v>
      </c>
      <c r="AR202">
        <v>64.75</v>
      </c>
      <c r="AS202">
        <f t="shared" si="18"/>
        <v>1.1516442061559081E-2</v>
      </c>
    </row>
    <row r="203" spans="1:45" x14ac:dyDescent="0.2">
      <c r="A203" s="29">
        <v>36859</v>
      </c>
      <c r="B203">
        <v>14.375</v>
      </c>
      <c r="D203">
        <v>19.75</v>
      </c>
      <c r="E203">
        <v>6.5</v>
      </c>
      <c r="F203">
        <v>31.937999999999999</v>
      </c>
      <c r="G203">
        <v>1341.93</v>
      </c>
      <c r="H203">
        <f t="shared" si="15"/>
        <v>-4.8971050093521776E-2</v>
      </c>
      <c r="J203">
        <f t="shared" si="13"/>
        <v>6.7303681896106596E-2</v>
      </c>
      <c r="K203">
        <f t="shared" si="13"/>
        <v>-0.24984298391381943</v>
      </c>
      <c r="M203">
        <f t="shared" si="14"/>
        <v>-2.0310234142105789E-2</v>
      </c>
      <c r="O203">
        <f t="shared" si="19"/>
        <v>-4.3679374578926801E-4</v>
      </c>
      <c r="AB203" s="29">
        <v>36859</v>
      </c>
      <c r="AC203">
        <v>31.937999999999999</v>
      </c>
      <c r="AD203">
        <v>1341.93</v>
      </c>
      <c r="AE203">
        <f t="shared" si="17"/>
        <v>-3.9924824717647606E-2</v>
      </c>
      <c r="AF203">
        <f t="shared" si="17"/>
        <v>-2.0310234142105789E-2</v>
      </c>
      <c r="AR203">
        <v>70.25</v>
      </c>
      <c r="AS203">
        <f t="shared" si="18"/>
        <v>-8.1526607634207979E-2</v>
      </c>
    </row>
    <row r="204" spans="1:45" x14ac:dyDescent="0.2">
      <c r="A204" s="29">
        <v>36858</v>
      </c>
      <c r="B204">
        <v>15.188000000000001</v>
      </c>
      <c r="D204">
        <v>17.062999999999999</v>
      </c>
      <c r="E204">
        <v>7</v>
      </c>
      <c r="F204">
        <v>32.188000000000002</v>
      </c>
      <c r="G204">
        <v>1336.09</v>
      </c>
      <c r="H204">
        <f t="shared" si="15"/>
        <v>-5.5015055686141852E-2</v>
      </c>
      <c r="J204">
        <f t="shared" si="13"/>
        <v>0.14624111480200308</v>
      </c>
      <c r="K204">
        <f t="shared" si="13"/>
        <v>-7.4107972153721849E-2</v>
      </c>
      <c r="M204">
        <f t="shared" si="14"/>
        <v>4.3614381202828206E-3</v>
      </c>
      <c r="O204">
        <f t="shared" si="19"/>
        <v>2.8991317864612641E-2</v>
      </c>
      <c r="AB204" s="29">
        <v>36858</v>
      </c>
      <c r="AC204">
        <v>32.188000000000002</v>
      </c>
      <c r="AD204">
        <v>1336.09</v>
      </c>
      <c r="AE204">
        <f t="shared" si="17"/>
        <v>-7.7971888652111614E-3</v>
      </c>
      <c r="AF204">
        <f t="shared" si="17"/>
        <v>4.3614381202828206E-3</v>
      </c>
      <c r="AR204">
        <v>78.438000000000002</v>
      </c>
      <c r="AS204">
        <f t="shared" si="18"/>
        <v>-0.11024819559392283</v>
      </c>
    </row>
    <row r="205" spans="1:45" x14ac:dyDescent="0.2">
      <c r="A205" s="29">
        <v>36857</v>
      </c>
      <c r="B205">
        <v>17.5</v>
      </c>
      <c r="D205">
        <v>19.812999999999999</v>
      </c>
      <c r="E205">
        <v>7.6879999999999997</v>
      </c>
      <c r="F205">
        <v>33.438000000000002</v>
      </c>
      <c r="G205">
        <v>1348.97</v>
      </c>
      <c r="H205">
        <f t="shared" si="15"/>
        <v>-0.14169523855991237</v>
      </c>
      <c r="J205">
        <f t="shared" si="13"/>
        <v>-0.14942591136699407</v>
      </c>
      <c r="K205">
        <f t="shared" si="13"/>
        <v>-9.3750522612677981E-2</v>
      </c>
      <c r="M205">
        <f t="shared" si="14"/>
        <v>-9.5939001680283922E-3</v>
      </c>
      <c r="O205">
        <f t="shared" si="19"/>
        <v>-0.14492210005715339</v>
      </c>
      <c r="AB205" s="29">
        <v>36857</v>
      </c>
      <c r="AC205">
        <v>33.438000000000002</v>
      </c>
      <c r="AD205">
        <v>1348.97</v>
      </c>
      <c r="AE205">
        <f t="shared" si="17"/>
        <v>-3.8099265531567887E-2</v>
      </c>
      <c r="AF205">
        <f t="shared" si="17"/>
        <v>-9.5939001680283922E-3</v>
      </c>
      <c r="AR205">
        <v>78.875</v>
      </c>
      <c r="AS205">
        <f t="shared" si="18"/>
        <v>-5.5558170535991592E-3</v>
      </c>
    </row>
    <row r="206" spans="1:45" x14ac:dyDescent="0.2">
      <c r="A206" s="29">
        <v>36854</v>
      </c>
      <c r="B206">
        <v>18.375</v>
      </c>
      <c r="D206">
        <v>23.125</v>
      </c>
      <c r="E206">
        <v>8.6880000000000006</v>
      </c>
      <c r="F206">
        <v>32.688000000000002</v>
      </c>
      <c r="G206">
        <v>1341.77</v>
      </c>
      <c r="H206">
        <f t="shared" si="15"/>
        <v>-4.8790164169432056E-2</v>
      </c>
      <c r="J206">
        <f t="shared" si="13"/>
        <v>-0.15457599548636708</v>
      </c>
      <c r="K206">
        <f t="shared" si="13"/>
        <v>-0.12228209152358836</v>
      </c>
      <c r="M206">
        <f t="shared" si="14"/>
        <v>5.3517004128307731E-3</v>
      </c>
      <c r="O206">
        <f t="shared" si="19"/>
        <v>-9.294624664100537E-2</v>
      </c>
      <c r="AB206" s="29">
        <v>36854</v>
      </c>
      <c r="AC206">
        <v>32.688000000000002</v>
      </c>
      <c r="AD206">
        <v>1341.77</v>
      </c>
      <c r="AE206">
        <f t="shared" si="17"/>
        <v>2.2684939740188047E-2</v>
      </c>
      <c r="AF206">
        <f t="shared" si="17"/>
        <v>5.3517004128307731E-3</v>
      </c>
      <c r="AR206">
        <v>77.75</v>
      </c>
      <c r="AS206">
        <f t="shared" si="18"/>
        <v>1.4365769802033681E-2</v>
      </c>
    </row>
    <row r="207" spans="1:45" x14ac:dyDescent="0.2">
      <c r="A207" s="29">
        <v>36852</v>
      </c>
      <c r="B207">
        <v>16.687999999999999</v>
      </c>
      <c r="D207">
        <v>21.75</v>
      </c>
      <c r="E207">
        <v>8.75</v>
      </c>
      <c r="F207">
        <v>31.875</v>
      </c>
      <c r="G207">
        <v>1322.36</v>
      </c>
      <c r="H207">
        <f t="shared" si="15"/>
        <v>9.6301146840483867E-2</v>
      </c>
      <c r="J207">
        <f t="shared" si="13"/>
        <v>6.1300525863795877E-2</v>
      </c>
      <c r="K207">
        <f t="shared" si="13"/>
        <v>-7.1109371779434017E-3</v>
      </c>
      <c r="M207">
        <f t="shared" si="14"/>
        <v>1.457161883685624E-2</v>
      </c>
      <c r="O207">
        <f t="shared" si="19"/>
        <v>8.1691531477414925E-2</v>
      </c>
      <c r="AB207" s="29">
        <v>36852</v>
      </c>
      <c r="AC207">
        <v>31.875</v>
      </c>
      <c r="AD207">
        <v>1322.36</v>
      </c>
      <c r="AE207">
        <f t="shared" si="17"/>
        <v>2.5186034596676114E-2</v>
      </c>
      <c r="AF207">
        <f t="shared" si="17"/>
        <v>1.457161883685624E-2</v>
      </c>
      <c r="AR207">
        <v>75.563000000000002</v>
      </c>
      <c r="AS207">
        <f t="shared" si="18"/>
        <v>2.8531805667349405E-2</v>
      </c>
    </row>
    <row r="208" spans="1:45" x14ac:dyDescent="0.2">
      <c r="A208" s="29">
        <v>36851</v>
      </c>
      <c r="B208">
        <v>18.625</v>
      </c>
      <c r="D208">
        <v>26.5</v>
      </c>
      <c r="E208">
        <v>8.9380000000000006</v>
      </c>
      <c r="F208">
        <v>32.938000000000002</v>
      </c>
      <c r="G208">
        <v>1347.35</v>
      </c>
      <c r="H208">
        <f t="shared" si="15"/>
        <v>-0.10981486600720669</v>
      </c>
      <c r="J208">
        <f t="shared" ref="J208:K271" si="20">LN(D207/D208)</f>
        <v>-0.19753097545748338</v>
      </c>
      <c r="K208">
        <f t="shared" si="20"/>
        <v>-2.1258150141736747E-2</v>
      </c>
      <c r="M208">
        <f t="shared" ref="M208:M271" si="21">LN(G207/G208)</f>
        <v>-1.8721681317296852E-2</v>
      </c>
      <c r="O208">
        <f t="shared" si="19"/>
        <v>-0.14642846269358936</v>
      </c>
      <c r="AB208" s="29">
        <v>36851</v>
      </c>
      <c r="AC208">
        <v>32.938000000000002</v>
      </c>
      <c r="AD208">
        <v>1347.35</v>
      </c>
      <c r="AE208">
        <f t="shared" si="17"/>
        <v>-3.2805002973426506E-2</v>
      </c>
      <c r="AF208">
        <f t="shared" si="17"/>
        <v>-1.8721681317296852E-2</v>
      </c>
      <c r="AR208">
        <v>80.375</v>
      </c>
      <c r="AS208">
        <f t="shared" si="18"/>
        <v>-6.173643716578945E-2</v>
      </c>
    </row>
    <row r="209" spans="1:45" x14ac:dyDescent="0.2">
      <c r="A209" s="29">
        <v>36850</v>
      </c>
      <c r="B209">
        <v>18</v>
      </c>
      <c r="D209">
        <v>24.25</v>
      </c>
      <c r="E209">
        <v>9.375</v>
      </c>
      <c r="F209">
        <v>32.375</v>
      </c>
      <c r="G209">
        <v>1342.62</v>
      </c>
      <c r="H209">
        <f t="shared" ref="H209:H272" si="22">LN(B208/B209)</f>
        <v>3.4133006369458617E-2</v>
      </c>
      <c r="J209">
        <f t="shared" si="20"/>
        <v>8.8728115608684224E-2</v>
      </c>
      <c r="K209">
        <f t="shared" si="20"/>
        <v>-4.7734721345214698E-2</v>
      </c>
      <c r="M209">
        <f t="shared" si="21"/>
        <v>3.516771469516E-3</v>
      </c>
      <c r="O209">
        <f t="shared" si="19"/>
        <v>5.6921560527428118E-2</v>
      </c>
      <c r="AB209" s="29">
        <v>36850</v>
      </c>
      <c r="AC209">
        <v>32.375</v>
      </c>
      <c r="AD209">
        <v>1342.62</v>
      </c>
      <c r="AE209">
        <f t="shared" ref="AE209:AF272" si="23">LN(AC208/AC209)</f>
        <v>1.7240486432314975E-2</v>
      </c>
      <c r="AF209">
        <f t="shared" si="23"/>
        <v>3.516771469516E-3</v>
      </c>
      <c r="AR209">
        <v>80.25</v>
      </c>
      <c r="AS209">
        <f t="shared" ref="AS209:AS272" si="24">LN(AR208/AR209)</f>
        <v>1.556420547658158E-3</v>
      </c>
    </row>
    <row r="210" spans="1:45" x14ac:dyDescent="0.2">
      <c r="A210" s="29">
        <v>36847</v>
      </c>
      <c r="B210">
        <v>18.687999999999999</v>
      </c>
      <c r="D210">
        <v>28.875</v>
      </c>
      <c r="E210">
        <v>11</v>
      </c>
      <c r="F210">
        <v>32.313000000000002</v>
      </c>
      <c r="G210">
        <v>1367.72</v>
      </c>
      <c r="H210">
        <f t="shared" si="22"/>
        <v>-3.7509848749651811E-2</v>
      </c>
      <c r="J210">
        <f t="shared" si="20"/>
        <v>-0.17455955145846544</v>
      </c>
      <c r="K210">
        <f t="shared" si="20"/>
        <v>-0.15984870094189602</v>
      </c>
      <c r="M210">
        <f t="shared" si="21"/>
        <v>-1.852219100721153E-2</v>
      </c>
      <c r="O210">
        <f t="shared" si="19"/>
        <v>-9.4715789282315527E-2</v>
      </c>
      <c r="AB210" s="29">
        <v>36847</v>
      </c>
      <c r="AC210">
        <v>32.313000000000002</v>
      </c>
      <c r="AD210">
        <v>1367.72</v>
      </c>
      <c r="AE210">
        <f t="shared" si="23"/>
        <v>1.9168939829588756E-3</v>
      </c>
      <c r="AF210">
        <f t="shared" si="23"/>
        <v>-1.852219100721153E-2</v>
      </c>
      <c r="AR210">
        <v>81.5</v>
      </c>
      <c r="AS210">
        <f t="shared" si="24"/>
        <v>-1.5456258236691802E-2</v>
      </c>
    </row>
    <row r="211" spans="1:45" x14ac:dyDescent="0.2">
      <c r="A211" s="29">
        <v>36846</v>
      </c>
      <c r="B211">
        <v>20.25</v>
      </c>
      <c r="D211">
        <f>(D210+D212)/2</f>
        <v>34.656500000000001</v>
      </c>
      <c r="E211">
        <v>11</v>
      </c>
      <c r="F211">
        <v>32.063000000000002</v>
      </c>
      <c r="G211">
        <v>1372.32</v>
      </c>
      <c r="H211">
        <f t="shared" si="22"/>
        <v>-8.0273186906731672E-2</v>
      </c>
      <c r="J211">
        <f t="shared" si="20"/>
        <v>-0.18250912938870578</v>
      </c>
      <c r="K211">
        <f t="shared" si="20"/>
        <v>0</v>
      </c>
      <c r="M211">
        <f t="shared" si="21"/>
        <v>-3.3576183716633439E-3</v>
      </c>
      <c r="O211">
        <f t="shared" si="19"/>
        <v>-0.12294750965481395</v>
      </c>
      <c r="AB211" s="29">
        <v>36846</v>
      </c>
      <c r="AC211">
        <v>32.063000000000002</v>
      </c>
      <c r="AD211">
        <v>1372.32</v>
      </c>
      <c r="AE211">
        <f t="shared" si="23"/>
        <v>7.7669086854377468E-3</v>
      </c>
      <c r="AF211">
        <f t="shared" si="23"/>
        <v>-3.3576183716633439E-3</v>
      </c>
      <c r="AR211">
        <v>81.25</v>
      </c>
      <c r="AS211">
        <f t="shared" si="24"/>
        <v>3.0721990369700588E-3</v>
      </c>
    </row>
    <row r="212" spans="1:45" x14ac:dyDescent="0.2">
      <c r="A212" s="29">
        <v>36845</v>
      </c>
      <c r="B212">
        <v>20.375</v>
      </c>
      <c r="D212">
        <v>40.438000000000002</v>
      </c>
      <c r="E212">
        <v>11.313000000000001</v>
      </c>
      <c r="F212">
        <v>32</v>
      </c>
      <c r="G212">
        <v>1389.81</v>
      </c>
      <c r="H212">
        <f t="shared" si="22"/>
        <v>-6.1538655743782235E-3</v>
      </c>
      <c r="J212">
        <f t="shared" si="20"/>
        <v>-0.15428463871444575</v>
      </c>
      <c r="K212">
        <f t="shared" si="20"/>
        <v>-2.8057234145959318E-2</v>
      </c>
      <c r="M212">
        <f t="shared" si="21"/>
        <v>-1.2664308892126103E-2</v>
      </c>
      <c r="O212">
        <f t="shared" si="19"/>
        <v>-6.7985157666362053E-2</v>
      </c>
      <c r="AB212" s="29">
        <v>36845</v>
      </c>
      <c r="AC212">
        <v>32</v>
      </c>
      <c r="AD212">
        <v>1389.81</v>
      </c>
      <c r="AE212">
        <f t="shared" si="23"/>
        <v>1.9668145515785505E-3</v>
      </c>
      <c r="AF212">
        <f t="shared" si="23"/>
        <v>-1.2664308892126103E-2</v>
      </c>
      <c r="AR212">
        <v>80.375</v>
      </c>
      <c r="AS212">
        <f t="shared" si="24"/>
        <v>1.0827638652063393E-2</v>
      </c>
    </row>
    <row r="213" spans="1:45" x14ac:dyDescent="0.2">
      <c r="A213" s="29">
        <v>36844</v>
      </c>
      <c r="B213">
        <v>22.875</v>
      </c>
      <c r="D213">
        <v>43</v>
      </c>
      <c r="E213">
        <v>11.438000000000001</v>
      </c>
      <c r="F213">
        <v>31.625</v>
      </c>
      <c r="G213">
        <v>1382.95</v>
      </c>
      <c r="H213">
        <f t="shared" si="22"/>
        <v>-0.11573595203465861</v>
      </c>
      <c r="J213">
        <f t="shared" si="20"/>
        <v>-6.1430178748453239E-2</v>
      </c>
      <c r="K213">
        <f t="shared" si="20"/>
        <v>-1.0988638548794727E-2</v>
      </c>
      <c r="M213">
        <f t="shared" si="21"/>
        <v>4.9481484129744492E-3</v>
      </c>
      <c r="O213">
        <f t="shared" si="19"/>
        <v>-9.3068169647771357E-2</v>
      </c>
      <c r="AB213" s="29">
        <v>36844</v>
      </c>
      <c r="AC213">
        <v>31.625</v>
      </c>
      <c r="AD213">
        <v>1382.95</v>
      </c>
      <c r="AE213">
        <f t="shared" si="23"/>
        <v>1.1787955752042173E-2</v>
      </c>
      <c r="AF213">
        <f t="shared" si="23"/>
        <v>4.9481484129744492E-3</v>
      </c>
      <c r="AR213">
        <v>79.563000000000002</v>
      </c>
      <c r="AS213">
        <f t="shared" si="24"/>
        <v>1.0154021892269147E-2</v>
      </c>
    </row>
    <row r="214" spans="1:45" x14ac:dyDescent="0.2">
      <c r="A214" s="29">
        <v>36843</v>
      </c>
      <c r="B214">
        <v>20</v>
      </c>
      <c r="D214">
        <v>39.688000000000002</v>
      </c>
      <c r="E214">
        <v>10.438000000000001</v>
      </c>
      <c r="F214">
        <v>30.875</v>
      </c>
      <c r="G214">
        <v>1351.26</v>
      </c>
      <c r="H214">
        <f t="shared" si="22"/>
        <v>0.13431233760759406</v>
      </c>
      <c r="J214">
        <f t="shared" si="20"/>
        <v>8.0151240694814621E-2</v>
      </c>
      <c r="K214">
        <f t="shared" si="20"/>
        <v>9.1488152271902906E-2</v>
      </c>
      <c r="M214">
        <f t="shared" si="21"/>
        <v>2.3181408240187305E-2</v>
      </c>
      <c r="O214">
        <f t="shared" si="19"/>
        <v>0.11170494461120603</v>
      </c>
      <c r="AB214" s="29">
        <v>36843</v>
      </c>
      <c r="AC214">
        <v>30.875</v>
      </c>
      <c r="AD214">
        <v>1351.26</v>
      </c>
      <c r="AE214">
        <f t="shared" si="23"/>
        <v>2.4001152099543045E-2</v>
      </c>
      <c r="AF214">
        <f t="shared" si="23"/>
        <v>2.3181408240187305E-2</v>
      </c>
      <c r="AR214">
        <v>79.438000000000002</v>
      </c>
      <c r="AS214">
        <f t="shared" si="24"/>
        <v>1.5723174791591908E-3</v>
      </c>
    </row>
    <row r="215" spans="1:45" x14ac:dyDescent="0.2">
      <c r="A215" s="29">
        <v>36840</v>
      </c>
      <c r="B215">
        <v>20.562999999999999</v>
      </c>
      <c r="D215">
        <v>41.25</v>
      </c>
      <c r="E215">
        <v>10.063000000000001</v>
      </c>
      <c r="F215">
        <v>32.5</v>
      </c>
      <c r="G215">
        <v>1365.98</v>
      </c>
      <c r="H215">
        <f t="shared" si="22"/>
        <v>-2.7761070785390252E-2</v>
      </c>
      <c r="J215">
        <f t="shared" si="20"/>
        <v>-3.8602237781942161E-2</v>
      </c>
      <c r="K215">
        <f t="shared" si="20"/>
        <v>3.6587662270025349E-2</v>
      </c>
      <c r="M215">
        <f t="shared" si="21"/>
        <v>-1.0834629254041595E-2</v>
      </c>
      <c r="O215">
        <f t="shared" si="19"/>
        <v>-3.2286284209801001E-2</v>
      </c>
      <c r="AB215" s="29">
        <v>36840</v>
      </c>
      <c r="AC215">
        <v>32.5</v>
      </c>
      <c r="AD215">
        <v>1365.98</v>
      </c>
      <c r="AE215">
        <f t="shared" si="23"/>
        <v>-5.1293294387550578E-2</v>
      </c>
      <c r="AF215">
        <f t="shared" si="23"/>
        <v>-1.0834629254041595E-2</v>
      </c>
      <c r="AR215">
        <v>82.938000000000002</v>
      </c>
      <c r="AS215">
        <f t="shared" si="24"/>
        <v>-4.3116497523920182E-2</v>
      </c>
    </row>
    <row r="216" spans="1:45" x14ac:dyDescent="0.2">
      <c r="A216" s="29">
        <v>36839</v>
      </c>
      <c r="B216">
        <v>23.375</v>
      </c>
      <c r="D216">
        <v>44.875</v>
      </c>
      <c r="E216">
        <v>9.4380000000000006</v>
      </c>
      <c r="F216">
        <v>32.688000000000002</v>
      </c>
      <c r="G216">
        <v>1400.14</v>
      </c>
      <c r="H216">
        <f t="shared" si="22"/>
        <v>-0.12817373083536937</v>
      </c>
      <c r="J216">
        <f t="shared" si="20"/>
        <v>-8.4229734027752953E-2</v>
      </c>
      <c r="K216">
        <f t="shared" si="20"/>
        <v>6.4121237647000479E-2</v>
      </c>
      <c r="M216">
        <f t="shared" si="21"/>
        <v>-2.4700111868566067E-2</v>
      </c>
      <c r="O216">
        <f t="shared" si="19"/>
        <v>-0.10983105939240241</v>
      </c>
      <c r="AB216" s="29">
        <v>36839</v>
      </c>
      <c r="AC216">
        <v>32.688000000000002</v>
      </c>
      <c r="AD216">
        <v>1400.14</v>
      </c>
      <c r="AE216">
        <f t="shared" si="23"/>
        <v>-5.767948739574506E-3</v>
      </c>
      <c r="AF216">
        <f t="shared" si="23"/>
        <v>-2.4700111868566067E-2</v>
      </c>
      <c r="AR216">
        <v>82.938000000000002</v>
      </c>
      <c r="AS216">
        <f t="shared" si="24"/>
        <v>0</v>
      </c>
    </row>
    <row r="217" spans="1:45" x14ac:dyDescent="0.2">
      <c r="A217" s="29">
        <v>36838</v>
      </c>
      <c r="B217">
        <v>26</v>
      </c>
      <c r="D217">
        <v>44.015999999999998</v>
      </c>
      <c r="E217">
        <v>12.125</v>
      </c>
      <c r="F217">
        <v>32.813000000000002</v>
      </c>
      <c r="G217">
        <v>1409.28</v>
      </c>
      <c r="H217">
        <f t="shared" si="22"/>
        <v>-0.10642946284673133</v>
      </c>
      <c r="J217">
        <f t="shared" si="20"/>
        <v>1.9327642626224217E-2</v>
      </c>
      <c r="K217">
        <f t="shared" si="20"/>
        <v>-0.25052534351935107</v>
      </c>
      <c r="M217">
        <f t="shared" si="21"/>
        <v>-6.5067040505223973E-3</v>
      </c>
      <c r="O217">
        <f t="shared" si="19"/>
        <v>-5.3937167314132804E-2</v>
      </c>
      <c r="AB217" s="29">
        <v>36838</v>
      </c>
      <c r="AC217">
        <v>32.813000000000002</v>
      </c>
      <c r="AD217">
        <v>1409.28</v>
      </c>
      <c r="AE217">
        <f t="shared" si="23"/>
        <v>-3.8167402557157904E-3</v>
      </c>
      <c r="AF217">
        <f t="shared" si="23"/>
        <v>-6.5067040505223973E-3</v>
      </c>
      <c r="AR217">
        <v>82.125</v>
      </c>
      <c r="AS217">
        <f t="shared" si="24"/>
        <v>9.8508639055006585E-3</v>
      </c>
    </row>
    <row r="218" spans="1:45" x14ac:dyDescent="0.2">
      <c r="A218" s="29">
        <v>36837</v>
      </c>
      <c r="B218">
        <v>27.437999999999999</v>
      </c>
      <c r="D218">
        <v>47.688000000000002</v>
      </c>
      <c r="E218">
        <v>13.938000000000001</v>
      </c>
      <c r="F218">
        <v>32.813000000000002</v>
      </c>
      <c r="G218">
        <v>1431.87</v>
      </c>
      <c r="H218">
        <f t="shared" si="22"/>
        <v>-5.3832375882491061E-2</v>
      </c>
      <c r="J218">
        <f t="shared" si="20"/>
        <v>-8.0126589735406775E-2</v>
      </c>
      <c r="K218">
        <f t="shared" si="20"/>
        <v>-0.13934948619278029</v>
      </c>
      <c r="M218">
        <f t="shared" si="21"/>
        <v>-1.5902346622533696E-2</v>
      </c>
      <c r="O218">
        <f t="shared" si="19"/>
        <v>-6.4807848315429836E-2</v>
      </c>
      <c r="AB218" s="29">
        <v>36837</v>
      </c>
      <c r="AC218">
        <v>32.813000000000002</v>
      </c>
      <c r="AD218">
        <v>1431.87</v>
      </c>
      <c r="AE218">
        <f t="shared" si="23"/>
        <v>0</v>
      </c>
      <c r="AF218">
        <f t="shared" si="23"/>
        <v>-1.5902346622533696E-2</v>
      </c>
      <c r="AR218">
        <v>81.813000000000002</v>
      </c>
      <c r="AS218">
        <f t="shared" si="24"/>
        <v>3.8063216178078193E-3</v>
      </c>
    </row>
    <row r="219" spans="1:45" x14ac:dyDescent="0.2">
      <c r="A219" s="29">
        <v>36836</v>
      </c>
      <c r="B219">
        <v>28.187999999999999</v>
      </c>
      <c r="D219">
        <v>45.125</v>
      </c>
      <c r="E219">
        <v>14.375</v>
      </c>
      <c r="F219">
        <v>32.875</v>
      </c>
      <c r="G219">
        <v>1432.19</v>
      </c>
      <c r="H219">
        <f t="shared" si="22"/>
        <v>-2.696744156080293E-2</v>
      </c>
      <c r="J219">
        <f t="shared" si="20"/>
        <v>5.52433772645805E-2</v>
      </c>
      <c r="K219">
        <f t="shared" si="20"/>
        <v>-3.0871663667087029E-2</v>
      </c>
      <c r="M219">
        <f t="shared" si="21"/>
        <v>-2.2345900667700635E-4</v>
      </c>
      <c r="O219">
        <f t="shared" si="19"/>
        <v>7.3481907967419737E-3</v>
      </c>
      <c r="AB219" s="29">
        <v>36836</v>
      </c>
      <c r="AC219">
        <v>32.875</v>
      </c>
      <c r="AD219">
        <v>1432.19</v>
      </c>
      <c r="AE219">
        <f t="shared" si="23"/>
        <v>-1.8877121669464906E-3</v>
      </c>
      <c r="AF219">
        <f t="shared" si="23"/>
        <v>-2.2345900667700635E-4</v>
      </c>
      <c r="AR219">
        <v>81.563000000000002</v>
      </c>
      <c r="AS219">
        <f t="shared" si="24"/>
        <v>3.0604274205448564E-3</v>
      </c>
    </row>
    <row r="220" spans="1:45" x14ac:dyDescent="0.2">
      <c r="A220" s="29">
        <v>36833</v>
      </c>
      <c r="B220">
        <v>31</v>
      </c>
      <c r="D220">
        <v>50.5</v>
      </c>
      <c r="E220">
        <v>14.938000000000001</v>
      </c>
      <c r="F220">
        <v>33.5</v>
      </c>
      <c r="G220">
        <v>1426.69</v>
      </c>
      <c r="H220">
        <f t="shared" si="22"/>
        <v>-9.5090849020370238E-2</v>
      </c>
      <c r="J220">
        <f t="shared" si="20"/>
        <v>-0.11253691962826913</v>
      </c>
      <c r="K220">
        <f t="shared" si="20"/>
        <v>-3.8417715251460802E-2</v>
      </c>
      <c r="M220">
        <f t="shared" si="21"/>
        <v>3.8476653692405996E-3</v>
      </c>
      <c r="O220">
        <f t="shared" si="19"/>
        <v>-0.10237301642386022</v>
      </c>
      <c r="AB220" s="29">
        <v>36833</v>
      </c>
      <c r="AC220">
        <v>33.5</v>
      </c>
      <c r="AD220">
        <v>1426.69</v>
      </c>
      <c r="AE220">
        <f t="shared" si="23"/>
        <v>-1.8832948333092125E-2</v>
      </c>
      <c r="AF220">
        <f t="shared" si="23"/>
        <v>3.8476653692405996E-3</v>
      </c>
      <c r="AR220">
        <v>77.375</v>
      </c>
      <c r="AS220">
        <f t="shared" si="24"/>
        <v>5.2711996761661641E-2</v>
      </c>
    </row>
    <row r="221" spans="1:45" x14ac:dyDescent="0.2">
      <c r="A221" s="29">
        <v>36832</v>
      </c>
      <c r="B221">
        <v>33.875</v>
      </c>
      <c r="D221">
        <v>45.875</v>
      </c>
      <c r="E221">
        <v>15.938000000000001</v>
      </c>
      <c r="F221">
        <v>33.625</v>
      </c>
      <c r="G221">
        <v>1428.32</v>
      </c>
      <c r="H221">
        <f t="shared" si="22"/>
        <v>-8.8690074714718681E-2</v>
      </c>
      <c r="J221">
        <f t="shared" si="20"/>
        <v>9.6053029906579837E-2</v>
      </c>
      <c r="K221">
        <f t="shared" si="20"/>
        <v>-6.4797893040681426E-2</v>
      </c>
      <c r="M221">
        <f t="shared" si="21"/>
        <v>-1.1418525168759629E-3</v>
      </c>
      <c r="O221">
        <f t="shared" si="19"/>
        <v>-1.1576422894253832E-2</v>
      </c>
      <c r="AB221" s="29">
        <v>36832</v>
      </c>
      <c r="AC221">
        <v>33.625</v>
      </c>
      <c r="AD221">
        <v>1428.32</v>
      </c>
      <c r="AE221">
        <f t="shared" si="23"/>
        <v>-3.7243990909824397E-3</v>
      </c>
      <c r="AF221">
        <f t="shared" si="23"/>
        <v>-1.1418525168759629E-3</v>
      </c>
      <c r="AR221">
        <v>81.75</v>
      </c>
      <c r="AS221">
        <f t="shared" si="24"/>
        <v>-5.5002078772602651E-2</v>
      </c>
    </row>
    <row r="222" spans="1:45" x14ac:dyDescent="0.2">
      <c r="A222" s="29">
        <v>36831</v>
      </c>
      <c r="B222">
        <v>36.875</v>
      </c>
      <c r="D222">
        <v>39.938000000000002</v>
      </c>
      <c r="E222">
        <v>16.875</v>
      </c>
      <c r="F222">
        <v>34</v>
      </c>
      <c r="G222">
        <v>1421.22</v>
      </c>
      <c r="H222">
        <f t="shared" si="22"/>
        <v>-8.4856535460118981E-2</v>
      </c>
      <c r="J222">
        <f t="shared" si="20"/>
        <v>0.13859205475353453</v>
      </c>
      <c r="K222">
        <f t="shared" si="20"/>
        <v>-5.7127041783037069E-2</v>
      </c>
      <c r="M222">
        <f t="shared" si="21"/>
        <v>4.9832707685064526E-3</v>
      </c>
      <c r="O222">
        <f t="shared" si="19"/>
        <v>8.4131799148109091E-3</v>
      </c>
      <c r="AB222" s="29">
        <v>36831</v>
      </c>
      <c r="AC222">
        <v>34</v>
      </c>
      <c r="AD222">
        <v>1421.22</v>
      </c>
      <c r="AE222">
        <f t="shared" si="23"/>
        <v>-1.1090686694158173E-2</v>
      </c>
      <c r="AF222">
        <f t="shared" si="23"/>
        <v>4.9832707685064526E-3</v>
      </c>
      <c r="AR222">
        <v>83.25</v>
      </c>
      <c r="AS222">
        <f t="shared" si="24"/>
        <v>-1.8182319083190474E-2</v>
      </c>
    </row>
    <row r="223" spans="1:45" x14ac:dyDescent="0.2">
      <c r="A223" s="29">
        <v>36830</v>
      </c>
      <c r="B223">
        <v>38.125</v>
      </c>
      <c r="D223">
        <v>43.375</v>
      </c>
      <c r="E223">
        <v>16.625</v>
      </c>
      <c r="F223">
        <v>32.625</v>
      </c>
      <c r="G223">
        <v>1429.4</v>
      </c>
      <c r="H223">
        <f t="shared" si="22"/>
        <v>-3.3336420267591836E-2</v>
      </c>
      <c r="J223">
        <f t="shared" si="20"/>
        <v>-8.2554986645823336E-2</v>
      </c>
      <c r="K223">
        <f t="shared" si="20"/>
        <v>1.4925650216675792E-2</v>
      </c>
      <c r="M223">
        <f t="shared" si="21"/>
        <v>-5.739118123332985E-3</v>
      </c>
      <c r="O223">
        <f t="shared" si="19"/>
        <v>-5.3880750723516301E-2</v>
      </c>
      <c r="AB223" s="29">
        <v>36830</v>
      </c>
      <c r="AC223">
        <v>32.625</v>
      </c>
      <c r="AD223">
        <v>1429.4</v>
      </c>
      <c r="AE223">
        <f t="shared" si="23"/>
        <v>4.1281658973303825E-2</v>
      </c>
      <c r="AF223">
        <f t="shared" si="23"/>
        <v>-5.739118123332985E-3</v>
      </c>
      <c r="AR223">
        <v>82.063000000000002</v>
      </c>
      <c r="AS223">
        <f t="shared" si="24"/>
        <v>1.4360883899116054E-2</v>
      </c>
    </row>
    <row r="224" spans="1:45" x14ac:dyDescent="0.2">
      <c r="A224" s="29">
        <v>36829</v>
      </c>
      <c r="B224">
        <v>36</v>
      </c>
      <c r="D224">
        <v>40</v>
      </c>
      <c r="E224">
        <v>15</v>
      </c>
      <c r="F224">
        <v>32.375</v>
      </c>
      <c r="G224">
        <v>1398.66</v>
      </c>
      <c r="H224">
        <f t="shared" si="22"/>
        <v>5.7351296471465599E-2</v>
      </c>
      <c r="J224">
        <f t="shared" si="20"/>
        <v>8.1003784153087038E-2</v>
      </c>
      <c r="K224">
        <f t="shared" si="20"/>
        <v>0.10285738543970782</v>
      </c>
      <c r="M224">
        <f t="shared" si="21"/>
        <v>2.1740140393392629E-2</v>
      </c>
      <c r="O224">
        <f t="shared" si="19"/>
        <v>6.7224085518219096E-2</v>
      </c>
      <c r="AB224" s="29">
        <v>36829</v>
      </c>
      <c r="AC224">
        <v>32.375</v>
      </c>
      <c r="AD224">
        <v>1398.66</v>
      </c>
      <c r="AE224">
        <f t="shared" si="23"/>
        <v>7.6923456231556449E-3</v>
      </c>
      <c r="AF224">
        <f t="shared" si="23"/>
        <v>2.1740140393392629E-2</v>
      </c>
      <c r="AR224">
        <v>80.688000000000002</v>
      </c>
      <c r="AS224">
        <f t="shared" si="24"/>
        <v>1.6897379627067815E-2</v>
      </c>
    </row>
    <row r="225" spans="1:45" x14ac:dyDescent="0.2">
      <c r="A225" s="29">
        <v>36826</v>
      </c>
      <c r="B225">
        <v>40.5</v>
      </c>
      <c r="D225">
        <v>45.375</v>
      </c>
      <c r="E225">
        <v>17.875</v>
      </c>
      <c r="F225">
        <v>32.25</v>
      </c>
      <c r="G225">
        <v>1379.58</v>
      </c>
      <c r="H225">
        <f t="shared" si="22"/>
        <v>-0.11778303565638351</v>
      </c>
      <c r="J225">
        <f t="shared" si="20"/>
        <v>-0.12608183847107851</v>
      </c>
      <c r="K225">
        <f t="shared" si="20"/>
        <v>-0.17535288747786129</v>
      </c>
      <c r="M225">
        <f t="shared" si="21"/>
        <v>1.3735530390521463E-2</v>
      </c>
      <c r="O225">
        <f t="shared" si="19"/>
        <v>-0.12124704040011079</v>
      </c>
      <c r="AB225" s="29">
        <v>36826</v>
      </c>
      <c r="AC225">
        <v>32.25</v>
      </c>
      <c r="AD225">
        <v>1379.58</v>
      </c>
      <c r="AE225">
        <f t="shared" si="23"/>
        <v>3.8684767779203319E-3</v>
      </c>
      <c r="AF225">
        <f t="shared" si="23"/>
        <v>1.3735530390521463E-2</v>
      </c>
      <c r="AR225">
        <v>78.875</v>
      </c>
      <c r="AS225">
        <f t="shared" si="24"/>
        <v>2.2725544472992288E-2</v>
      </c>
    </row>
    <row r="226" spans="1:45" x14ac:dyDescent="0.2">
      <c r="A226" s="29">
        <v>36825</v>
      </c>
      <c r="B226">
        <v>41.938000000000002</v>
      </c>
      <c r="D226">
        <v>44.125</v>
      </c>
      <c r="E226">
        <v>18.5</v>
      </c>
      <c r="F226">
        <v>31</v>
      </c>
      <c r="G226">
        <v>1364.44</v>
      </c>
      <c r="H226">
        <f t="shared" si="22"/>
        <v>-3.4890363052060482E-2</v>
      </c>
      <c r="J226">
        <f t="shared" si="20"/>
        <v>2.7934777331554066E-2</v>
      </c>
      <c r="K226">
        <f t="shared" si="20"/>
        <v>-3.4367643504207769E-2</v>
      </c>
      <c r="M226">
        <f t="shared" si="21"/>
        <v>1.1035016971345828E-2</v>
      </c>
      <c r="O226">
        <f t="shared" si="19"/>
        <v>-8.6665101453720847E-3</v>
      </c>
      <c r="AB226" s="29">
        <v>36825</v>
      </c>
      <c r="AC226">
        <v>31</v>
      </c>
      <c r="AD226">
        <v>1364.44</v>
      </c>
      <c r="AE226">
        <f t="shared" si="23"/>
        <v>3.9530838756635218E-2</v>
      </c>
      <c r="AF226">
        <f t="shared" si="23"/>
        <v>1.1035016971345828E-2</v>
      </c>
      <c r="AR226">
        <v>77.5</v>
      </c>
      <c r="AS226">
        <f t="shared" si="24"/>
        <v>1.7586384502075988E-2</v>
      </c>
    </row>
    <row r="227" spans="1:45" x14ac:dyDescent="0.2">
      <c r="A227" s="29">
        <v>36824</v>
      </c>
      <c r="B227">
        <v>41.875</v>
      </c>
      <c r="D227">
        <v>51.75</v>
      </c>
      <c r="E227">
        <v>19.687999999999999</v>
      </c>
      <c r="F227">
        <v>31.25</v>
      </c>
      <c r="G227">
        <v>1364.9</v>
      </c>
      <c r="H227">
        <f t="shared" si="22"/>
        <v>1.5033470193234416E-3</v>
      </c>
      <c r="J227">
        <f t="shared" si="20"/>
        <v>-0.1593979168920176</v>
      </c>
      <c r="K227">
        <f t="shared" si="20"/>
        <v>-6.2238581004475567E-2</v>
      </c>
      <c r="M227">
        <f t="shared" si="21"/>
        <v>-3.370778315310521E-4</v>
      </c>
      <c r="O227">
        <f t="shared" si="19"/>
        <v>-6.5658477873498211E-2</v>
      </c>
      <c r="AB227" s="29">
        <v>36824</v>
      </c>
      <c r="AC227">
        <v>31.25</v>
      </c>
      <c r="AD227">
        <v>1364.9</v>
      </c>
      <c r="AE227">
        <f t="shared" si="23"/>
        <v>-8.0321716972642666E-3</v>
      </c>
      <c r="AF227">
        <f t="shared" si="23"/>
        <v>-3.370778315310521E-4</v>
      </c>
      <c r="AR227">
        <v>76.125</v>
      </c>
      <c r="AS227">
        <f t="shared" si="24"/>
        <v>1.7901210329240302E-2</v>
      </c>
    </row>
    <row r="228" spans="1:45" x14ac:dyDescent="0.2">
      <c r="A228" s="29">
        <v>36823</v>
      </c>
      <c r="B228">
        <v>47.125</v>
      </c>
      <c r="D228">
        <v>62.875</v>
      </c>
      <c r="E228">
        <v>19.312999999999999</v>
      </c>
      <c r="F228">
        <v>33.063000000000002</v>
      </c>
      <c r="G228">
        <v>1398.13</v>
      </c>
      <c r="H228">
        <f t="shared" si="22"/>
        <v>-0.11811465562294435</v>
      </c>
      <c r="J228">
        <f t="shared" si="20"/>
        <v>-0.19472419627442486</v>
      </c>
      <c r="K228">
        <f t="shared" si="20"/>
        <v>1.9230868798292469E-2</v>
      </c>
      <c r="M228">
        <f t="shared" si="21"/>
        <v>-2.405446359399897E-2</v>
      </c>
      <c r="O228">
        <f t="shared" si="19"/>
        <v>-0.15009225747192259</v>
      </c>
      <c r="AB228" s="29">
        <v>36823</v>
      </c>
      <c r="AC228">
        <v>33.063000000000002</v>
      </c>
      <c r="AD228">
        <v>1398.13</v>
      </c>
      <c r="AE228">
        <f t="shared" si="23"/>
        <v>-5.6395456195104152E-2</v>
      </c>
      <c r="AF228">
        <f t="shared" si="23"/>
        <v>-2.405446359399897E-2</v>
      </c>
      <c r="AR228">
        <v>80.188000000000002</v>
      </c>
      <c r="AS228">
        <f t="shared" si="24"/>
        <v>-5.199715171216869E-2</v>
      </c>
    </row>
    <row r="229" spans="1:45" x14ac:dyDescent="0.2">
      <c r="A229" s="29">
        <v>36822</v>
      </c>
      <c r="B229">
        <v>39.625</v>
      </c>
      <c r="D229">
        <v>68</v>
      </c>
      <c r="E229">
        <v>18.062999999999999</v>
      </c>
      <c r="F229">
        <v>33.25</v>
      </c>
      <c r="G229">
        <v>1395.78</v>
      </c>
      <c r="H229">
        <f t="shared" si="22"/>
        <v>0.1733434135707301</v>
      </c>
      <c r="J229">
        <f t="shared" si="20"/>
        <v>-7.8359076756203377E-2</v>
      </c>
      <c r="K229">
        <f t="shared" si="20"/>
        <v>6.6912797140041863E-2</v>
      </c>
      <c r="M229">
        <f t="shared" si="21"/>
        <v>1.682230676141244E-3</v>
      </c>
      <c r="O229">
        <f t="shared" si="19"/>
        <v>6.8280232775957531E-2</v>
      </c>
      <c r="AB229" s="29">
        <v>36822</v>
      </c>
      <c r="AC229">
        <v>33.25</v>
      </c>
      <c r="AD229">
        <v>1395.78</v>
      </c>
      <c r="AE229">
        <f t="shared" si="23"/>
        <v>-5.6399347243484875E-3</v>
      </c>
      <c r="AF229">
        <f t="shared" si="23"/>
        <v>1.682230676141244E-3</v>
      </c>
      <c r="AR229">
        <v>82</v>
      </c>
      <c r="AS229">
        <f t="shared" si="24"/>
        <v>-2.2345369522023383E-2</v>
      </c>
    </row>
    <row r="230" spans="1:45" x14ac:dyDescent="0.2">
      <c r="A230" s="29">
        <v>36819</v>
      </c>
      <c r="B230">
        <v>40.5</v>
      </c>
      <c r="D230">
        <v>67.25</v>
      </c>
      <c r="E230">
        <v>16</v>
      </c>
      <c r="F230">
        <v>33.375</v>
      </c>
      <c r="G230">
        <v>1396.93</v>
      </c>
      <c r="H230">
        <f t="shared" si="22"/>
        <v>-2.1841741915048753E-2</v>
      </c>
      <c r="J230">
        <f t="shared" si="20"/>
        <v>1.1090686694158138E-2</v>
      </c>
      <c r="K230">
        <f t="shared" si="20"/>
        <v>0.12127692491063917</v>
      </c>
      <c r="M230">
        <f t="shared" si="21"/>
        <v>-8.2357284859591398E-4</v>
      </c>
      <c r="O230">
        <f t="shared" si="19"/>
        <v>-8.0954110921557867E-3</v>
      </c>
      <c r="AB230" s="29">
        <v>36819</v>
      </c>
      <c r="AC230">
        <v>33.375</v>
      </c>
      <c r="AD230">
        <v>1396.93</v>
      </c>
      <c r="AE230">
        <f t="shared" si="23"/>
        <v>-3.7523496185504642E-3</v>
      </c>
      <c r="AF230">
        <f t="shared" si="23"/>
        <v>-8.2357284859591398E-4</v>
      </c>
      <c r="AR230">
        <v>80.5</v>
      </c>
      <c r="AS230">
        <f t="shared" si="24"/>
        <v>1.8462062839735352E-2</v>
      </c>
    </row>
    <row r="231" spans="1:45" x14ac:dyDescent="0.2">
      <c r="A231" s="29">
        <v>36818</v>
      </c>
      <c r="B231">
        <v>39.313000000000002</v>
      </c>
      <c r="D231">
        <v>65.25</v>
      </c>
      <c r="E231">
        <v>17</v>
      </c>
      <c r="F231">
        <v>32.5</v>
      </c>
      <c r="G231">
        <v>1388.76</v>
      </c>
      <c r="H231">
        <f t="shared" si="22"/>
        <v>2.9746721131761029E-2</v>
      </c>
      <c r="J231">
        <f t="shared" si="20"/>
        <v>3.0190972279145731E-2</v>
      </c>
      <c r="K231">
        <f t="shared" si="20"/>
        <v>-6.0624621816434854E-2</v>
      </c>
      <c r="M231">
        <f t="shared" si="21"/>
        <v>5.865708980616796E-3</v>
      </c>
      <c r="O231">
        <f t="shared" si="19"/>
        <v>2.9932156081392793E-2</v>
      </c>
      <c r="AB231" s="29">
        <v>36818</v>
      </c>
      <c r="AC231">
        <v>32.5</v>
      </c>
      <c r="AD231">
        <v>1388.76</v>
      </c>
      <c r="AE231">
        <f t="shared" si="23"/>
        <v>2.6567027384721706E-2</v>
      </c>
      <c r="AF231">
        <f t="shared" si="23"/>
        <v>5.865708980616796E-3</v>
      </c>
      <c r="AR231">
        <v>79</v>
      </c>
      <c r="AS231">
        <f t="shared" si="24"/>
        <v>1.8809331957496293E-2</v>
      </c>
    </row>
    <row r="232" spans="1:45" x14ac:dyDescent="0.2">
      <c r="A232" s="29">
        <v>36817</v>
      </c>
      <c r="B232">
        <v>37.125</v>
      </c>
      <c r="D232">
        <v>72</v>
      </c>
      <c r="E232">
        <v>17.125</v>
      </c>
      <c r="F232">
        <v>32.438000000000002</v>
      </c>
      <c r="G232">
        <v>1342.13</v>
      </c>
      <c r="H232">
        <f t="shared" si="22"/>
        <v>5.7264655857868892E-2</v>
      </c>
      <c r="J232">
        <f t="shared" si="20"/>
        <v>-9.8440072813252524E-2</v>
      </c>
      <c r="K232">
        <f t="shared" si="20"/>
        <v>-7.3260400920728977E-3</v>
      </c>
      <c r="M232">
        <f t="shared" si="21"/>
        <v>3.4153358465216138E-2</v>
      </c>
      <c r="O232">
        <f t="shared" si="19"/>
        <v>-7.7280823455820793E-3</v>
      </c>
      <c r="AB232" s="29">
        <v>36817</v>
      </c>
      <c r="AC232">
        <v>32.438000000000002</v>
      </c>
      <c r="AD232">
        <v>1342.13</v>
      </c>
      <c r="AE232">
        <f t="shared" si="23"/>
        <v>1.9095142701940284E-3</v>
      </c>
      <c r="AF232">
        <f t="shared" si="23"/>
        <v>3.4153358465216138E-2</v>
      </c>
      <c r="AR232">
        <v>78.75</v>
      </c>
      <c r="AS232">
        <f t="shared" si="24"/>
        <v>3.1695747612790395E-3</v>
      </c>
    </row>
    <row r="233" spans="1:45" x14ac:dyDescent="0.2">
      <c r="A233" s="29">
        <v>36816</v>
      </c>
      <c r="B233">
        <v>39.875</v>
      </c>
      <c r="D233">
        <v>80.25</v>
      </c>
      <c r="E233">
        <v>19.187999999999999</v>
      </c>
      <c r="F233">
        <v>32.5</v>
      </c>
      <c r="G233">
        <v>1349.97</v>
      </c>
      <c r="H233">
        <f t="shared" si="22"/>
        <v>-7.1458963982144977E-2</v>
      </c>
      <c r="J233">
        <f t="shared" si="20"/>
        <v>-0.10848064299406995</v>
      </c>
      <c r="K233">
        <f t="shared" si="20"/>
        <v>-0.11374569949152842</v>
      </c>
      <c r="M233">
        <f t="shared" si="21"/>
        <v>-5.8244657805651776E-3</v>
      </c>
      <c r="O233">
        <f t="shared" si="19"/>
        <v>-8.691218953547078E-2</v>
      </c>
      <c r="AB233" s="29">
        <v>36816</v>
      </c>
      <c r="AC233">
        <v>32.5</v>
      </c>
      <c r="AD233">
        <v>1349.97</v>
      </c>
      <c r="AE233">
        <f t="shared" si="23"/>
        <v>-1.9095142701940021E-3</v>
      </c>
      <c r="AF233">
        <f t="shared" si="23"/>
        <v>-5.8244657805651776E-3</v>
      </c>
      <c r="AR233">
        <v>79.188000000000002</v>
      </c>
      <c r="AS233">
        <f t="shared" si="24"/>
        <v>-5.5464944835424803E-3</v>
      </c>
    </row>
    <row r="234" spans="1:45" x14ac:dyDescent="0.2">
      <c r="A234" s="29">
        <v>36815</v>
      </c>
      <c r="B234">
        <v>46.5</v>
      </c>
      <c r="D234">
        <v>85.688000000000002</v>
      </c>
      <c r="E234">
        <v>20.812999999999999</v>
      </c>
      <c r="F234">
        <v>32.125</v>
      </c>
      <c r="G234">
        <v>1374.62</v>
      </c>
      <c r="H234">
        <f t="shared" si="22"/>
        <v>-0.15370275148830195</v>
      </c>
      <c r="J234">
        <f t="shared" si="20"/>
        <v>-6.5566030452203286E-2</v>
      </c>
      <c r="K234">
        <f t="shared" si="20"/>
        <v>-8.1292707836296857E-2</v>
      </c>
      <c r="M234">
        <f t="shared" si="21"/>
        <v>-1.8094959305505098E-2</v>
      </c>
      <c r="O234">
        <f t="shared" si="19"/>
        <v>-0.11691358724584072</v>
      </c>
      <c r="AB234" s="29">
        <v>36815</v>
      </c>
      <c r="AC234">
        <v>32.125</v>
      </c>
      <c r="AD234">
        <v>1374.62</v>
      </c>
      <c r="AE234">
        <f t="shared" si="23"/>
        <v>1.160554612030789E-2</v>
      </c>
      <c r="AF234">
        <f t="shared" si="23"/>
        <v>-1.8094959305505098E-2</v>
      </c>
      <c r="AR234">
        <v>80</v>
      </c>
      <c r="AS234">
        <f t="shared" si="24"/>
        <v>-1.0201862484596723E-2</v>
      </c>
    </row>
    <row r="235" spans="1:45" x14ac:dyDescent="0.2">
      <c r="A235" s="29">
        <v>36812</v>
      </c>
      <c r="B235">
        <v>45.25</v>
      </c>
      <c r="D235">
        <v>81</v>
      </c>
      <c r="E235">
        <v>19.5</v>
      </c>
      <c r="F235">
        <v>32.5</v>
      </c>
      <c r="G235">
        <v>1374.17</v>
      </c>
      <c r="H235">
        <f t="shared" si="22"/>
        <v>2.724964244737554E-2</v>
      </c>
      <c r="J235">
        <f t="shared" si="20"/>
        <v>5.6263637789889888E-2</v>
      </c>
      <c r="K235">
        <f t="shared" si="20"/>
        <v>6.5163325906413175E-2</v>
      </c>
      <c r="M235">
        <f t="shared" si="21"/>
        <v>3.2741679358544028E-4</v>
      </c>
      <c r="O235">
        <f t="shared" si="19"/>
        <v>3.9360379350653174E-2</v>
      </c>
      <c r="AB235" s="29">
        <v>36812</v>
      </c>
      <c r="AC235">
        <v>32.5</v>
      </c>
      <c r="AD235">
        <v>1374.17</v>
      </c>
      <c r="AE235">
        <f t="shared" si="23"/>
        <v>-1.160554612030789E-2</v>
      </c>
      <c r="AF235">
        <f t="shared" si="23"/>
        <v>3.2741679358544028E-4</v>
      </c>
      <c r="AR235">
        <v>79.5</v>
      </c>
      <c r="AS235">
        <f t="shared" si="24"/>
        <v>6.269613013595395E-3</v>
      </c>
    </row>
    <row r="236" spans="1:45" x14ac:dyDescent="0.2">
      <c r="A236" s="29">
        <v>36811</v>
      </c>
      <c r="B236">
        <v>38.063000000000002</v>
      </c>
      <c r="D236">
        <v>76.5</v>
      </c>
      <c r="E236">
        <v>19.25</v>
      </c>
      <c r="F236">
        <v>32.25</v>
      </c>
      <c r="G236">
        <v>1329.78</v>
      </c>
      <c r="H236">
        <f t="shared" si="22"/>
        <v>0.17295998847310121</v>
      </c>
      <c r="J236">
        <f t="shared" si="20"/>
        <v>5.7158413839948623E-2</v>
      </c>
      <c r="K236">
        <f t="shared" si="20"/>
        <v>1.2903404835907782E-2</v>
      </c>
      <c r="M236">
        <f t="shared" si="21"/>
        <v>3.2836397475617896E-2</v>
      </c>
      <c r="O236">
        <f t="shared" si="19"/>
        <v>0.12462323282082557</v>
      </c>
      <c r="AB236" s="29">
        <v>36811</v>
      </c>
      <c r="AC236">
        <v>32.25</v>
      </c>
      <c r="AD236">
        <v>1329.78</v>
      </c>
      <c r="AE236">
        <f t="shared" si="23"/>
        <v>7.7220460939103185E-3</v>
      </c>
      <c r="AF236">
        <f t="shared" si="23"/>
        <v>3.2836397475617896E-2</v>
      </c>
      <c r="AR236">
        <v>79.875</v>
      </c>
      <c r="AS236">
        <f t="shared" si="24"/>
        <v>-4.7058910374126166E-3</v>
      </c>
    </row>
    <row r="237" spans="1:45" x14ac:dyDescent="0.2">
      <c r="A237" s="29">
        <v>36810</v>
      </c>
      <c r="B237">
        <v>31.875</v>
      </c>
      <c r="D237">
        <v>78.813000000000002</v>
      </c>
      <c r="E237">
        <v>21.75</v>
      </c>
      <c r="F237">
        <v>32</v>
      </c>
      <c r="G237">
        <v>1364.59</v>
      </c>
      <c r="H237">
        <f t="shared" si="22"/>
        <v>0.17742067819424376</v>
      </c>
      <c r="J237">
        <f t="shared" si="20"/>
        <v>-2.9787217043816636E-2</v>
      </c>
      <c r="K237">
        <f t="shared" si="20"/>
        <v>-0.12210269680089984</v>
      </c>
      <c r="M237">
        <f t="shared" si="21"/>
        <v>-2.5840502200064154E-2</v>
      </c>
      <c r="O237">
        <f t="shared" si="19"/>
        <v>9.0929994167939801E-2</v>
      </c>
      <c r="AB237" s="29">
        <v>36810</v>
      </c>
      <c r="AC237">
        <v>32</v>
      </c>
      <c r="AD237">
        <v>1364.59</v>
      </c>
      <c r="AE237">
        <f t="shared" si="23"/>
        <v>7.782140442054949E-3</v>
      </c>
      <c r="AF237">
        <f t="shared" si="23"/>
        <v>-2.5840502200064154E-2</v>
      </c>
      <c r="AR237">
        <v>82.813000000000002</v>
      </c>
      <c r="AS237">
        <f t="shared" si="24"/>
        <v>-3.612214120046453E-2</v>
      </c>
    </row>
    <row r="238" spans="1:45" x14ac:dyDescent="0.2">
      <c r="A238" s="29">
        <v>36809</v>
      </c>
      <c r="B238">
        <v>31.75</v>
      </c>
      <c r="D238">
        <v>69</v>
      </c>
      <c r="E238">
        <v>24.937999999999999</v>
      </c>
      <c r="F238">
        <v>28.937999999999999</v>
      </c>
      <c r="G238">
        <v>1387.02</v>
      </c>
      <c r="H238">
        <f t="shared" si="22"/>
        <v>3.929278139889557E-3</v>
      </c>
      <c r="J238">
        <f t="shared" si="20"/>
        <v>0.13297145327904741</v>
      </c>
      <c r="K238">
        <f t="shared" si="20"/>
        <v>-0.13677898703970132</v>
      </c>
      <c r="M238">
        <f t="shared" si="21"/>
        <v>-1.6303543621838983E-2</v>
      </c>
      <c r="O238">
        <f t="shared" si="19"/>
        <v>5.7792795180131244E-2</v>
      </c>
      <c r="AB238" s="29">
        <v>36809</v>
      </c>
      <c r="AC238">
        <v>28.937999999999999</v>
      </c>
      <c r="AD238">
        <v>1387.02</v>
      </c>
      <c r="AE238">
        <f t="shared" si="23"/>
        <v>0.1005802924848368</v>
      </c>
      <c r="AF238">
        <f t="shared" si="23"/>
        <v>-1.6303543621838983E-2</v>
      </c>
      <c r="AR238">
        <v>81.688000000000002</v>
      </c>
      <c r="AS238">
        <f t="shared" si="24"/>
        <v>1.3677941644926469E-2</v>
      </c>
    </row>
    <row r="239" spans="1:45" x14ac:dyDescent="0.2">
      <c r="A239" s="29">
        <v>36808</v>
      </c>
      <c r="B239">
        <v>38</v>
      </c>
      <c r="D239">
        <v>77</v>
      </c>
      <c r="E239">
        <v>25.75</v>
      </c>
      <c r="F239">
        <v>30</v>
      </c>
      <c r="G239">
        <v>1402.03</v>
      </c>
      <c r="H239">
        <f t="shared" si="22"/>
        <v>-0.17969343438768512</v>
      </c>
      <c r="J239">
        <f t="shared" si="20"/>
        <v>-0.1096989172564245</v>
      </c>
      <c r="K239">
        <f t="shared" si="20"/>
        <v>-3.2041882535350778E-2</v>
      </c>
      <c r="M239">
        <f t="shared" si="21"/>
        <v>-1.0763625546913912E-2</v>
      </c>
      <c r="O239">
        <f t="shared" si="19"/>
        <v>-0.15047701067073019</v>
      </c>
      <c r="AB239" s="29">
        <v>36808</v>
      </c>
      <c r="AC239">
        <v>30</v>
      </c>
      <c r="AD239">
        <v>1402.03</v>
      </c>
      <c r="AE239">
        <f t="shared" si="23"/>
        <v>-3.6041771347265536E-2</v>
      </c>
      <c r="AF239">
        <f t="shared" si="23"/>
        <v>-1.0763625546913912E-2</v>
      </c>
      <c r="AR239">
        <v>83</v>
      </c>
      <c r="AS239">
        <f t="shared" si="24"/>
        <v>-1.5933495543361091E-2</v>
      </c>
    </row>
    <row r="240" spans="1:45" x14ac:dyDescent="0.2">
      <c r="A240" s="29">
        <v>36805</v>
      </c>
      <c r="B240">
        <v>40.875</v>
      </c>
      <c r="D240">
        <v>77.688000000000002</v>
      </c>
      <c r="E240">
        <v>26</v>
      </c>
      <c r="F240">
        <v>30.625</v>
      </c>
      <c r="G240">
        <v>1408.99</v>
      </c>
      <c r="H240">
        <f t="shared" si="22"/>
        <v>-7.2932469491031673E-2</v>
      </c>
      <c r="J240">
        <f t="shared" si="20"/>
        <v>-8.8953834383690943E-3</v>
      </c>
      <c r="K240">
        <f t="shared" si="20"/>
        <v>-9.6619109117368589E-3</v>
      </c>
      <c r="M240">
        <f t="shared" si="21"/>
        <v>-4.9519492729607761E-3</v>
      </c>
      <c r="O240">
        <f t="shared" si="19"/>
        <v>-4.6202738129286096E-2</v>
      </c>
      <c r="AB240" s="29">
        <v>36805</v>
      </c>
      <c r="AC240">
        <v>30.625</v>
      </c>
      <c r="AD240">
        <v>1408.99</v>
      </c>
      <c r="AE240">
        <f t="shared" si="23"/>
        <v>-2.0619287202735703E-2</v>
      </c>
      <c r="AF240">
        <f t="shared" si="23"/>
        <v>-4.9519492729607761E-3</v>
      </c>
      <c r="AR240">
        <v>81.625</v>
      </c>
      <c r="AS240">
        <f t="shared" si="24"/>
        <v>1.6705020200002765E-2</v>
      </c>
    </row>
    <row r="241" spans="1:45" x14ac:dyDescent="0.2">
      <c r="A241" s="29">
        <v>36804</v>
      </c>
      <c r="B241">
        <v>45.063000000000002</v>
      </c>
      <c r="D241">
        <v>81.5</v>
      </c>
      <c r="E241">
        <v>27</v>
      </c>
      <c r="F241">
        <v>31.25</v>
      </c>
      <c r="G241">
        <v>1436.28</v>
      </c>
      <c r="H241">
        <f t="shared" si="22"/>
        <v>-9.7542881466609721E-2</v>
      </c>
      <c r="J241">
        <f t="shared" si="20"/>
        <v>-4.7902214954764044E-2</v>
      </c>
      <c r="K241">
        <f t="shared" si="20"/>
        <v>-3.7740327982847086E-2</v>
      </c>
      <c r="M241">
        <f t="shared" si="21"/>
        <v>-1.9183302031864139E-2</v>
      </c>
      <c r="O241">
        <f t="shared" si="19"/>
        <v>-7.6822362119610729E-2</v>
      </c>
      <c r="AB241" s="29">
        <v>36804</v>
      </c>
      <c r="AC241">
        <v>31.25</v>
      </c>
      <c r="AD241">
        <v>1436.28</v>
      </c>
      <c r="AE241">
        <f t="shared" si="23"/>
        <v>-2.0202707317519466E-2</v>
      </c>
      <c r="AF241">
        <f t="shared" si="23"/>
        <v>-1.9183302031864139E-2</v>
      </c>
      <c r="AR241">
        <v>83</v>
      </c>
      <c r="AS241">
        <f t="shared" si="24"/>
        <v>-1.6705020200002772E-2</v>
      </c>
    </row>
    <row r="242" spans="1:45" x14ac:dyDescent="0.2">
      <c r="A242" s="29">
        <v>36803</v>
      </c>
      <c r="B242">
        <v>52.125</v>
      </c>
      <c r="D242">
        <v>80.516000000000005</v>
      </c>
      <c r="F242">
        <v>31.625</v>
      </c>
      <c r="G242">
        <v>1434.32</v>
      </c>
      <c r="H242">
        <f t="shared" si="22"/>
        <v>-0.14558316943493838</v>
      </c>
      <c r="J242">
        <f t="shared" si="20"/>
        <v>1.2147097808031509E-2</v>
      </c>
      <c r="M242">
        <f t="shared" si="21"/>
        <v>1.3655683861076627E-3</v>
      </c>
      <c r="O242">
        <f t="shared" si="19"/>
        <v>-7.9744950819654825E-2</v>
      </c>
      <c r="AB242" s="29">
        <v>36803</v>
      </c>
      <c r="AC242">
        <v>31.625</v>
      </c>
      <c r="AD242">
        <v>1434.32</v>
      </c>
      <c r="AE242">
        <f t="shared" si="23"/>
        <v>-1.1928570865273845E-2</v>
      </c>
      <c r="AF242">
        <f t="shared" si="23"/>
        <v>1.3655683861076627E-3</v>
      </c>
      <c r="AR242">
        <v>83.063000000000002</v>
      </c>
      <c r="AS242">
        <f t="shared" si="24"/>
        <v>-7.587482223303417E-4</v>
      </c>
    </row>
    <row r="243" spans="1:45" x14ac:dyDescent="0.2">
      <c r="A243" s="29">
        <v>36802</v>
      </c>
      <c r="B243">
        <v>55.5</v>
      </c>
      <c r="D243">
        <v>84.063000000000002</v>
      </c>
      <c r="F243">
        <v>32.5</v>
      </c>
      <c r="G243">
        <v>1426.46</v>
      </c>
      <c r="H243">
        <f t="shared" si="22"/>
        <v>-6.2738340633423359E-2</v>
      </c>
      <c r="J243">
        <f t="shared" si="20"/>
        <v>-4.3110595295074154E-2</v>
      </c>
      <c r="M243">
        <f t="shared" si="21"/>
        <v>5.4950186857191888E-3</v>
      </c>
      <c r="O243">
        <f t="shared" si="19"/>
        <v>-5.4545519996654024E-2</v>
      </c>
      <c r="AB243" s="29">
        <v>36802</v>
      </c>
      <c r="AC243">
        <v>32.5</v>
      </c>
      <c r="AD243">
        <v>1426.46</v>
      </c>
      <c r="AE243">
        <f t="shared" si="23"/>
        <v>-2.7292142288007512E-2</v>
      </c>
      <c r="AF243">
        <f t="shared" si="23"/>
        <v>5.4950186857191888E-3</v>
      </c>
      <c r="AR243">
        <v>85.563000000000002</v>
      </c>
      <c r="AS243">
        <f t="shared" si="24"/>
        <v>-2.9653590694184547E-2</v>
      </c>
    </row>
    <row r="244" spans="1:45" x14ac:dyDescent="0.2">
      <c r="A244" s="29">
        <v>36801</v>
      </c>
      <c r="B244">
        <v>60.875</v>
      </c>
      <c r="D244">
        <v>80.375</v>
      </c>
      <c r="F244">
        <v>32.563000000000002</v>
      </c>
      <c r="G244">
        <v>1436.23</v>
      </c>
      <c r="H244">
        <f t="shared" si="22"/>
        <v>-9.2439560650365071E-2</v>
      </c>
      <c r="J244">
        <f t="shared" si="20"/>
        <v>4.4863335176076088E-2</v>
      </c>
      <c r="M244">
        <f t="shared" si="21"/>
        <v>-6.825774312250607E-3</v>
      </c>
      <c r="O244">
        <f t="shared" si="19"/>
        <v>-3.5127934733902653E-2</v>
      </c>
      <c r="AB244" s="29">
        <v>36801</v>
      </c>
      <c r="AC244">
        <v>32.563000000000002</v>
      </c>
      <c r="AD244">
        <v>1436.23</v>
      </c>
      <c r="AE244">
        <f t="shared" si="23"/>
        <v>-1.9365851463781832E-3</v>
      </c>
      <c r="AF244">
        <f t="shared" si="23"/>
        <v>-6.825774312250607E-3</v>
      </c>
      <c r="AR244">
        <v>86.438000000000002</v>
      </c>
      <c r="AS244">
        <f t="shared" si="24"/>
        <v>-1.0174447221525771E-2</v>
      </c>
    </row>
    <row r="245" spans="1:45" x14ac:dyDescent="0.2">
      <c r="A245" s="29">
        <v>36798</v>
      </c>
      <c r="B245">
        <v>62</v>
      </c>
      <c r="D245">
        <v>95.125</v>
      </c>
      <c r="F245">
        <v>32.938000000000002</v>
      </c>
      <c r="G245">
        <v>1436.51</v>
      </c>
      <c r="H245">
        <f t="shared" si="22"/>
        <v>-1.8311803642337733E-2</v>
      </c>
      <c r="J245">
        <f t="shared" si="20"/>
        <v>-0.16848863362406638</v>
      </c>
      <c r="M245">
        <f t="shared" si="21"/>
        <v>-1.9493584583819165E-4</v>
      </c>
      <c r="O245">
        <f t="shared" si="19"/>
        <v>-8.0997140680768492E-2</v>
      </c>
      <c r="AB245" s="29">
        <v>36798</v>
      </c>
      <c r="AC245">
        <v>32.938000000000002</v>
      </c>
      <c r="AD245">
        <v>1436.51</v>
      </c>
      <c r="AE245">
        <f t="shared" si="23"/>
        <v>-1.1450331969946706E-2</v>
      </c>
      <c r="AF245">
        <f t="shared" si="23"/>
        <v>-1.9493584583819165E-4</v>
      </c>
      <c r="AR245">
        <v>87.641000000000005</v>
      </c>
      <c r="AS245">
        <f t="shared" si="24"/>
        <v>-1.3821531042454803E-2</v>
      </c>
    </row>
    <row r="246" spans="1:45" x14ac:dyDescent="0.2">
      <c r="A246" s="29">
        <v>36797</v>
      </c>
      <c r="B246">
        <v>60</v>
      </c>
      <c r="D246">
        <v>102.875</v>
      </c>
      <c r="F246">
        <v>30.875</v>
      </c>
      <c r="G246">
        <v>1458.29</v>
      </c>
      <c r="H246">
        <f t="shared" si="22"/>
        <v>3.278982282299097E-2</v>
      </c>
      <c r="J246">
        <f t="shared" si="20"/>
        <v>-7.8322842815383986E-2</v>
      </c>
      <c r="M246">
        <f t="shared" si="21"/>
        <v>-1.50479556368712E-2</v>
      </c>
      <c r="O246">
        <f t="shared" si="19"/>
        <v>-1.3589734500381841E-2</v>
      </c>
      <c r="AB246" s="29">
        <v>36797</v>
      </c>
      <c r="AC246">
        <v>30.875</v>
      </c>
      <c r="AD246">
        <v>1458.29</v>
      </c>
      <c r="AE246">
        <f t="shared" si="23"/>
        <v>6.468021150387547E-2</v>
      </c>
      <c r="AF246">
        <f t="shared" si="23"/>
        <v>-1.50479556368712E-2</v>
      </c>
      <c r="AR246">
        <v>89.25</v>
      </c>
      <c r="AS246">
        <f t="shared" si="24"/>
        <v>-1.8192495682655067E-2</v>
      </c>
    </row>
    <row r="247" spans="1:45" x14ac:dyDescent="0.2">
      <c r="A247" s="29">
        <v>36796</v>
      </c>
      <c r="B247">
        <v>65.125</v>
      </c>
      <c r="D247">
        <v>101.563</v>
      </c>
      <c r="F247">
        <v>29.687999999999999</v>
      </c>
      <c r="G247">
        <v>1426.57</v>
      </c>
      <c r="H247">
        <f t="shared" si="22"/>
        <v>-8.196393785143026E-2</v>
      </c>
      <c r="J247">
        <f t="shared" si="20"/>
        <v>1.2835363408372356E-2</v>
      </c>
      <c r="M247">
        <f t="shared" si="21"/>
        <v>2.1991554793635532E-2</v>
      </c>
      <c r="O247">
        <f t="shared" si="19"/>
        <v>-4.239374482497299E-2</v>
      </c>
      <c r="AB247" s="29">
        <v>36796</v>
      </c>
      <c r="AC247">
        <v>29.687999999999999</v>
      </c>
      <c r="AD247">
        <v>1426.57</v>
      </c>
      <c r="AE247">
        <f t="shared" si="23"/>
        <v>3.9203871189844794E-2</v>
      </c>
      <c r="AF247">
        <f t="shared" si="23"/>
        <v>2.1991554793635532E-2</v>
      </c>
      <c r="AR247">
        <v>87.453000000000003</v>
      </c>
      <c r="AS247">
        <f t="shared" si="24"/>
        <v>2.0339914466227165E-2</v>
      </c>
    </row>
    <row r="248" spans="1:45" x14ac:dyDescent="0.2">
      <c r="A248" s="29">
        <v>36795</v>
      </c>
      <c r="B248">
        <v>64.375</v>
      </c>
      <c r="D248">
        <v>104.813</v>
      </c>
      <c r="F248">
        <v>28.5</v>
      </c>
      <c r="G248">
        <v>1427.21</v>
      </c>
      <c r="H248">
        <f t="shared" si="22"/>
        <v>1.1583141089630855E-2</v>
      </c>
      <c r="J248">
        <f t="shared" si="20"/>
        <v>-3.1498514406562865E-2</v>
      </c>
      <c r="M248">
        <f t="shared" si="21"/>
        <v>-4.4852792487826777E-4</v>
      </c>
      <c r="O248">
        <f t="shared" si="19"/>
        <v>-6.3995803147364784E-3</v>
      </c>
      <c r="AB248" s="29">
        <v>36795</v>
      </c>
      <c r="AC248">
        <v>28.5</v>
      </c>
      <c r="AD248">
        <v>1427.21</v>
      </c>
      <c r="AE248">
        <f t="shared" si="23"/>
        <v>4.0838836483691604E-2</v>
      </c>
      <c r="AF248">
        <f t="shared" si="23"/>
        <v>-4.4852792487826777E-4</v>
      </c>
      <c r="AR248">
        <v>85.5</v>
      </c>
      <c r="AS248">
        <f t="shared" si="24"/>
        <v>2.2585130250806888E-2</v>
      </c>
    </row>
    <row r="249" spans="1:45" x14ac:dyDescent="0.2">
      <c r="A249" s="29">
        <v>36794</v>
      </c>
      <c r="B249">
        <v>66</v>
      </c>
      <c r="D249">
        <v>115.98399999999999</v>
      </c>
      <c r="F249">
        <v>29.375</v>
      </c>
      <c r="G249">
        <v>1439.03</v>
      </c>
      <c r="H249">
        <f t="shared" si="22"/>
        <v>-2.4929383042525361E-2</v>
      </c>
      <c r="J249">
        <f t="shared" si="20"/>
        <v>-0.10127444056309759</v>
      </c>
      <c r="M249">
        <f t="shared" si="21"/>
        <v>-8.2477859533797333E-3</v>
      </c>
      <c r="O249">
        <f t="shared" si="19"/>
        <v>-5.6796586941273992E-2</v>
      </c>
      <c r="AB249" s="29">
        <v>36794</v>
      </c>
      <c r="AC249">
        <v>29.375</v>
      </c>
      <c r="AD249">
        <v>1439.03</v>
      </c>
      <c r="AE249">
        <f t="shared" si="23"/>
        <v>-3.0239885189718235E-2</v>
      </c>
      <c r="AF249">
        <f t="shared" si="23"/>
        <v>-8.2477859533797333E-3</v>
      </c>
      <c r="AR249">
        <v>84.438000000000002</v>
      </c>
      <c r="AS249">
        <f t="shared" si="24"/>
        <v>1.2498838700228816E-2</v>
      </c>
    </row>
    <row r="250" spans="1:45" x14ac:dyDescent="0.2">
      <c r="A250" s="29">
        <v>36791</v>
      </c>
      <c r="B250">
        <v>68.625</v>
      </c>
      <c r="D250">
        <v>115.5</v>
      </c>
      <c r="F250">
        <v>30</v>
      </c>
      <c r="G250">
        <v>1448.72</v>
      </c>
      <c r="H250">
        <f t="shared" si="22"/>
        <v>-3.9002157803269204E-2</v>
      </c>
      <c r="J250">
        <f t="shared" si="20"/>
        <v>4.1817205966736054E-3</v>
      </c>
      <c r="M250">
        <f t="shared" si="21"/>
        <v>-6.7111324520519183E-3</v>
      </c>
      <c r="O250">
        <f t="shared" si="19"/>
        <v>-2.0976767518653579E-2</v>
      </c>
      <c r="AB250" s="29">
        <v>36791</v>
      </c>
      <c r="AC250">
        <v>30</v>
      </c>
      <c r="AD250">
        <v>1448.72</v>
      </c>
      <c r="AE250">
        <f t="shared" si="23"/>
        <v>-2.1053409197832381E-2</v>
      </c>
      <c r="AF250">
        <f t="shared" si="23"/>
        <v>-6.7111324520519183E-3</v>
      </c>
      <c r="AR250">
        <v>83</v>
      </c>
      <c r="AS250">
        <f t="shared" si="24"/>
        <v>1.717692944588781E-2</v>
      </c>
    </row>
    <row r="251" spans="1:45" x14ac:dyDescent="0.2">
      <c r="A251" s="29">
        <v>36790</v>
      </c>
      <c r="B251">
        <v>70</v>
      </c>
      <c r="D251">
        <v>110.625</v>
      </c>
      <c r="F251">
        <v>30</v>
      </c>
      <c r="G251">
        <v>1449.05</v>
      </c>
      <c r="H251">
        <f t="shared" si="22"/>
        <v>-1.9838342219664327E-2</v>
      </c>
      <c r="J251">
        <f t="shared" si="20"/>
        <v>4.3124426633754619E-2</v>
      </c>
      <c r="M251">
        <f t="shared" si="21"/>
        <v>-2.2776134850355269E-4</v>
      </c>
      <c r="O251">
        <f t="shared" si="19"/>
        <v>6.4429582108319842E-3</v>
      </c>
      <c r="AB251" s="29">
        <v>36790</v>
      </c>
      <c r="AC251">
        <v>30</v>
      </c>
      <c r="AD251">
        <v>1449.05</v>
      </c>
      <c r="AE251">
        <f t="shared" si="23"/>
        <v>0</v>
      </c>
      <c r="AF251">
        <f t="shared" si="23"/>
        <v>-2.2776134850355269E-4</v>
      </c>
      <c r="AR251">
        <v>80.75</v>
      </c>
      <c r="AS251">
        <f t="shared" si="24"/>
        <v>2.7482645693832099E-2</v>
      </c>
    </row>
    <row r="252" spans="1:45" x14ac:dyDescent="0.2">
      <c r="A252" s="29">
        <v>36789</v>
      </c>
      <c r="B252">
        <v>67.313000000000002</v>
      </c>
      <c r="D252">
        <v>112.063</v>
      </c>
      <c r="F252">
        <v>30.375</v>
      </c>
      <c r="G252">
        <v>1451.34</v>
      </c>
      <c r="H252">
        <f t="shared" si="22"/>
        <v>3.9141859119485083E-2</v>
      </c>
      <c r="J252">
        <f t="shared" si="20"/>
        <v>-1.2915109823177185E-2</v>
      </c>
      <c r="M252">
        <f t="shared" si="21"/>
        <v>-1.5790983115047408E-3</v>
      </c>
      <c r="O252">
        <f t="shared" si="19"/>
        <v>1.7412750549495117E-2</v>
      </c>
      <c r="AB252" s="29">
        <v>36789</v>
      </c>
      <c r="AC252">
        <v>30.375</v>
      </c>
      <c r="AD252">
        <v>1451.34</v>
      </c>
      <c r="AE252">
        <f t="shared" si="23"/>
        <v>-1.2422519998557209E-2</v>
      </c>
      <c r="AF252">
        <f t="shared" si="23"/>
        <v>-1.5790983115047408E-3</v>
      </c>
      <c r="AR252">
        <v>82.171999999999997</v>
      </c>
      <c r="AS252">
        <f t="shared" si="24"/>
        <v>-1.7456649327498755E-2</v>
      </c>
    </row>
    <row r="253" spans="1:45" x14ac:dyDescent="0.2">
      <c r="A253" s="29">
        <v>36788</v>
      </c>
      <c r="B253">
        <v>68.875</v>
      </c>
      <c r="D253">
        <v>104.188</v>
      </c>
      <c r="F253">
        <v>31.125</v>
      </c>
      <c r="G253">
        <v>1459.9</v>
      </c>
      <c r="H253">
        <f t="shared" si="22"/>
        <v>-2.2939884543204756E-2</v>
      </c>
      <c r="J253">
        <f t="shared" si="20"/>
        <v>7.2864253611581317E-2</v>
      </c>
      <c r="M253">
        <f t="shared" si="21"/>
        <v>-5.8806726128389723E-3</v>
      </c>
      <c r="O253">
        <f t="shared" si="19"/>
        <v>1.7049737628469879E-2</v>
      </c>
      <c r="AB253" s="29">
        <v>36788</v>
      </c>
      <c r="AC253">
        <v>31.125</v>
      </c>
      <c r="AD253">
        <v>1459.9</v>
      </c>
      <c r="AE253">
        <f t="shared" si="23"/>
        <v>-2.4391453124159124E-2</v>
      </c>
      <c r="AF253">
        <f t="shared" si="23"/>
        <v>-5.8806726128389723E-3</v>
      </c>
      <c r="AR253">
        <v>84.875</v>
      </c>
      <c r="AS253">
        <f t="shared" si="24"/>
        <v>-3.2364974448595533E-2</v>
      </c>
    </row>
    <row r="254" spans="1:45" x14ac:dyDescent="0.2">
      <c r="A254" s="29">
        <v>36787</v>
      </c>
      <c r="B254">
        <v>70.063000000000002</v>
      </c>
      <c r="D254">
        <v>88.375</v>
      </c>
      <c r="F254">
        <v>30.687999999999999</v>
      </c>
      <c r="G254">
        <v>1444.51</v>
      </c>
      <c r="H254">
        <f t="shared" si="22"/>
        <v>-1.7101569819116525E-2</v>
      </c>
      <c r="J254">
        <f t="shared" si="20"/>
        <v>0.16460783532295248</v>
      </c>
      <c r="M254">
        <f t="shared" si="21"/>
        <v>1.0597776512945854E-2</v>
      </c>
      <c r="O254">
        <f t="shared" si="19"/>
        <v>5.8745784967698396E-2</v>
      </c>
      <c r="AB254" s="29">
        <v>36787</v>
      </c>
      <c r="AC254">
        <v>30.687999999999999</v>
      </c>
      <c r="AD254">
        <v>1444.51</v>
      </c>
      <c r="AE254">
        <f t="shared" si="23"/>
        <v>1.4139656083843931E-2</v>
      </c>
      <c r="AF254">
        <f t="shared" si="23"/>
        <v>1.0597776512945854E-2</v>
      </c>
      <c r="AR254">
        <v>89.625</v>
      </c>
      <c r="AS254">
        <f t="shared" si="24"/>
        <v>-5.4454713040924259E-2</v>
      </c>
    </row>
    <row r="255" spans="1:45" x14ac:dyDescent="0.2">
      <c r="A255" s="29">
        <v>36784</v>
      </c>
      <c r="B255">
        <v>73.563000000000002</v>
      </c>
      <c r="D255">
        <v>95.5</v>
      </c>
      <c r="F255">
        <v>32.063000000000002</v>
      </c>
      <c r="G255">
        <v>1465.81</v>
      </c>
      <c r="H255">
        <f t="shared" si="22"/>
        <v>-4.8747344646577651E-2</v>
      </c>
      <c r="J255">
        <f t="shared" si="20"/>
        <v>-7.7537123269947744E-2</v>
      </c>
      <c r="M255">
        <f t="shared" si="21"/>
        <v>-1.4637826988615977E-2</v>
      </c>
      <c r="O255">
        <f t="shared" si="19"/>
        <v>-6.0764491209648219E-2</v>
      </c>
      <c r="AB255" s="29">
        <v>36784</v>
      </c>
      <c r="AC255">
        <v>32.063000000000002</v>
      </c>
      <c r="AD255">
        <v>1465.81</v>
      </c>
      <c r="AE255">
        <f t="shared" si="23"/>
        <v>-4.3831018650277366E-2</v>
      </c>
      <c r="AF255">
        <f t="shared" si="23"/>
        <v>-1.4637826988615977E-2</v>
      </c>
      <c r="AR255">
        <v>89.438000000000002</v>
      </c>
      <c r="AS255">
        <f t="shared" si="24"/>
        <v>2.0886511225849187E-3</v>
      </c>
    </row>
    <row r="256" spans="1:45" x14ac:dyDescent="0.2">
      <c r="A256" s="29">
        <v>36783</v>
      </c>
      <c r="B256">
        <v>68.5</v>
      </c>
      <c r="D256">
        <v>100.125</v>
      </c>
      <c r="F256">
        <v>32.75</v>
      </c>
      <c r="G256">
        <v>1480.87</v>
      </c>
      <c r="H256">
        <f t="shared" si="22"/>
        <v>7.1308436670593153E-2</v>
      </c>
      <c r="J256">
        <f t="shared" si="20"/>
        <v>-4.7293157901838731E-2</v>
      </c>
      <c r="M256">
        <f t="shared" si="21"/>
        <v>-1.0221762205412184E-2</v>
      </c>
      <c r="O256">
        <f t="shared" si="19"/>
        <v>2.1802924202572998E-2</v>
      </c>
      <c r="AB256" s="29">
        <v>36783</v>
      </c>
      <c r="AC256">
        <v>32.75</v>
      </c>
      <c r="AD256">
        <v>1480.87</v>
      </c>
      <c r="AE256">
        <f t="shared" si="23"/>
        <v>-2.1200244729955828E-2</v>
      </c>
      <c r="AF256">
        <f t="shared" si="23"/>
        <v>-1.0221762205412184E-2</v>
      </c>
      <c r="AR256">
        <v>86.703000000000003</v>
      </c>
      <c r="AS256">
        <f t="shared" si="24"/>
        <v>3.1057162533216678E-2</v>
      </c>
    </row>
    <row r="257" spans="1:45" x14ac:dyDescent="0.2">
      <c r="A257" s="29">
        <v>36782</v>
      </c>
      <c r="B257">
        <v>72.75</v>
      </c>
      <c r="D257">
        <v>101.625</v>
      </c>
      <c r="F257">
        <v>31.937999999999999</v>
      </c>
      <c r="G257">
        <v>1484.91</v>
      </c>
      <c r="H257">
        <f t="shared" si="22"/>
        <v>-6.0195160783422304E-2</v>
      </c>
      <c r="J257">
        <f t="shared" si="20"/>
        <v>-1.4870162479451393E-2</v>
      </c>
      <c r="M257">
        <f t="shared" si="21"/>
        <v>-2.7244114525558855E-3</v>
      </c>
      <c r="O257">
        <f t="shared" ref="O257:O282" si="25">($N$15*H257+$O$15*I257+$P$15*J257)/(1-$O$15)</f>
        <v>-4.1276045262763114E-2</v>
      </c>
      <c r="AB257" s="29">
        <v>36782</v>
      </c>
      <c r="AC257">
        <v>31.937999999999999</v>
      </c>
      <c r="AD257">
        <v>1484.91</v>
      </c>
      <c r="AE257">
        <f t="shared" si="23"/>
        <v>2.5106438662585641E-2</v>
      </c>
      <c r="AF257">
        <f t="shared" si="23"/>
        <v>-2.7244114525558855E-3</v>
      </c>
      <c r="AR257">
        <v>86.688000000000002</v>
      </c>
      <c r="AS257">
        <f t="shared" si="24"/>
        <v>1.7301936129806292E-4</v>
      </c>
    </row>
    <row r="258" spans="1:45" x14ac:dyDescent="0.2">
      <c r="A258" s="29">
        <v>36781</v>
      </c>
      <c r="B258">
        <v>65.733999999999995</v>
      </c>
      <c r="D258">
        <v>102</v>
      </c>
      <c r="F258">
        <v>32.938000000000002</v>
      </c>
      <c r="G258">
        <v>1481.99</v>
      </c>
      <c r="H258">
        <f t="shared" si="22"/>
        <v>0.10141261061477667</v>
      </c>
      <c r="J258">
        <f t="shared" si="20"/>
        <v>-3.6832454162964048E-3</v>
      </c>
      <c r="M258">
        <f t="shared" si="21"/>
        <v>1.9683851446321956E-3</v>
      </c>
      <c r="O258">
        <f t="shared" si="25"/>
        <v>5.7544530848731942E-2</v>
      </c>
      <c r="AB258" s="29">
        <v>36781</v>
      </c>
      <c r="AC258">
        <v>32.938000000000002</v>
      </c>
      <c r="AD258">
        <v>1481.99</v>
      </c>
      <c r="AE258">
        <f t="shared" si="23"/>
        <v>-3.0830483033341408E-2</v>
      </c>
      <c r="AF258">
        <f t="shared" si="23"/>
        <v>1.9683851446321956E-3</v>
      </c>
      <c r="AR258">
        <v>86.125</v>
      </c>
      <c r="AS258">
        <f t="shared" si="24"/>
        <v>6.5157365688620957E-3</v>
      </c>
    </row>
    <row r="259" spans="1:45" x14ac:dyDescent="0.2">
      <c r="A259" s="29">
        <v>36780</v>
      </c>
      <c r="B259">
        <v>57.375</v>
      </c>
      <c r="D259">
        <v>116.063</v>
      </c>
      <c r="F259">
        <v>33.563000000000002</v>
      </c>
      <c r="G259">
        <v>1489.26</v>
      </c>
      <c r="H259">
        <f t="shared" si="22"/>
        <v>0.13600762705611597</v>
      </c>
      <c r="J259">
        <f t="shared" si="20"/>
        <v>-0.12916033384306808</v>
      </c>
      <c r="M259">
        <f t="shared" si="21"/>
        <v>-4.8935730806359563E-3</v>
      </c>
      <c r="O259">
        <f t="shared" si="25"/>
        <v>2.5323821819441844E-2</v>
      </c>
      <c r="AB259" s="29">
        <v>36780</v>
      </c>
      <c r="AC259">
        <v>33.563000000000002</v>
      </c>
      <c r="AD259">
        <v>1489.26</v>
      </c>
      <c r="AE259">
        <f t="shared" si="23"/>
        <v>-1.8797263285242352E-2</v>
      </c>
      <c r="AF259">
        <f t="shared" si="23"/>
        <v>-4.8935730806359563E-3</v>
      </c>
      <c r="AR259">
        <v>86.016000000000005</v>
      </c>
      <c r="AS259">
        <f t="shared" si="24"/>
        <v>1.266403873192974E-3</v>
      </c>
    </row>
    <row r="260" spans="1:45" x14ac:dyDescent="0.2">
      <c r="A260" s="29">
        <v>36777</v>
      </c>
      <c r="B260">
        <v>63.125</v>
      </c>
      <c r="D260">
        <v>127.39100000000001</v>
      </c>
      <c r="F260">
        <v>31.437999999999999</v>
      </c>
      <c r="G260">
        <v>1494.5</v>
      </c>
      <c r="H260">
        <f t="shared" si="22"/>
        <v>-9.5508219214814644E-2</v>
      </c>
      <c r="J260">
        <f t="shared" si="20"/>
        <v>-9.3127949873271984E-2</v>
      </c>
      <c r="M260">
        <f t="shared" si="21"/>
        <v>-3.5123504484163839E-3</v>
      </c>
      <c r="O260">
        <f t="shared" si="25"/>
        <v>-9.4514670569960449E-2</v>
      </c>
      <c r="AB260" s="29">
        <v>36777</v>
      </c>
      <c r="AC260">
        <v>31.437999999999999</v>
      </c>
      <c r="AD260">
        <v>1494.5</v>
      </c>
      <c r="AE260">
        <f t="shared" si="23"/>
        <v>6.5406917431212935E-2</v>
      </c>
      <c r="AF260">
        <f t="shared" si="23"/>
        <v>-3.5123504484163839E-3</v>
      </c>
      <c r="AR260">
        <v>84.218999999999994</v>
      </c>
      <c r="AS260">
        <f t="shared" si="24"/>
        <v>2.1112776461553382E-2</v>
      </c>
    </row>
    <row r="261" spans="1:45" x14ac:dyDescent="0.2">
      <c r="A261" s="29">
        <v>36776</v>
      </c>
      <c r="B261">
        <v>68</v>
      </c>
      <c r="D261">
        <v>136</v>
      </c>
      <c r="F261">
        <v>33.188000000000002</v>
      </c>
      <c r="G261">
        <v>1502.51</v>
      </c>
      <c r="H261">
        <f t="shared" si="22"/>
        <v>-7.439081758058276E-2</v>
      </c>
      <c r="J261">
        <f t="shared" si="20"/>
        <v>-6.5393788735440758E-2</v>
      </c>
      <c r="M261">
        <f t="shared" si="21"/>
        <v>-5.3453402372651377E-3</v>
      </c>
      <c r="O261">
        <f t="shared" si="25"/>
        <v>-7.0635366186577273E-2</v>
      </c>
      <c r="AB261" s="29">
        <v>36776</v>
      </c>
      <c r="AC261">
        <v>33.188000000000002</v>
      </c>
      <c r="AD261">
        <v>1502.51</v>
      </c>
      <c r="AE261">
        <f t="shared" si="23"/>
        <v>-5.4171012495992751E-2</v>
      </c>
      <c r="AF261">
        <f t="shared" si="23"/>
        <v>-5.3453402372651377E-3</v>
      </c>
      <c r="AR261">
        <v>83.875</v>
      </c>
      <c r="AS261">
        <f t="shared" si="24"/>
        <v>4.0929537072304728E-3</v>
      </c>
    </row>
    <row r="262" spans="1:45" x14ac:dyDescent="0.2">
      <c r="A262" s="29">
        <v>36775</v>
      </c>
      <c r="B262">
        <v>67</v>
      </c>
      <c r="D262">
        <v>130.375</v>
      </c>
      <c r="F262">
        <v>34.5</v>
      </c>
      <c r="G262">
        <v>1492.25</v>
      </c>
      <c r="H262">
        <f t="shared" si="22"/>
        <v>1.4815085785140682E-2</v>
      </c>
      <c r="J262">
        <f t="shared" si="20"/>
        <v>4.2239972415115477E-2</v>
      </c>
      <c r="M262">
        <f t="shared" si="21"/>
        <v>6.8519949124984467E-3</v>
      </c>
      <c r="O262">
        <f t="shared" si="25"/>
        <v>2.6262512540984998E-2</v>
      </c>
      <c r="AB262" s="29">
        <v>36775</v>
      </c>
      <c r="AC262">
        <v>34.5</v>
      </c>
      <c r="AD262">
        <v>1492.25</v>
      </c>
      <c r="AE262">
        <f t="shared" si="23"/>
        <v>-3.8770959235275147E-2</v>
      </c>
      <c r="AF262">
        <f t="shared" si="23"/>
        <v>6.8519949124984467E-3</v>
      </c>
      <c r="AR262">
        <v>84.375</v>
      </c>
      <c r="AS262">
        <f t="shared" si="24"/>
        <v>-5.9435539008479941E-3</v>
      </c>
    </row>
    <row r="263" spans="1:45" x14ac:dyDescent="0.2">
      <c r="A263" s="29">
        <v>36774</v>
      </c>
      <c r="B263">
        <v>66</v>
      </c>
      <c r="D263">
        <v>133</v>
      </c>
      <c r="F263">
        <v>32.375</v>
      </c>
      <c r="G263">
        <v>1507.08</v>
      </c>
      <c r="H263">
        <f t="shared" si="22"/>
        <v>1.5037877364540502E-2</v>
      </c>
      <c r="J263">
        <f t="shared" si="20"/>
        <v>-1.9934214900817253E-2</v>
      </c>
      <c r="M263">
        <f t="shared" si="21"/>
        <v>-9.8889557692763558E-3</v>
      </c>
      <c r="O263">
        <f t="shared" si="25"/>
        <v>4.4017017588984466E-4</v>
      </c>
      <c r="AB263" s="29">
        <v>36774</v>
      </c>
      <c r="AC263">
        <v>32.375</v>
      </c>
      <c r="AD263">
        <v>1507.08</v>
      </c>
      <c r="AE263">
        <f t="shared" si="23"/>
        <v>6.3572804017612339E-2</v>
      </c>
      <c r="AF263">
        <f t="shared" si="23"/>
        <v>-9.8889557692763558E-3</v>
      </c>
      <c r="AR263">
        <v>85</v>
      </c>
      <c r="AS263">
        <f t="shared" si="24"/>
        <v>-7.3801072976225337E-3</v>
      </c>
    </row>
    <row r="264" spans="1:45" x14ac:dyDescent="0.2">
      <c r="A264" s="29">
        <v>36770</v>
      </c>
      <c r="B264">
        <v>64.938000000000002</v>
      </c>
      <c r="D264">
        <v>144</v>
      </c>
      <c r="F264">
        <v>32.688000000000002</v>
      </c>
      <c r="G264">
        <v>1520.77</v>
      </c>
      <c r="H264">
        <f t="shared" si="22"/>
        <v>1.6221773485361041E-2</v>
      </c>
      <c r="J264">
        <f t="shared" si="20"/>
        <v>-7.9464171354246799E-2</v>
      </c>
      <c r="M264">
        <f t="shared" si="21"/>
        <v>-9.0427817018565709E-3</v>
      </c>
      <c r="O264">
        <f t="shared" si="25"/>
        <v>-2.3718513593819376E-2</v>
      </c>
      <c r="AB264" s="29">
        <v>36770</v>
      </c>
      <c r="AC264">
        <v>32.688000000000002</v>
      </c>
      <c r="AD264">
        <v>1520.77</v>
      </c>
      <c r="AE264">
        <f t="shared" si="23"/>
        <v>-9.6215180555645208E-3</v>
      </c>
      <c r="AF264">
        <f t="shared" si="23"/>
        <v>-9.0427817018565709E-3</v>
      </c>
      <c r="AR264">
        <v>85.328000000000003</v>
      </c>
      <c r="AS264">
        <f t="shared" si="24"/>
        <v>-3.8513973679299971E-3</v>
      </c>
    </row>
    <row r="265" spans="1:45" x14ac:dyDescent="0.2">
      <c r="A265" s="29">
        <v>36769</v>
      </c>
      <c r="B265">
        <v>70.25</v>
      </c>
      <c r="D265">
        <v>149.81299999999999</v>
      </c>
      <c r="F265">
        <v>31.75</v>
      </c>
      <c r="G265">
        <v>1517.68</v>
      </c>
      <c r="H265">
        <f t="shared" si="22"/>
        <v>-7.86273396727908E-2</v>
      </c>
      <c r="J265">
        <f t="shared" si="20"/>
        <v>-3.95745501182478E-2</v>
      </c>
      <c r="M265">
        <f t="shared" si="21"/>
        <v>2.0339324756023154E-3</v>
      </c>
      <c r="O265">
        <f t="shared" si="25"/>
        <v>-6.2326307910332654E-2</v>
      </c>
      <c r="AB265" s="29">
        <v>36769</v>
      </c>
      <c r="AC265">
        <v>31.75</v>
      </c>
      <c r="AD265">
        <v>1517.68</v>
      </c>
      <c r="AE265">
        <f t="shared" si="23"/>
        <v>2.911531273656565E-2</v>
      </c>
      <c r="AF265">
        <f t="shared" si="23"/>
        <v>2.0339324756023154E-3</v>
      </c>
      <c r="AR265">
        <v>84.875</v>
      </c>
      <c r="AS265">
        <f t="shared" si="24"/>
        <v>5.3230679793862083E-3</v>
      </c>
    </row>
    <row r="266" spans="1:45" x14ac:dyDescent="0.2">
      <c r="A266" s="29">
        <v>36768</v>
      </c>
      <c r="B266">
        <v>59.438000000000002</v>
      </c>
      <c r="D266">
        <v>134.5</v>
      </c>
      <c r="F266">
        <v>31.062999999999999</v>
      </c>
      <c r="G266">
        <v>1502.59</v>
      </c>
      <c r="H266">
        <f t="shared" si="22"/>
        <v>0.16712655574594176</v>
      </c>
      <c r="J266">
        <f t="shared" si="20"/>
        <v>0.10782365065235465</v>
      </c>
      <c r="M266">
        <f t="shared" si="21"/>
        <v>9.9925672624812997E-3</v>
      </c>
      <c r="O266">
        <f t="shared" si="25"/>
        <v>0.14237291969168586</v>
      </c>
      <c r="AB266" s="29">
        <v>36768</v>
      </c>
      <c r="AC266">
        <v>31.062999999999999</v>
      </c>
      <c r="AD266">
        <v>1502.59</v>
      </c>
      <c r="AE266">
        <f t="shared" si="23"/>
        <v>2.1875325031924929E-2</v>
      </c>
      <c r="AF266">
        <f t="shared" si="23"/>
        <v>9.9925672624812997E-3</v>
      </c>
      <c r="AR266">
        <v>84.875</v>
      </c>
      <c r="AS266">
        <f t="shared" si="24"/>
        <v>0</v>
      </c>
    </row>
    <row r="267" spans="1:45" x14ac:dyDescent="0.2">
      <c r="A267" s="29">
        <v>36767</v>
      </c>
      <c r="B267">
        <v>61.875</v>
      </c>
      <c r="D267">
        <v>131</v>
      </c>
      <c r="F267">
        <v>31.5</v>
      </c>
      <c r="G267">
        <v>1509.84</v>
      </c>
      <c r="H267">
        <f t="shared" si="22"/>
        <v>-4.0182468420940934E-2</v>
      </c>
      <c r="J267">
        <f t="shared" si="20"/>
        <v>2.6366875840742349E-2</v>
      </c>
      <c r="M267">
        <f t="shared" si="21"/>
        <v>-4.8133991480752399E-3</v>
      </c>
      <c r="O267">
        <f t="shared" si="25"/>
        <v>-1.2404094917933033E-2</v>
      </c>
      <c r="AB267" s="29">
        <v>36767</v>
      </c>
      <c r="AC267">
        <v>31.5</v>
      </c>
      <c r="AD267">
        <v>1509.84</v>
      </c>
      <c r="AE267">
        <f t="shared" si="23"/>
        <v>-1.3970145524811628E-2</v>
      </c>
      <c r="AF267">
        <f t="shared" si="23"/>
        <v>-4.8133991480752399E-3</v>
      </c>
      <c r="AR267">
        <v>86.25</v>
      </c>
      <c r="AS267">
        <f t="shared" si="24"/>
        <v>-1.6070470032608922E-2</v>
      </c>
    </row>
    <row r="268" spans="1:45" x14ac:dyDescent="0.2">
      <c r="A268" s="29">
        <v>36766</v>
      </c>
      <c r="B268">
        <v>52.75</v>
      </c>
      <c r="D268">
        <v>133</v>
      </c>
      <c r="F268">
        <v>31.25</v>
      </c>
      <c r="G268">
        <v>1514.09</v>
      </c>
      <c r="H268">
        <f t="shared" si="22"/>
        <v>0.15955244853267855</v>
      </c>
      <c r="J268">
        <f t="shared" si="20"/>
        <v>-1.515180502060222E-2</v>
      </c>
      <c r="M268">
        <f t="shared" si="21"/>
        <v>-2.8109134790511624E-3</v>
      </c>
      <c r="O268">
        <f t="shared" si="25"/>
        <v>8.6629115303662643E-2</v>
      </c>
      <c r="AB268" s="29">
        <v>36766</v>
      </c>
      <c r="AC268">
        <v>31.25</v>
      </c>
      <c r="AD268">
        <v>1514.09</v>
      </c>
      <c r="AE268">
        <f t="shared" si="23"/>
        <v>7.9681696491768813E-3</v>
      </c>
      <c r="AF268">
        <f t="shared" si="23"/>
        <v>-2.8109134790511624E-3</v>
      </c>
      <c r="AR268">
        <v>86.625</v>
      </c>
      <c r="AS268">
        <f t="shared" si="24"/>
        <v>-4.3384015985981298E-3</v>
      </c>
    </row>
    <row r="269" spans="1:45" x14ac:dyDescent="0.2">
      <c r="A269" s="29">
        <v>36763</v>
      </c>
      <c r="B269">
        <v>47.75</v>
      </c>
      <c r="D269">
        <v>133</v>
      </c>
      <c r="F269">
        <v>30.687999999999999</v>
      </c>
      <c r="G269">
        <v>1506.45</v>
      </c>
      <c r="H269">
        <f t="shared" si="22"/>
        <v>9.9584705429436718E-2</v>
      </c>
      <c r="J269">
        <f t="shared" si="20"/>
        <v>0</v>
      </c>
      <c r="M269">
        <f t="shared" si="21"/>
        <v>5.0587089014771363E-3</v>
      </c>
      <c r="O269">
        <f t="shared" si="25"/>
        <v>5.8017036006153634E-2</v>
      </c>
      <c r="AB269" s="29">
        <v>36763</v>
      </c>
      <c r="AC269">
        <v>30.687999999999999</v>
      </c>
      <c r="AD269">
        <v>1506.45</v>
      </c>
      <c r="AE269">
        <f t="shared" si="23"/>
        <v>1.8147677481382855E-2</v>
      </c>
      <c r="AF269">
        <f t="shared" si="23"/>
        <v>5.0587089014771363E-3</v>
      </c>
      <c r="AR269">
        <v>84.875</v>
      </c>
      <c r="AS269">
        <f t="shared" si="24"/>
        <v>2.0408871631207033E-2</v>
      </c>
    </row>
    <row r="270" spans="1:45" x14ac:dyDescent="0.2">
      <c r="A270" s="29">
        <v>36762</v>
      </c>
      <c r="B270">
        <v>49.625</v>
      </c>
      <c r="D270">
        <v>131</v>
      </c>
      <c r="F270">
        <v>30.625</v>
      </c>
      <c r="G270">
        <v>1508.31</v>
      </c>
      <c r="H270">
        <f t="shared" si="22"/>
        <v>-3.8515672080615189E-2</v>
      </c>
      <c r="J270">
        <f t="shared" si="20"/>
        <v>1.5151805020602246E-2</v>
      </c>
      <c r="M270">
        <f t="shared" si="21"/>
        <v>-1.2339292255436631E-3</v>
      </c>
      <c r="O270">
        <f t="shared" si="25"/>
        <v>-1.6114321016663567E-2</v>
      </c>
      <c r="AB270" s="29">
        <v>36762</v>
      </c>
      <c r="AC270">
        <v>30.625</v>
      </c>
      <c r="AD270">
        <v>1508.31</v>
      </c>
      <c r="AE270">
        <f t="shared" si="23"/>
        <v>2.0550298361365596E-3</v>
      </c>
      <c r="AF270">
        <f t="shared" si="23"/>
        <v>-1.2339292255436631E-3</v>
      </c>
      <c r="AR270">
        <v>86</v>
      </c>
      <c r="AS270">
        <f t="shared" si="24"/>
        <v>-1.3167710374647557E-2</v>
      </c>
    </row>
    <row r="271" spans="1:45" x14ac:dyDescent="0.2">
      <c r="A271" s="29">
        <v>36761</v>
      </c>
      <c r="B271">
        <v>49.609000000000002</v>
      </c>
      <c r="D271">
        <v>137.875</v>
      </c>
      <c r="F271">
        <v>31</v>
      </c>
      <c r="G271">
        <v>1505.97</v>
      </c>
      <c r="H271">
        <f t="shared" si="22"/>
        <v>3.2247012392223401E-4</v>
      </c>
      <c r="J271">
        <f t="shared" si="20"/>
        <v>-5.1150154372514973E-2</v>
      </c>
      <c r="M271">
        <f t="shared" si="21"/>
        <v>1.5526098902997343E-3</v>
      </c>
      <c r="O271">
        <f t="shared" si="25"/>
        <v>-2.1162727127906272E-2</v>
      </c>
      <c r="AB271" s="29">
        <v>36761</v>
      </c>
      <c r="AC271">
        <v>31</v>
      </c>
      <c r="AD271">
        <v>1505.97</v>
      </c>
      <c r="AE271">
        <f t="shared" si="23"/>
        <v>-1.2170535620255179E-2</v>
      </c>
      <c r="AF271">
        <f t="shared" si="23"/>
        <v>1.5526098902997343E-3</v>
      </c>
      <c r="AR271">
        <v>90</v>
      </c>
      <c r="AS271">
        <f t="shared" si="24"/>
        <v>-4.5462374076757288E-2</v>
      </c>
    </row>
    <row r="272" spans="1:45" x14ac:dyDescent="0.2">
      <c r="A272" s="29">
        <v>36760</v>
      </c>
      <c r="B272">
        <v>45.125</v>
      </c>
      <c r="D272">
        <v>131.25</v>
      </c>
      <c r="F272">
        <v>29.75</v>
      </c>
      <c r="G272">
        <v>1498.13</v>
      </c>
      <c r="H272">
        <f t="shared" si="22"/>
        <v>9.4735852230387232E-2</v>
      </c>
      <c r="J272">
        <f t="shared" ref="J272:J289" si="26">LN(D271/D272)</f>
        <v>4.9243576101933501E-2</v>
      </c>
      <c r="M272">
        <f t="shared" ref="M272:M289" si="27">LN(G271/G272)</f>
        <v>5.2195451544074381E-3</v>
      </c>
      <c r="O272">
        <f t="shared" si="25"/>
        <v>7.5746913243564612E-2</v>
      </c>
      <c r="AB272" s="29">
        <v>36760</v>
      </c>
      <c r="AC272">
        <v>29.75</v>
      </c>
      <c r="AD272">
        <v>1498.13</v>
      </c>
      <c r="AE272">
        <f t="shared" si="23"/>
        <v>4.1158072493507551E-2</v>
      </c>
      <c r="AF272">
        <f t="shared" si="23"/>
        <v>5.2195451544074381E-3</v>
      </c>
      <c r="AR272">
        <v>87.5</v>
      </c>
      <c r="AS272">
        <f t="shared" si="24"/>
        <v>2.8170876966696224E-2</v>
      </c>
    </row>
    <row r="273" spans="1:45" x14ac:dyDescent="0.2">
      <c r="A273" s="29">
        <v>36759</v>
      </c>
      <c r="B273">
        <v>48.25</v>
      </c>
      <c r="D273">
        <v>142</v>
      </c>
      <c r="F273">
        <v>29.5</v>
      </c>
      <c r="G273">
        <v>1499.48</v>
      </c>
      <c r="H273">
        <f t="shared" ref="H273:H282" si="28">LN(B272/B273)</f>
        <v>-6.6959411131949947E-2</v>
      </c>
      <c r="J273">
        <f t="shared" si="26"/>
        <v>-7.8723156129527558E-2</v>
      </c>
      <c r="M273">
        <f t="shared" si="27"/>
        <v>-9.0071763256075951E-4</v>
      </c>
      <c r="O273">
        <f t="shared" si="25"/>
        <v>-7.186971800217104E-2</v>
      </c>
      <c r="AB273" s="29">
        <v>36759</v>
      </c>
      <c r="AC273">
        <v>29.5</v>
      </c>
      <c r="AD273">
        <v>1499.48</v>
      </c>
      <c r="AE273">
        <f t="shared" ref="AE273:AF336" si="29">LN(AC272/AC273)</f>
        <v>8.4388686458646035E-3</v>
      </c>
      <c r="AF273">
        <f t="shared" si="29"/>
        <v>-9.0071763256075951E-4</v>
      </c>
      <c r="AR273">
        <v>87.875</v>
      </c>
      <c r="AS273">
        <f t="shared" ref="AS273:AS336" si="30">LN(AR272/AR273)</f>
        <v>-4.2765567672601937E-3</v>
      </c>
    </row>
    <row r="274" spans="1:45" x14ac:dyDescent="0.2">
      <c r="A274" s="29">
        <v>36756</v>
      </c>
      <c r="B274">
        <v>49.125</v>
      </c>
      <c r="D274">
        <v>152</v>
      </c>
      <c r="F274">
        <v>27.937999999999999</v>
      </c>
      <c r="G274">
        <v>1491.72</v>
      </c>
      <c r="H274">
        <f t="shared" si="28"/>
        <v>-1.7972242404430367E-2</v>
      </c>
      <c r="J274">
        <f t="shared" si="26"/>
        <v>-6.8053463245015641E-2</v>
      </c>
      <c r="M274">
        <f t="shared" si="27"/>
        <v>5.188564729230679E-3</v>
      </c>
      <c r="O274">
        <f t="shared" si="25"/>
        <v>-3.8876653611339733E-2</v>
      </c>
      <c r="AB274" s="29">
        <v>36756</v>
      </c>
      <c r="AC274">
        <v>27.937999999999999</v>
      </c>
      <c r="AD274">
        <v>1491.72</v>
      </c>
      <c r="AE274">
        <f t="shared" si="29"/>
        <v>5.4402494040415077E-2</v>
      </c>
      <c r="AF274">
        <f t="shared" si="29"/>
        <v>5.188564729230679E-3</v>
      </c>
      <c r="AR274">
        <v>86.938000000000002</v>
      </c>
      <c r="AS274">
        <f t="shared" si="30"/>
        <v>1.0720129205617971E-2</v>
      </c>
    </row>
    <row r="275" spans="1:45" x14ac:dyDescent="0.2">
      <c r="A275" s="29">
        <v>36755</v>
      </c>
      <c r="B275">
        <v>50.719000000000001</v>
      </c>
      <c r="D275">
        <v>153.93799999999999</v>
      </c>
      <c r="F275">
        <v>29.75</v>
      </c>
      <c r="G275">
        <v>1496.07</v>
      </c>
      <c r="H275">
        <f t="shared" si="28"/>
        <v>-3.193252365685248E-2</v>
      </c>
      <c r="J275">
        <f t="shared" si="26"/>
        <v>-1.2669403100662762E-2</v>
      </c>
      <c r="M275">
        <f t="shared" si="27"/>
        <v>-2.9118532919629662E-3</v>
      </c>
      <c r="O275">
        <f t="shared" si="25"/>
        <v>-2.3891901114589539E-2</v>
      </c>
      <c r="AB275" s="29">
        <v>36755</v>
      </c>
      <c r="AC275">
        <v>29.75</v>
      </c>
      <c r="AD275">
        <v>1496.07</v>
      </c>
      <c r="AE275">
        <f t="shared" si="29"/>
        <v>-6.2841362686279698E-2</v>
      </c>
      <c r="AF275">
        <f t="shared" si="29"/>
        <v>-2.9118532919629662E-3</v>
      </c>
      <c r="AR275">
        <v>90</v>
      </c>
      <c r="AS275">
        <f t="shared" si="30"/>
        <v>-3.4614449405054065E-2</v>
      </c>
    </row>
    <row r="276" spans="1:45" x14ac:dyDescent="0.2">
      <c r="A276" s="29">
        <v>36754</v>
      </c>
      <c r="B276">
        <v>46.813000000000002</v>
      </c>
      <c r="D276">
        <v>137.75</v>
      </c>
      <c r="F276">
        <v>28.437999999999999</v>
      </c>
      <c r="G276">
        <v>1479.85</v>
      </c>
      <c r="H276">
        <f t="shared" si="28"/>
        <v>8.0139651718002747E-2</v>
      </c>
      <c r="J276">
        <f t="shared" si="26"/>
        <v>0.11110947591391526</v>
      </c>
      <c r="M276">
        <f t="shared" si="27"/>
        <v>1.0900938613173178E-2</v>
      </c>
      <c r="O276">
        <f t="shared" si="25"/>
        <v>9.3066771487263555E-2</v>
      </c>
      <c r="AB276" s="29">
        <v>36754</v>
      </c>
      <c r="AC276">
        <v>28.437999999999999</v>
      </c>
      <c r="AD276">
        <v>1479.85</v>
      </c>
      <c r="AE276">
        <f t="shared" si="29"/>
        <v>4.5102853017456056E-2</v>
      </c>
      <c r="AF276">
        <f t="shared" si="29"/>
        <v>1.0900938613173178E-2</v>
      </c>
      <c r="AR276">
        <v>84.016000000000005</v>
      </c>
      <c r="AS276">
        <f t="shared" si="30"/>
        <v>6.8802413434761636E-2</v>
      </c>
    </row>
    <row r="277" spans="1:45" x14ac:dyDescent="0.2">
      <c r="A277" s="29">
        <v>36753</v>
      </c>
      <c r="B277">
        <v>45.75</v>
      </c>
      <c r="D277">
        <v>128.48400000000001</v>
      </c>
      <c r="F277">
        <v>29</v>
      </c>
      <c r="G277">
        <v>1484.43</v>
      </c>
      <c r="H277">
        <f t="shared" si="28"/>
        <v>2.2969150406744746E-2</v>
      </c>
      <c r="J277">
        <f t="shared" si="26"/>
        <v>6.9636065068890557E-2</v>
      </c>
      <c r="M277">
        <f t="shared" si="27"/>
        <v>-3.0901288977391401E-3</v>
      </c>
      <c r="O277">
        <f t="shared" si="25"/>
        <v>4.2448395470688419E-2</v>
      </c>
      <c r="AB277" s="29">
        <v>36753</v>
      </c>
      <c r="AC277">
        <v>29</v>
      </c>
      <c r="AD277">
        <v>1484.43</v>
      </c>
      <c r="AE277">
        <f t="shared" si="29"/>
        <v>-1.9569551012291388E-2</v>
      </c>
      <c r="AF277">
        <f t="shared" si="29"/>
        <v>-3.0901288977391401E-3</v>
      </c>
      <c r="AR277">
        <v>82.125</v>
      </c>
      <c r="AS277">
        <f t="shared" si="30"/>
        <v>2.2764780090728919E-2</v>
      </c>
    </row>
    <row r="278" spans="1:45" x14ac:dyDescent="0.2">
      <c r="A278" s="29">
        <v>36752</v>
      </c>
      <c r="B278">
        <v>47.75</v>
      </c>
      <c r="D278">
        <f>(D277+D279)/2</f>
        <v>129.49200000000002</v>
      </c>
      <c r="F278">
        <v>30.5</v>
      </c>
      <c r="G278">
        <v>1491.56</v>
      </c>
      <c r="H278">
        <f t="shared" si="28"/>
        <v>-4.2787275205208981E-2</v>
      </c>
      <c r="J278">
        <f t="shared" si="26"/>
        <v>-7.8147202054636884E-3</v>
      </c>
      <c r="M278">
        <f t="shared" si="27"/>
        <v>-4.7916919359584122E-3</v>
      </c>
      <c r="O278">
        <f t="shared" si="25"/>
        <v>-2.8189374866516168E-2</v>
      </c>
      <c r="AB278" s="29">
        <v>36752</v>
      </c>
      <c r="AC278">
        <v>30.5</v>
      </c>
      <c r="AD278">
        <v>1491.56</v>
      </c>
      <c r="AE278">
        <f t="shared" si="29"/>
        <v>-5.0430853626891967E-2</v>
      </c>
      <c r="AF278">
        <f t="shared" si="29"/>
        <v>-4.7916919359584122E-3</v>
      </c>
      <c r="AR278">
        <v>84.25</v>
      </c>
      <c r="AS278">
        <f t="shared" si="30"/>
        <v>-2.5546092427696562E-2</v>
      </c>
    </row>
    <row r="279" spans="1:45" x14ac:dyDescent="0.2">
      <c r="A279" s="29">
        <v>36749</v>
      </c>
      <c r="B279">
        <v>44.813000000000002</v>
      </c>
      <c r="D279">
        <v>130.5</v>
      </c>
      <c r="F279">
        <v>29.937999999999999</v>
      </c>
      <c r="G279">
        <v>1471.84</v>
      </c>
      <c r="H279">
        <f t="shared" si="28"/>
        <v>6.3480791028029782E-2</v>
      </c>
      <c r="J279">
        <f t="shared" si="26"/>
        <v>-7.754123593151056E-3</v>
      </c>
      <c r="M279">
        <f t="shared" si="27"/>
        <v>1.3309233375264568E-2</v>
      </c>
      <c r="O279">
        <f t="shared" si="25"/>
        <v>3.3746612776459003E-2</v>
      </c>
      <c r="AB279" s="29">
        <v>36749</v>
      </c>
      <c r="AC279">
        <v>29.937999999999999</v>
      </c>
      <c r="AD279">
        <v>1471.84</v>
      </c>
      <c r="AE279">
        <f t="shared" si="29"/>
        <v>1.8598107120321974E-2</v>
      </c>
      <c r="AF279">
        <f t="shared" si="29"/>
        <v>1.3309233375264568E-2</v>
      </c>
      <c r="AR279">
        <v>80.25</v>
      </c>
      <c r="AS279">
        <f t="shared" si="30"/>
        <v>4.8641807222345866E-2</v>
      </c>
    </row>
    <row r="280" spans="1:45" x14ac:dyDescent="0.2">
      <c r="A280" s="29">
        <v>36748</v>
      </c>
      <c r="B280">
        <v>42.625</v>
      </c>
      <c r="D280">
        <v>132.875</v>
      </c>
      <c r="F280">
        <v>30.562999999999999</v>
      </c>
      <c r="G280">
        <v>1460.25</v>
      </c>
      <c r="H280">
        <f t="shared" si="28"/>
        <v>5.005734029502848E-2</v>
      </c>
      <c r="J280">
        <f t="shared" si="26"/>
        <v>-1.8035609899363852E-2</v>
      </c>
      <c r="M280">
        <f t="shared" si="27"/>
        <v>7.9056648084282304E-3</v>
      </c>
      <c r="O280">
        <f t="shared" si="25"/>
        <v>2.163464996792621E-2</v>
      </c>
      <c r="AB280" s="29">
        <v>36748</v>
      </c>
      <c r="AC280">
        <v>30.562999999999999</v>
      </c>
      <c r="AD280">
        <v>1460.25</v>
      </c>
      <c r="AE280">
        <f t="shared" si="29"/>
        <v>-2.0661550526425231E-2</v>
      </c>
      <c r="AF280">
        <f t="shared" si="29"/>
        <v>7.9056648084282304E-3</v>
      </c>
      <c r="AR280">
        <v>80.766000000000005</v>
      </c>
      <c r="AS280">
        <f t="shared" si="30"/>
        <v>-6.4093228798858199E-3</v>
      </c>
    </row>
    <row r="281" spans="1:45" x14ac:dyDescent="0.2">
      <c r="A281" s="29">
        <v>36747</v>
      </c>
      <c r="B281">
        <v>52</v>
      </c>
      <c r="D281">
        <v>138.375</v>
      </c>
      <c r="F281">
        <v>36.188000000000002</v>
      </c>
      <c r="G281">
        <v>1472.87</v>
      </c>
      <c r="H281">
        <f t="shared" si="28"/>
        <v>-0.19880278297774653</v>
      </c>
      <c r="J281">
        <f t="shared" si="26"/>
        <v>-4.0558554366688905E-2</v>
      </c>
      <c r="M281">
        <f t="shared" si="27"/>
        <v>-8.6052243861153895E-3</v>
      </c>
      <c r="O281">
        <f t="shared" si="25"/>
        <v>-0.13275003165733643</v>
      </c>
      <c r="AB281" s="29">
        <v>36747</v>
      </c>
      <c r="AC281">
        <v>36.188000000000002</v>
      </c>
      <c r="AD281">
        <v>1472.87</v>
      </c>
      <c r="AE281">
        <f t="shared" si="29"/>
        <v>-0.16893744514402614</v>
      </c>
      <c r="AF281">
        <f t="shared" si="29"/>
        <v>-8.6052243861153895E-3</v>
      </c>
      <c r="AR281">
        <v>82.296999999999997</v>
      </c>
      <c r="AS281">
        <f t="shared" si="30"/>
        <v>-1.8778570123762332E-2</v>
      </c>
    </row>
    <row r="282" spans="1:45" x14ac:dyDescent="0.2">
      <c r="A282" s="29">
        <v>36746</v>
      </c>
      <c r="B282">
        <v>52.75</v>
      </c>
      <c r="D282">
        <v>125.672</v>
      </c>
      <c r="F282">
        <v>36</v>
      </c>
      <c r="G282">
        <v>1482.8</v>
      </c>
      <c r="H282">
        <f t="shared" si="28"/>
        <v>-1.4320053774748558E-2</v>
      </c>
      <c r="J282">
        <f t="shared" si="26"/>
        <v>9.629205283116235E-2</v>
      </c>
      <c r="M282">
        <f t="shared" si="27"/>
        <v>-6.7193139700430365E-3</v>
      </c>
      <c r="O282">
        <f t="shared" si="25"/>
        <v>3.1850565114769601E-2</v>
      </c>
      <c r="AB282" s="29">
        <v>36746</v>
      </c>
      <c r="AC282">
        <v>36</v>
      </c>
      <c r="AD282">
        <v>1482.8</v>
      </c>
      <c r="AE282">
        <f t="shared" si="29"/>
        <v>5.2086337073852058E-3</v>
      </c>
      <c r="AF282">
        <f t="shared" si="29"/>
        <v>-6.7193139700430365E-3</v>
      </c>
      <c r="AR282">
        <v>82.438000000000002</v>
      </c>
      <c r="AS282">
        <f t="shared" si="30"/>
        <v>-1.7118406462765421E-3</v>
      </c>
    </row>
    <row r="283" spans="1:45" x14ac:dyDescent="0.2">
      <c r="A283" s="29">
        <v>36745</v>
      </c>
      <c r="D283">
        <v>140.625</v>
      </c>
      <c r="F283">
        <v>33.5</v>
      </c>
      <c r="G283">
        <v>1479.32</v>
      </c>
      <c r="J283">
        <f t="shared" si="26"/>
        <v>-0.11242143476104595</v>
      </c>
      <c r="M283">
        <f t="shared" si="27"/>
        <v>2.3496695617155937E-3</v>
      </c>
      <c r="AB283" s="29">
        <v>36745</v>
      </c>
      <c r="AC283">
        <v>33.5</v>
      </c>
      <c r="AD283">
        <v>1479.32</v>
      </c>
      <c r="AE283">
        <f t="shared" si="29"/>
        <v>7.1973499625089241E-2</v>
      </c>
      <c r="AF283">
        <f t="shared" si="29"/>
        <v>2.3496695617155937E-3</v>
      </c>
      <c r="AR283">
        <v>80.266000000000005</v>
      </c>
      <c r="AS283">
        <f t="shared" si="30"/>
        <v>2.6700376575826086E-2</v>
      </c>
    </row>
    <row r="284" spans="1:45" x14ac:dyDescent="0.2">
      <c r="A284" s="29">
        <v>36742</v>
      </c>
      <c r="D284">
        <v>156</v>
      </c>
      <c r="F284">
        <v>34</v>
      </c>
      <c r="G284">
        <v>1462.93</v>
      </c>
      <c r="J284">
        <f t="shared" si="26"/>
        <v>-0.10375923429085245</v>
      </c>
      <c r="M284">
        <f t="shared" si="27"/>
        <v>1.1141248729388365E-2</v>
      </c>
      <c r="AB284" s="29">
        <v>36742</v>
      </c>
      <c r="AC284">
        <v>34</v>
      </c>
      <c r="AD284">
        <v>1462.93</v>
      </c>
      <c r="AE284">
        <f t="shared" si="29"/>
        <v>-1.4815085785140587E-2</v>
      </c>
      <c r="AF284">
        <f t="shared" si="29"/>
        <v>1.1141248729388365E-2</v>
      </c>
      <c r="AR284">
        <v>78</v>
      </c>
      <c r="AS284">
        <f t="shared" si="30"/>
        <v>2.8637292394631923E-2</v>
      </c>
    </row>
    <row r="285" spans="1:45" x14ac:dyDescent="0.2">
      <c r="A285" s="29">
        <v>36741</v>
      </c>
      <c r="D285">
        <v>163.5</v>
      </c>
      <c r="F285">
        <v>34.188000000000002</v>
      </c>
      <c r="G285">
        <v>1452.56</v>
      </c>
      <c r="J285">
        <f t="shared" si="26"/>
        <v>-4.6956983087770979E-2</v>
      </c>
      <c r="M285">
        <f t="shared" si="27"/>
        <v>7.113757023061682E-3</v>
      </c>
      <c r="AB285" s="29">
        <v>36741</v>
      </c>
      <c r="AC285">
        <v>34.188000000000002</v>
      </c>
      <c r="AD285">
        <v>1452.56</v>
      </c>
      <c r="AE285">
        <f t="shared" si="29"/>
        <v>-5.5141806876102799E-3</v>
      </c>
      <c r="AF285">
        <f t="shared" si="29"/>
        <v>7.113757023061682E-3</v>
      </c>
      <c r="AR285">
        <v>78.016000000000005</v>
      </c>
      <c r="AS285">
        <f t="shared" si="30"/>
        <v>-2.0510716921471077E-4</v>
      </c>
    </row>
    <row r="286" spans="1:45" x14ac:dyDescent="0.2">
      <c r="A286" s="29">
        <v>36740</v>
      </c>
      <c r="D286">
        <v>132</v>
      </c>
      <c r="F286">
        <v>34.125</v>
      </c>
      <c r="G286">
        <v>1438.7</v>
      </c>
      <c r="J286">
        <f t="shared" si="26"/>
        <v>0.21401106775093715</v>
      </c>
      <c r="M286">
        <f t="shared" si="27"/>
        <v>9.5875889194240744E-3</v>
      </c>
      <c r="AB286" s="29">
        <v>36740</v>
      </c>
      <c r="AC286">
        <v>34.125</v>
      </c>
      <c r="AD286">
        <v>1438.7</v>
      </c>
      <c r="AE286">
        <f t="shared" si="29"/>
        <v>1.8444517986477319E-3</v>
      </c>
      <c r="AF286">
        <f t="shared" si="29"/>
        <v>9.5875889194240744E-3</v>
      </c>
      <c r="AR286">
        <v>77.625</v>
      </c>
      <c r="AS286">
        <f t="shared" si="30"/>
        <v>5.0243936051636278E-3</v>
      </c>
    </row>
    <row r="287" spans="1:45" x14ac:dyDescent="0.2">
      <c r="A287" s="29">
        <v>36739</v>
      </c>
      <c r="D287">
        <v>107.5</v>
      </c>
      <c r="F287">
        <v>34.438000000000002</v>
      </c>
      <c r="G287">
        <v>1438.1</v>
      </c>
      <c r="J287">
        <f t="shared" si="26"/>
        <v>0.20531107501865345</v>
      </c>
      <c r="M287">
        <f t="shared" si="27"/>
        <v>4.1713015065348728E-4</v>
      </c>
      <c r="AB287" s="29">
        <v>36739</v>
      </c>
      <c r="AC287">
        <v>34.438000000000002</v>
      </c>
      <c r="AD287">
        <v>1438.1</v>
      </c>
      <c r="AE287">
        <f t="shared" si="29"/>
        <v>-9.1303523588703757E-3</v>
      </c>
      <c r="AF287">
        <f t="shared" si="29"/>
        <v>4.1713015065348728E-4</v>
      </c>
      <c r="AR287">
        <v>76</v>
      </c>
      <c r="AS287">
        <f t="shared" si="30"/>
        <v>2.11561999673117E-2</v>
      </c>
    </row>
    <row r="288" spans="1:45" x14ac:dyDescent="0.2">
      <c r="A288" s="29">
        <v>36738</v>
      </c>
      <c r="D288">
        <v>98.375</v>
      </c>
      <c r="F288">
        <v>34.125</v>
      </c>
      <c r="G288">
        <v>1430.83</v>
      </c>
      <c r="J288">
        <f t="shared" si="26"/>
        <v>8.870414083015013E-2</v>
      </c>
      <c r="M288">
        <f t="shared" si="27"/>
        <v>5.0681024362557942E-3</v>
      </c>
      <c r="AB288" s="29">
        <v>36738</v>
      </c>
      <c r="AC288">
        <v>34.125</v>
      </c>
      <c r="AD288">
        <v>1430.83</v>
      </c>
      <c r="AE288">
        <f t="shared" si="29"/>
        <v>9.1303523588704902E-3</v>
      </c>
      <c r="AF288">
        <f t="shared" si="29"/>
        <v>5.0681024362557942E-3</v>
      </c>
      <c r="AR288">
        <v>73.75</v>
      </c>
      <c r="AS288">
        <f t="shared" si="30"/>
        <v>3.0052345066401837E-2</v>
      </c>
    </row>
    <row r="289" spans="1:45" x14ac:dyDescent="0.2">
      <c r="A289" s="29">
        <v>36735</v>
      </c>
      <c r="D289">
        <v>96.75</v>
      </c>
      <c r="F289">
        <v>34.938000000000002</v>
      </c>
      <c r="G289">
        <v>1419.89</v>
      </c>
      <c r="J289">
        <f t="shared" si="26"/>
        <v>1.6656374827676068E-2</v>
      </c>
      <c r="M289">
        <f t="shared" si="27"/>
        <v>7.6752916500556472E-3</v>
      </c>
      <c r="AB289" s="29">
        <v>36735</v>
      </c>
      <c r="AC289">
        <v>34.938000000000002</v>
      </c>
      <c r="AD289">
        <v>1419.89</v>
      </c>
      <c r="AE289">
        <f t="shared" si="29"/>
        <v>-2.3544808577914175E-2</v>
      </c>
      <c r="AF289">
        <f t="shared" si="29"/>
        <v>7.6752916500556472E-3</v>
      </c>
      <c r="AR289">
        <v>75.188000000000002</v>
      </c>
      <c r="AS289">
        <f t="shared" si="30"/>
        <v>-1.9310648534419824E-2</v>
      </c>
    </row>
    <row r="290" spans="1:45" x14ac:dyDescent="0.2">
      <c r="A290" s="29"/>
      <c r="F290">
        <v>35</v>
      </c>
      <c r="AB290" s="29">
        <v>36734</v>
      </c>
      <c r="AC290">
        <v>35</v>
      </c>
      <c r="AD290">
        <v>1449.62</v>
      </c>
      <c r="AE290">
        <f t="shared" si="29"/>
        <v>-1.772999406375747E-3</v>
      </c>
      <c r="AF290">
        <f t="shared" si="29"/>
        <v>-2.0722049297008261E-2</v>
      </c>
      <c r="AR290">
        <v>77</v>
      </c>
      <c r="AS290">
        <f t="shared" si="30"/>
        <v>-2.3813778099334861E-2</v>
      </c>
    </row>
    <row r="291" spans="1:45" x14ac:dyDescent="0.2">
      <c r="A291" s="29" t="s">
        <v>369</v>
      </c>
      <c r="F291">
        <v>34.188000000000002</v>
      </c>
      <c r="H291">
        <f>AVERAGE(H16:H289)</f>
        <v>-8.1167032225073141E-3</v>
      </c>
      <c r="I291">
        <f>AVERAGE(I16:I289)</f>
        <v>-2.8681132712130636E-3</v>
      </c>
      <c r="J291">
        <f>AVERAGE(J16:J289)</f>
        <v>-1.2114479428520149E-2</v>
      </c>
      <c r="K291">
        <f>AVERAGE(K16:K289)</f>
        <v>-8.7348717965575629E-3</v>
      </c>
      <c r="M291">
        <f>AVERAGE(M16:M289)</f>
        <v>-7.7397963498752832E-4</v>
      </c>
      <c r="O291">
        <f>AVERAGE(O16:O289)</f>
        <v>-9.3057967595318401E-3</v>
      </c>
      <c r="AB291" s="29">
        <v>36733</v>
      </c>
      <c r="AC291">
        <v>34.188000000000002</v>
      </c>
      <c r="AD291">
        <v>1452.42</v>
      </c>
      <c r="AE291">
        <f t="shared" si="29"/>
        <v>2.3473356185642048E-2</v>
      </c>
      <c r="AF291">
        <f t="shared" si="29"/>
        <v>-1.9296776535493582E-3</v>
      </c>
      <c r="AR291">
        <v>72.343999999999994</v>
      </c>
      <c r="AS291">
        <f t="shared" si="30"/>
        <v>6.2372902415504881E-2</v>
      </c>
    </row>
    <row r="292" spans="1:45" x14ac:dyDescent="0.2">
      <c r="A292" s="29"/>
      <c r="F292">
        <v>33.875</v>
      </c>
      <c r="O292">
        <f>STDEV(O16:O282)*252</f>
        <v>15.793676251388362</v>
      </c>
      <c r="AB292" s="29">
        <v>36732</v>
      </c>
      <c r="AC292">
        <v>33.875</v>
      </c>
      <c r="AD292">
        <v>1474.47</v>
      </c>
      <c r="AE292">
        <f t="shared" si="29"/>
        <v>9.1974261039065794E-3</v>
      </c>
      <c r="AF292">
        <f t="shared" si="29"/>
        <v>-1.5067472411811444E-2</v>
      </c>
      <c r="AR292">
        <v>71.688000000000002</v>
      </c>
      <c r="AS292">
        <f t="shared" si="30"/>
        <v>9.1091498562605074E-3</v>
      </c>
    </row>
    <row r="293" spans="1:45" x14ac:dyDescent="0.2">
      <c r="A293" s="29"/>
      <c r="F293">
        <v>34.688000000000002</v>
      </c>
      <c r="AB293" s="29">
        <v>36731</v>
      </c>
      <c r="AC293">
        <v>34.688000000000002</v>
      </c>
      <c r="AD293">
        <v>1464.29</v>
      </c>
      <c r="AE293">
        <f t="shared" si="29"/>
        <v>-2.3716526617316155E-2</v>
      </c>
      <c r="AF293">
        <f t="shared" si="29"/>
        <v>6.9281198321652993E-3</v>
      </c>
      <c r="AR293">
        <v>73</v>
      </c>
      <c r="AS293">
        <f t="shared" si="30"/>
        <v>-1.8136071566472744E-2</v>
      </c>
    </row>
    <row r="294" spans="1:45" x14ac:dyDescent="0.2">
      <c r="A294" s="29"/>
      <c r="F294">
        <v>36.688000000000002</v>
      </c>
      <c r="AB294" s="29">
        <v>36728</v>
      </c>
      <c r="AC294">
        <v>36.688000000000002</v>
      </c>
      <c r="AD294">
        <v>1480.19</v>
      </c>
      <c r="AE294">
        <f t="shared" si="29"/>
        <v>-5.6055920298367638E-2</v>
      </c>
      <c r="AF294">
        <f t="shared" si="29"/>
        <v>-1.0799974560514352E-2</v>
      </c>
      <c r="AR294">
        <v>73</v>
      </c>
      <c r="AS294">
        <f t="shared" si="30"/>
        <v>0</v>
      </c>
    </row>
    <row r="295" spans="1:45" x14ac:dyDescent="0.2">
      <c r="A295" s="29"/>
      <c r="F295">
        <v>38.063000000000002</v>
      </c>
      <c r="AB295" s="29">
        <v>36727</v>
      </c>
      <c r="AC295">
        <v>38.063000000000002</v>
      </c>
      <c r="AD295">
        <v>1495.57</v>
      </c>
      <c r="AE295">
        <f t="shared" si="29"/>
        <v>-3.6792955557285262E-2</v>
      </c>
      <c r="AF295">
        <f t="shared" si="29"/>
        <v>-1.0336947165775205E-2</v>
      </c>
      <c r="AR295">
        <v>71.25</v>
      </c>
      <c r="AS295">
        <f t="shared" si="30"/>
        <v>2.4264621999631298E-2</v>
      </c>
    </row>
    <row r="296" spans="1:45" x14ac:dyDescent="0.2">
      <c r="A296" s="29"/>
      <c r="F296">
        <v>37.813000000000002</v>
      </c>
      <c r="AB296" s="29">
        <v>36726</v>
      </c>
      <c r="AC296">
        <v>37.813000000000002</v>
      </c>
      <c r="AD296">
        <v>1481.96</v>
      </c>
      <c r="AE296">
        <f t="shared" si="29"/>
        <v>6.5897228287027428E-3</v>
      </c>
      <c r="AF296">
        <f t="shared" si="29"/>
        <v>9.1418691240413002E-3</v>
      </c>
      <c r="AR296">
        <v>72.563000000000002</v>
      </c>
      <c r="AS296">
        <f t="shared" si="30"/>
        <v>-1.8260330897152045E-2</v>
      </c>
    </row>
    <row r="297" spans="1:45" x14ac:dyDescent="0.2">
      <c r="A297" s="29"/>
      <c r="F297">
        <v>39.063000000000002</v>
      </c>
      <c r="AB297" s="29">
        <v>36725</v>
      </c>
      <c r="AC297">
        <v>39.063000000000002</v>
      </c>
      <c r="AD297">
        <v>1493.74</v>
      </c>
      <c r="AE297">
        <f t="shared" si="29"/>
        <v>-3.2522768570569814E-2</v>
      </c>
      <c r="AF297">
        <f t="shared" si="29"/>
        <v>-7.9175061582683632E-3</v>
      </c>
      <c r="AR297">
        <v>72.5</v>
      </c>
      <c r="AS297">
        <f t="shared" si="30"/>
        <v>8.6858818528276819E-4</v>
      </c>
    </row>
    <row r="298" spans="1:45" x14ac:dyDescent="0.2">
      <c r="A298" s="29"/>
      <c r="F298">
        <v>40.375</v>
      </c>
      <c r="AB298" s="29">
        <v>36724</v>
      </c>
      <c r="AC298">
        <v>40.375</v>
      </c>
      <c r="AD298">
        <v>1510.49</v>
      </c>
      <c r="AE298">
        <f t="shared" si="29"/>
        <v>-3.3035054128119537E-2</v>
      </c>
      <c r="AF298">
        <f t="shared" si="29"/>
        <v>-1.1151059383673671E-2</v>
      </c>
      <c r="AR298">
        <v>72.406000000000006</v>
      </c>
      <c r="AS298">
        <f t="shared" si="30"/>
        <v>1.2973929745528272E-3</v>
      </c>
    </row>
    <row r="299" spans="1:45" x14ac:dyDescent="0.2">
      <c r="A299" s="29"/>
      <c r="F299">
        <v>39.375</v>
      </c>
      <c r="AB299" s="29">
        <v>36721</v>
      </c>
      <c r="AC299">
        <v>39.375</v>
      </c>
      <c r="AD299">
        <v>1509.98</v>
      </c>
      <c r="AE299">
        <f t="shared" si="29"/>
        <v>2.5079684397023391E-2</v>
      </c>
      <c r="AF299">
        <f t="shared" si="29"/>
        <v>3.3769579227504955E-4</v>
      </c>
      <c r="AR299">
        <v>71.875</v>
      </c>
      <c r="AS299">
        <f t="shared" si="30"/>
        <v>7.3606697685616902E-3</v>
      </c>
    </row>
    <row r="300" spans="1:45" x14ac:dyDescent="0.2">
      <c r="A300" s="29"/>
      <c r="F300">
        <v>39.563000000000002</v>
      </c>
      <c r="AB300" s="29">
        <v>36720</v>
      </c>
      <c r="AC300">
        <v>39.563000000000002</v>
      </c>
      <c r="AD300">
        <v>1495.84</v>
      </c>
      <c r="AE300">
        <f t="shared" si="29"/>
        <v>-4.7632409093838063E-3</v>
      </c>
      <c r="AF300">
        <f t="shared" si="29"/>
        <v>9.408483745135688E-3</v>
      </c>
      <c r="AR300">
        <v>71.5</v>
      </c>
      <c r="AS300">
        <f t="shared" si="30"/>
        <v>5.2310494175525028E-3</v>
      </c>
    </row>
    <row r="301" spans="1:45" x14ac:dyDescent="0.2">
      <c r="A301" s="29"/>
      <c r="F301">
        <v>38.875</v>
      </c>
      <c r="AB301" s="29">
        <v>36719</v>
      </c>
      <c r="AC301">
        <v>38.875</v>
      </c>
      <c r="AD301">
        <v>1492.92</v>
      </c>
      <c r="AE301">
        <f t="shared" si="29"/>
        <v>1.754296755578285E-2</v>
      </c>
      <c r="AF301">
        <f t="shared" si="29"/>
        <v>1.9539882286054131E-3</v>
      </c>
      <c r="AR301">
        <v>71.313000000000002</v>
      </c>
      <c r="AS301">
        <f t="shared" si="30"/>
        <v>2.6188107087327566E-3</v>
      </c>
    </row>
    <row r="302" spans="1:45" x14ac:dyDescent="0.2">
      <c r="A302" s="29"/>
      <c r="F302">
        <v>38.25</v>
      </c>
      <c r="AB302" s="29">
        <v>36718</v>
      </c>
      <c r="AC302">
        <v>38.25</v>
      </c>
      <c r="AD302">
        <v>1480.88</v>
      </c>
      <c r="AE302">
        <f t="shared" si="29"/>
        <v>1.6207810226853303E-2</v>
      </c>
      <c r="AF302">
        <f t="shared" si="29"/>
        <v>8.0974280629702456E-3</v>
      </c>
      <c r="AR302">
        <v>70.75</v>
      </c>
      <c r="AS302">
        <f t="shared" si="30"/>
        <v>7.9261024678822008E-3</v>
      </c>
    </row>
    <row r="303" spans="1:45" x14ac:dyDescent="0.2">
      <c r="A303" s="29"/>
      <c r="F303">
        <v>37.25</v>
      </c>
      <c r="AB303" s="29">
        <v>36717</v>
      </c>
      <c r="AC303">
        <v>37.25</v>
      </c>
      <c r="AD303">
        <v>1475.62</v>
      </c>
      <c r="AE303">
        <f t="shared" si="29"/>
        <v>2.6491615446976285E-2</v>
      </c>
      <c r="AF303">
        <f t="shared" si="29"/>
        <v>3.5582652121410054E-3</v>
      </c>
      <c r="AR303">
        <v>68.875</v>
      </c>
      <c r="AS303">
        <f t="shared" si="30"/>
        <v>2.6859269050268478E-2</v>
      </c>
    </row>
    <row r="304" spans="1:45" x14ac:dyDescent="0.2">
      <c r="A304" s="29"/>
      <c r="F304">
        <v>36.063000000000002</v>
      </c>
      <c r="AB304" s="29">
        <v>36714</v>
      </c>
      <c r="AC304">
        <v>36.063000000000002</v>
      </c>
      <c r="AD304">
        <v>1478.9</v>
      </c>
      <c r="AE304">
        <f t="shared" si="29"/>
        <v>3.2384535835341642E-2</v>
      </c>
      <c r="AF304">
        <f t="shared" si="29"/>
        <v>-2.2203277334347333E-3</v>
      </c>
      <c r="AR304">
        <v>67.625</v>
      </c>
      <c r="AS304">
        <f t="shared" si="30"/>
        <v>1.8315530306432976E-2</v>
      </c>
    </row>
    <row r="305" spans="1:45" x14ac:dyDescent="0.2">
      <c r="A305" s="29"/>
      <c r="F305">
        <v>35.438000000000002</v>
      </c>
      <c r="AB305" s="29">
        <v>36713</v>
      </c>
      <c r="AC305">
        <v>35.438000000000002</v>
      </c>
      <c r="AD305">
        <v>1456.67</v>
      </c>
      <c r="AE305">
        <f t="shared" si="29"/>
        <v>1.7482718254349282E-2</v>
      </c>
      <c r="AF305">
        <f t="shared" si="29"/>
        <v>1.5145559424295928E-2</v>
      </c>
      <c r="AR305">
        <v>67.063000000000002</v>
      </c>
      <c r="AS305">
        <f t="shared" si="30"/>
        <v>8.3452610719285895E-3</v>
      </c>
    </row>
    <row r="306" spans="1:45" x14ac:dyDescent="0.2">
      <c r="A306" s="29"/>
      <c r="F306">
        <v>35.563000000000002</v>
      </c>
      <c r="AB306" s="29">
        <v>36712</v>
      </c>
      <c r="AC306">
        <v>35.563000000000002</v>
      </c>
      <c r="AD306">
        <v>1446.23</v>
      </c>
      <c r="AE306">
        <f t="shared" si="29"/>
        <v>-3.5210808057890217E-3</v>
      </c>
      <c r="AF306">
        <f t="shared" si="29"/>
        <v>7.1928382039222593E-3</v>
      </c>
      <c r="AR306">
        <v>66.438000000000002</v>
      </c>
      <c r="AS306">
        <f t="shared" si="30"/>
        <v>9.3632941506909175E-3</v>
      </c>
    </row>
    <row r="307" spans="1:45" x14ac:dyDescent="0.2">
      <c r="A307" s="29"/>
      <c r="F307">
        <v>37.25</v>
      </c>
      <c r="AB307" s="29">
        <v>36710</v>
      </c>
      <c r="AC307">
        <v>37.25</v>
      </c>
      <c r="AD307">
        <v>1469.54</v>
      </c>
      <c r="AE307">
        <f t="shared" si="29"/>
        <v>-4.6346173283901893E-2</v>
      </c>
      <c r="AF307">
        <f t="shared" si="29"/>
        <v>-1.5989256086911149E-2</v>
      </c>
      <c r="AR307">
        <v>68</v>
      </c>
      <c r="AS307">
        <f t="shared" si="30"/>
        <v>-2.3238523232080446E-2</v>
      </c>
    </row>
    <row r="308" spans="1:45" x14ac:dyDescent="0.2">
      <c r="A308" s="29"/>
      <c r="F308">
        <v>38</v>
      </c>
      <c r="AB308" s="29">
        <v>36707</v>
      </c>
      <c r="AC308">
        <v>38</v>
      </c>
      <c r="AD308">
        <v>1454.6</v>
      </c>
      <c r="AE308">
        <f t="shared" si="29"/>
        <v>-1.9934214900817253E-2</v>
      </c>
      <c r="AF308">
        <f t="shared" si="29"/>
        <v>1.0218477910976149E-2</v>
      </c>
      <c r="AR308">
        <v>64.5</v>
      </c>
      <c r="AS308">
        <f t="shared" si="30"/>
        <v>5.2842481374379982E-2</v>
      </c>
    </row>
    <row r="309" spans="1:45" x14ac:dyDescent="0.2">
      <c r="F309">
        <v>35.625</v>
      </c>
      <c r="AB309" s="29">
        <v>36706</v>
      </c>
      <c r="AC309">
        <v>35.625</v>
      </c>
      <c r="AD309">
        <v>1442.39</v>
      </c>
      <c r="AE309">
        <f t="shared" si="29"/>
        <v>6.4538521137571164E-2</v>
      </c>
      <c r="AF309">
        <f t="shared" si="29"/>
        <v>8.4294887449935813E-3</v>
      </c>
      <c r="AR309">
        <v>68.5</v>
      </c>
      <c r="AS309">
        <f t="shared" si="30"/>
        <v>-6.0168521466452844E-2</v>
      </c>
    </row>
    <row r="310" spans="1:45" x14ac:dyDescent="0.2">
      <c r="F310">
        <v>35</v>
      </c>
      <c r="AB310" s="29">
        <v>36705</v>
      </c>
      <c r="AC310">
        <v>35</v>
      </c>
      <c r="AD310">
        <v>1454.82</v>
      </c>
      <c r="AE310">
        <f t="shared" si="29"/>
        <v>1.7699577099400857E-2</v>
      </c>
      <c r="AF310">
        <f t="shared" si="29"/>
        <v>-8.580721637060992E-3</v>
      </c>
      <c r="AR310">
        <v>68.813000000000002</v>
      </c>
      <c r="AS310">
        <f t="shared" si="30"/>
        <v>-4.5589353100285671E-3</v>
      </c>
    </row>
    <row r="311" spans="1:45" x14ac:dyDescent="0.2">
      <c r="F311">
        <v>35.5</v>
      </c>
      <c r="AB311" s="29">
        <v>36704</v>
      </c>
      <c r="AC311">
        <v>35.5</v>
      </c>
      <c r="AD311">
        <v>1450.55</v>
      </c>
      <c r="AE311">
        <f t="shared" si="29"/>
        <v>-1.4184634991956413E-2</v>
      </c>
      <c r="AF311">
        <f t="shared" si="29"/>
        <v>2.9393867730427765E-3</v>
      </c>
      <c r="AR311">
        <v>68.75</v>
      </c>
      <c r="AS311">
        <f t="shared" si="30"/>
        <v>9.1594403152742284E-4</v>
      </c>
    </row>
    <row r="312" spans="1:45" x14ac:dyDescent="0.2">
      <c r="F312">
        <v>35.813000000000002</v>
      </c>
      <c r="AB312" s="29">
        <v>36703</v>
      </c>
      <c r="AC312">
        <v>35.813000000000002</v>
      </c>
      <c r="AD312">
        <v>1455.31</v>
      </c>
      <c r="AE312">
        <f t="shared" si="29"/>
        <v>-8.7782595017105811E-3</v>
      </c>
      <c r="AF312">
        <f t="shared" si="29"/>
        <v>-3.2761414916503036E-3</v>
      </c>
      <c r="AR312">
        <v>69.625</v>
      </c>
      <c r="AS312">
        <f t="shared" si="30"/>
        <v>-1.2646961700767421E-2</v>
      </c>
    </row>
    <row r="313" spans="1:45" x14ac:dyDescent="0.2">
      <c r="F313">
        <v>33</v>
      </c>
      <c r="AB313" s="29">
        <v>36700</v>
      </c>
      <c r="AC313">
        <v>33</v>
      </c>
      <c r="AD313">
        <v>1441.48</v>
      </c>
      <c r="AE313">
        <f t="shared" si="29"/>
        <v>8.1803394516600514E-2</v>
      </c>
      <c r="AF313">
        <f t="shared" si="29"/>
        <v>9.5485727852602491E-3</v>
      </c>
      <c r="AR313">
        <v>73.188000000000002</v>
      </c>
      <c r="AS313">
        <f t="shared" si="30"/>
        <v>-4.9907774854871467E-2</v>
      </c>
    </row>
    <row r="314" spans="1:45" x14ac:dyDescent="0.2">
      <c r="F314">
        <v>32.813000000000002</v>
      </c>
      <c r="AB314" s="29">
        <v>36699</v>
      </c>
      <c r="AC314">
        <v>32.813000000000002</v>
      </c>
      <c r="AD314">
        <v>1452.18</v>
      </c>
      <c r="AE314">
        <f t="shared" si="29"/>
        <v>5.6827831354981546E-3</v>
      </c>
      <c r="AF314">
        <f t="shared" si="29"/>
        <v>-7.3955120977688598E-3</v>
      </c>
      <c r="AR314">
        <v>73.438000000000002</v>
      </c>
      <c r="AS314">
        <f t="shared" si="30"/>
        <v>-3.4100397236190017E-3</v>
      </c>
    </row>
    <row r="315" spans="1:45" x14ac:dyDescent="0.2">
      <c r="F315">
        <v>33.313000000000002</v>
      </c>
      <c r="AB315" s="29">
        <v>36698</v>
      </c>
      <c r="AC315">
        <v>33.313000000000002</v>
      </c>
      <c r="AD315">
        <v>1479.13</v>
      </c>
      <c r="AE315">
        <f t="shared" si="29"/>
        <v>-1.5122932863304695E-2</v>
      </c>
      <c r="AF315">
        <f t="shared" si="29"/>
        <v>-1.8388201432297722E-2</v>
      </c>
      <c r="AR315">
        <v>74.188000000000002</v>
      </c>
      <c r="AS315">
        <f t="shared" si="30"/>
        <v>-1.0160899201101855E-2</v>
      </c>
    </row>
    <row r="316" spans="1:45" x14ac:dyDescent="0.2">
      <c r="F316">
        <v>33</v>
      </c>
      <c r="AB316" s="29">
        <v>36697</v>
      </c>
      <c r="AC316">
        <v>33</v>
      </c>
      <c r="AD316">
        <v>1475.95</v>
      </c>
      <c r="AE316">
        <f t="shared" si="29"/>
        <v>9.4401497278066415E-3</v>
      </c>
      <c r="AF316">
        <f t="shared" si="29"/>
        <v>2.1522268280392536E-3</v>
      </c>
      <c r="AR316">
        <v>72.688000000000002</v>
      </c>
      <c r="AS316">
        <f t="shared" si="30"/>
        <v>2.0426103009993066E-2</v>
      </c>
    </row>
    <row r="317" spans="1:45" x14ac:dyDescent="0.2">
      <c r="F317">
        <v>33.875</v>
      </c>
      <c r="AB317" s="29">
        <v>36696</v>
      </c>
      <c r="AC317">
        <v>33.875</v>
      </c>
      <c r="AD317">
        <v>1486</v>
      </c>
      <c r="AE317">
        <f t="shared" si="29"/>
        <v>-2.616971773338472E-2</v>
      </c>
      <c r="AF317">
        <f t="shared" si="29"/>
        <v>-6.7860960298223019E-3</v>
      </c>
      <c r="AR317">
        <v>71.063000000000002</v>
      </c>
      <c r="AS317">
        <f t="shared" si="30"/>
        <v>2.2609501471239211E-2</v>
      </c>
    </row>
    <row r="318" spans="1:45" x14ac:dyDescent="0.2">
      <c r="F318">
        <v>34.625</v>
      </c>
      <c r="AB318" s="29">
        <v>36693</v>
      </c>
      <c r="AC318">
        <v>34.625</v>
      </c>
      <c r="AD318">
        <v>1464.46</v>
      </c>
      <c r="AE318">
        <f t="shared" si="29"/>
        <v>-2.1898685307637573E-2</v>
      </c>
      <c r="AF318">
        <f t="shared" si="29"/>
        <v>1.4601372459060409E-2</v>
      </c>
      <c r="AR318">
        <v>71.625</v>
      </c>
      <c r="AS318">
        <f t="shared" si="30"/>
        <v>-7.8773674890952571E-3</v>
      </c>
    </row>
    <row r="319" spans="1:45" x14ac:dyDescent="0.2">
      <c r="F319">
        <v>33.688000000000002</v>
      </c>
      <c r="AB319" s="29">
        <v>36692</v>
      </c>
      <c r="AC319">
        <v>33.688000000000002</v>
      </c>
      <c r="AD319">
        <v>1478.73</v>
      </c>
      <c r="AE319">
        <f t="shared" si="29"/>
        <v>2.7434273647875873E-2</v>
      </c>
      <c r="AF319">
        <f t="shared" si="29"/>
        <v>-9.6970374458877732E-3</v>
      </c>
      <c r="AR319">
        <v>71.25</v>
      </c>
      <c r="AS319">
        <f t="shared" si="30"/>
        <v>5.249355886143745E-3</v>
      </c>
    </row>
    <row r="320" spans="1:45" x14ac:dyDescent="0.2">
      <c r="F320">
        <v>31.812999999999999</v>
      </c>
      <c r="AB320" s="29">
        <v>36691</v>
      </c>
      <c r="AC320">
        <v>31.812999999999999</v>
      </c>
      <c r="AD320">
        <v>1470.54</v>
      </c>
      <c r="AE320">
        <f t="shared" si="29"/>
        <v>5.7266679580059467E-2</v>
      </c>
      <c r="AF320">
        <f t="shared" si="29"/>
        <v>5.5539310083420803E-3</v>
      </c>
      <c r="AR320">
        <v>72</v>
      </c>
      <c r="AS320">
        <f t="shared" si="30"/>
        <v>-1.0471299867295366E-2</v>
      </c>
    </row>
    <row r="321" spans="6:45" x14ac:dyDescent="0.2">
      <c r="F321">
        <v>30.780999999999999</v>
      </c>
      <c r="AB321" s="29">
        <v>36690</v>
      </c>
      <c r="AC321">
        <v>30.780999999999999</v>
      </c>
      <c r="AD321">
        <v>1469.44</v>
      </c>
      <c r="AE321">
        <f t="shared" si="29"/>
        <v>3.2977394767598249E-2</v>
      </c>
      <c r="AF321">
        <f t="shared" si="29"/>
        <v>7.4830444515235441E-4</v>
      </c>
      <c r="AR321">
        <v>74</v>
      </c>
      <c r="AS321">
        <f t="shared" si="30"/>
        <v>-2.7398974188114388E-2</v>
      </c>
    </row>
    <row r="322" spans="6:45" x14ac:dyDescent="0.2">
      <c r="F322">
        <v>29.905999999999999</v>
      </c>
      <c r="AB322" s="29">
        <v>36689</v>
      </c>
      <c r="AC322">
        <v>29.905999999999999</v>
      </c>
      <c r="AD322">
        <v>1446</v>
      </c>
      <c r="AE322">
        <f t="shared" si="29"/>
        <v>2.8838487350316931E-2</v>
      </c>
      <c r="AF322">
        <f t="shared" si="29"/>
        <v>1.6080252092327649E-2</v>
      </c>
      <c r="AR322">
        <v>73.25</v>
      </c>
      <c r="AS322">
        <f t="shared" si="30"/>
        <v>1.0186845306992997E-2</v>
      </c>
    </row>
    <row r="323" spans="6:45" x14ac:dyDescent="0.2">
      <c r="F323">
        <v>29.687999999999999</v>
      </c>
      <c r="AB323" s="29">
        <v>36686</v>
      </c>
      <c r="AC323">
        <v>29.687999999999999</v>
      </c>
      <c r="AD323">
        <v>1456.95</v>
      </c>
      <c r="AE323">
        <f t="shared" si="29"/>
        <v>7.3162054033554975E-3</v>
      </c>
      <c r="AF323">
        <f t="shared" si="29"/>
        <v>-7.5440857977392625E-3</v>
      </c>
      <c r="AR323">
        <v>71.5</v>
      </c>
      <c r="AS323">
        <f t="shared" si="30"/>
        <v>2.4180798197214613E-2</v>
      </c>
    </row>
    <row r="324" spans="6:45" x14ac:dyDescent="0.2">
      <c r="F324">
        <v>29.469000000000001</v>
      </c>
      <c r="AB324" s="29">
        <v>36685</v>
      </c>
      <c r="AC324">
        <v>29.469000000000001</v>
      </c>
      <c r="AD324">
        <v>1461.67</v>
      </c>
      <c r="AE324">
        <f t="shared" si="29"/>
        <v>7.4040603974542445E-3</v>
      </c>
      <c r="AF324">
        <f t="shared" si="29"/>
        <v>-3.234408120834515E-3</v>
      </c>
      <c r="AR324">
        <v>73.063000000000002</v>
      </c>
      <c r="AS324">
        <f t="shared" si="30"/>
        <v>-2.1624632964854156E-2</v>
      </c>
    </row>
    <row r="325" spans="6:45" x14ac:dyDescent="0.2">
      <c r="F325">
        <v>28.562999999999999</v>
      </c>
      <c r="AB325" s="29">
        <v>36684</v>
      </c>
      <c r="AC325">
        <v>28.562999999999999</v>
      </c>
      <c r="AD325">
        <v>1471.36</v>
      </c>
      <c r="AE325">
        <f t="shared" si="29"/>
        <v>3.1226689389178254E-2</v>
      </c>
      <c r="AF325">
        <f t="shared" si="29"/>
        <v>-6.6075254974781606E-3</v>
      </c>
      <c r="AR325">
        <v>71.375</v>
      </c>
      <c r="AS325">
        <f t="shared" si="30"/>
        <v>2.3374414688641935E-2</v>
      </c>
    </row>
    <row r="326" spans="6:45" x14ac:dyDescent="0.2">
      <c r="F326">
        <v>28.75</v>
      </c>
      <c r="AB326" s="29">
        <v>36683</v>
      </c>
      <c r="AC326">
        <v>28.75</v>
      </c>
      <c r="AD326">
        <v>1457.84</v>
      </c>
      <c r="AE326">
        <f t="shared" si="29"/>
        <v>-6.5255932716954679E-3</v>
      </c>
      <c r="AF326">
        <f t="shared" si="29"/>
        <v>9.2312549569622277E-3</v>
      </c>
      <c r="AR326">
        <v>70.188000000000002</v>
      </c>
      <c r="AS326">
        <f t="shared" si="30"/>
        <v>1.6770311727285193E-2</v>
      </c>
    </row>
    <row r="327" spans="6:45" x14ac:dyDescent="0.2">
      <c r="F327">
        <v>28.344000000000001</v>
      </c>
      <c r="AB327" s="29">
        <v>36682</v>
      </c>
      <c r="AC327">
        <v>28.344000000000001</v>
      </c>
      <c r="AD327">
        <v>1467.63</v>
      </c>
      <c r="AE327">
        <f t="shared" si="29"/>
        <v>1.4222399680188574E-2</v>
      </c>
      <c r="AF327">
        <f t="shared" si="29"/>
        <v>-6.69296663160566E-3</v>
      </c>
      <c r="AR327">
        <v>66</v>
      </c>
      <c r="AS327">
        <f t="shared" si="30"/>
        <v>6.1522614222463474E-2</v>
      </c>
    </row>
    <row r="328" spans="6:45" x14ac:dyDescent="0.2">
      <c r="F328">
        <v>28.125</v>
      </c>
      <c r="AB328" s="29">
        <v>36679</v>
      </c>
      <c r="AC328">
        <v>28.125</v>
      </c>
      <c r="AD328">
        <v>1477.26</v>
      </c>
      <c r="AE328">
        <f t="shared" si="29"/>
        <v>7.7565070385866115E-3</v>
      </c>
      <c r="AF328">
        <f t="shared" si="29"/>
        <v>-6.5401657283796558E-3</v>
      </c>
      <c r="AR328">
        <v>69.5</v>
      </c>
      <c r="AS328">
        <f t="shared" si="30"/>
        <v>-5.1672010544320926E-2</v>
      </c>
    </row>
    <row r="329" spans="6:45" x14ac:dyDescent="0.2">
      <c r="F329">
        <v>30.405999999999999</v>
      </c>
      <c r="AB329" s="29">
        <v>36678</v>
      </c>
      <c r="AC329">
        <v>30.405999999999999</v>
      </c>
      <c r="AD329">
        <v>1448.81</v>
      </c>
      <c r="AE329">
        <f t="shared" si="29"/>
        <v>-7.7981096834059946E-2</v>
      </c>
      <c r="AF329">
        <f t="shared" si="29"/>
        <v>1.9446490728459349E-2</v>
      </c>
      <c r="AR329">
        <v>71.125</v>
      </c>
      <c r="AS329">
        <f t="shared" si="30"/>
        <v>-2.3112139875748491E-2</v>
      </c>
    </row>
    <row r="330" spans="6:45" x14ac:dyDescent="0.2">
      <c r="F330">
        <v>29.344000000000001</v>
      </c>
      <c r="AB330" s="29">
        <v>36677</v>
      </c>
      <c r="AC330">
        <v>29.344000000000001</v>
      </c>
      <c r="AD330">
        <v>1420.6</v>
      </c>
      <c r="AE330">
        <f t="shared" si="29"/>
        <v>3.5551861284589738E-2</v>
      </c>
      <c r="AF330">
        <f t="shared" si="29"/>
        <v>1.9663212245616214E-2</v>
      </c>
      <c r="AR330">
        <v>72.875</v>
      </c>
      <c r="AS330">
        <f t="shared" si="30"/>
        <v>-2.430675222416143E-2</v>
      </c>
    </row>
    <row r="331" spans="6:45" x14ac:dyDescent="0.2">
      <c r="F331">
        <v>28.594000000000001</v>
      </c>
      <c r="AB331" s="29">
        <v>36676</v>
      </c>
      <c r="AC331">
        <v>28.594000000000001</v>
      </c>
      <c r="AD331">
        <v>1422.45</v>
      </c>
      <c r="AE331">
        <f t="shared" si="29"/>
        <v>2.5891190467081961E-2</v>
      </c>
      <c r="AF331">
        <f t="shared" si="29"/>
        <v>-1.3014194341366358E-3</v>
      </c>
      <c r="AR331">
        <v>69.875</v>
      </c>
      <c r="AS331">
        <f t="shared" si="30"/>
        <v>4.2037713195393275E-2</v>
      </c>
    </row>
    <row r="332" spans="6:45" x14ac:dyDescent="0.2">
      <c r="F332">
        <v>28.437999999999999</v>
      </c>
      <c r="AB332" s="29">
        <v>36672</v>
      </c>
      <c r="AC332">
        <v>28.437999999999999</v>
      </c>
      <c r="AD332">
        <v>1378.02</v>
      </c>
      <c r="AE332">
        <f t="shared" si="29"/>
        <v>5.4706266327897704E-3</v>
      </c>
      <c r="AF332">
        <f t="shared" si="29"/>
        <v>3.1733050741467518E-2</v>
      </c>
      <c r="AR332">
        <v>69.938000000000002</v>
      </c>
      <c r="AS332">
        <f t="shared" si="30"/>
        <v>-9.0120381171831512E-4</v>
      </c>
    </row>
    <row r="333" spans="6:45" x14ac:dyDescent="0.2">
      <c r="F333">
        <v>28.280999999999999</v>
      </c>
      <c r="AB333" s="29">
        <v>36671</v>
      </c>
      <c r="AC333">
        <v>28.280999999999999</v>
      </c>
      <c r="AD333">
        <v>1381.52</v>
      </c>
      <c r="AE333">
        <f t="shared" si="29"/>
        <v>5.536077892059804E-3</v>
      </c>
      <c r="AF333">
        <f t="shared" si="29"/>
        <v>-2.5366560200359863E-3</v>
      </c>
      <c r="AR333">
        <v>69</v>
      </c>
      <c r="AS333">
        <f t="shared" si="30"/>
        <v>1.3502630689722132E-2</v>
      </c>
    </row>
    <row r="334" spans="6:45" x14ac:dyDescent="0.2">
      <c r="F334">
        <v>29.25</v>
      </c>
      <c r="AB334" s="29">
        <v>36670</v>
      </c>
      <c r="AC334">
        <v>29.25</v>
      </c>
      <c r="AD334">
        <v>1399.05</v>
      </c>
      <c r="AE334">
        <f t="shared" si="29"/>
        <v>-3.3689372595742534E-2</v>
      </c>
      <c r="AF334">
        <f t="shared" si="29"/>
        <v>-1.2609092564567638E-2</v>
      </c>
      <c r="AR334">
        <v>67.438000000000002</v>
      </c>
      <c r="AS334">
        <f t="shared" si="30"/>
        <v>2.2897847333916917E-2</v>
      </c>
    </row>
    <row r="335" spans="6:45" x14ac:dyDescent="0.2">
      <c r="F335">
        <v>29.812999999999999</v>
      </c>
      <c r="AB335" s="29">
        <v>36669</v>
      </c>
      <c r="AC335">
        <v>29.812999999999999</v>
      </c>
      <c r="AD335">
        <v>1373.86</v>
      </c>
      <c r="AE335">
        <f t="shared" si="29"/>
        <v>-1.9064966318524165E-2</v>
      </c>
      <c r="AF335">
        <f t="shared" si="29"/>
        <v>1.8169138535357589E-2</v>
      </c>
      <c r="AR335">
        <v>69.875</v>
      </c>
      <c r="AS335">
        <f t="shared" si="30"/>
        <v>-3.5499274211920846E-2</v>
      </c>
    </row>
    <row r="336" spans="6:45" x14ac:dyDescent="0.2">
      <c r="F336">
        <v>30.375</v>
      </c>
      <c r="AB336" s="29">
        <v>36668</v>
      </c>
      <c r="AC336">
        <v>30.375</v>
      </c>
      <c r="AD336">
        <v>1400.72</v>
      </c>
      <c r="AE336">
        <f t="shared" si="29"/>
        <v>-1.8675361664322876E-2</v>
      </c>
      <c r="AF336">
        <f t="shared" si="29"/>
        <v>-1.9362093812436781E-2</v>
      </c>
      <c r="AR336">
        <v>73.25</v>
      </c>
      <c r="AS336">
        <f t="shared" si="30"/>
        <v>-4.7170316421913473E-2</v>
      </c>
    </row>
    <row r="337" spans="6:45" x14ac:dyDescent="0.2">
      <c r="F337">
        <v>31.030999999999999</v>
      </c>
      <c r="AB337" s="29">
        <v>36665</v>
      </c>
      <c r="AC337">
        <v>31.030999999999999</v>
      </c>
      <c r="AD337">
        <v>1406.95</v>
      </c>
      <c r="AE337">
        <f t="shared" ref="AE337:AF400" si="31">LN(AC336/AC337)</f>
        <v>-2.1366803157517236E-2</v>
      </c>
      <c r="AF337">
        <f t="shared" si="31"/>
        <v>-4.4378507621869456E-3</v>
      </c>
      <c r="AR337">
        <v>76.625</v>
      </c>
      <c r="AS337">
        <f t="shared" ref="AS337:AS400" si="32">LN(AR336/AR337)</f>
        <v>-4.5045146359198804E-2</v>
      </c>
    </row>
    <row r="338" spans="6:45" x14ac:dyDescent="0.2">
      <c r="F338">
        <v>31.280999999999999</v>
      </c>
      <c r="AB338" s="29">
        <v>36664</v>
      </c>
      <c r="AC338">
        <v>31.280999999999999</v>
      </c>
      <c r="AD338">
        <v>1437.21</v>
      </c>
      <c r="AE338">
        <f t="shared" si="31"/>
        <v>-8.0241796573359593E-3</v>
      </c>
      <c r="AF338">
        <f t="shared" si="31"/>
        <v>-2.1279493308746799E-2</v>
      </c>
      <c r="AR338">
        <v>77.125</v>
      </c>
      <c r="AS338">
        <f t="shared" si="32"/>
        <v>-6.5040879691763767E-3</v>
      </c>
    </row>
    <row r="339" spans="6:45" x14ac:dyDescent="0.2">
      <c r="F339">
        <v>31.875</v>
      </c>
      <c r="AB339" s="29">
        <v>36663</v>
      </c>
      <c r="AC339">
        <v>31.875</v>
      </c>
      <c r="AD339">
        <v>1447.8</v>
      </c>
      <c r="AE339">
        <f t="shared" si="31"/>
        <v>-1.8811119003024478E-2</v>
      </c>
      <c r="AF339">
        <f t="shared" si="31"/>
        <v>-7.3414286700458986E-3</v>
      </c>
      <c r="AR339">
        <v>77.5</v>
      </c>
      <c r="AS339">
        <f t="shared" si="32"/>
        <v>-4.8504541337494661E-3</v>
      </c>
    </row>
    <row r="340" spans="6:45" x14ac:dyDescent="0.2">
      <c r="F340">
        <v>32.375</v>
      </c>
      <c r="AB340" s="29">
        <v>36662</v>
      </c>
      <c r="AC340">
        <v>32.375</v>
      </c>
      <c r="AD340">
        <v>1466.04</v>
      </c>
      <c r="AE340">
        <f t="shared" si="31"/>
        <v>-1.5564516541111573E-2</v>
      </c>
      <c r="AF340">
        <f t="shared" si="31"/>
        <v>-1.2519725344927709E-2</v>
      </c>
      <c r="AR340">
        <v>77.875</v>
      </c>
      <c r="AS340">
        <f t="shared" si="32"/>
        <v>-4.8270407483158679E-3</v>
      </c>
    </row>
    <row r="341" spans="6:45" x14ac:dyDescent="0.2">
      <c r="F341">
        <v>32.688000000000002</v>
      </c>
      <c r="AB341" s="29">
        <v>36661</v>
      </c>
      <c r="AC341">
        <v>32.688000000000002</v>
      </c>
      <c r="AD341">
        <v>1452.36</v>
      </c>
      <c r="AE341">
        <f t="shared" si="31"/>
        <v>-9.6215180555645208E-3</v>
      </c>
      <c r="AF341">
        <f t="shared" si="31"/>
        <v>9.375068665456102E-3</v>
      </c>
      <c r="AR341">
        <v>76.938000000000002</v>
      </c>
      <c r="AS341">
        <f t="shared" si="32"/>
        <v>1.2105074402583358E-2</v>
      </c>
    </row>
    <row r="342" spans="6:45" x14ac:dyDescent="0.2">
      <c r="F342">
        <v>31.655999999999999</v>
      </c>
      <c r="AB342" s="29">
        <v>36658</v>
      </c>
      <c r="AC342">
        <v>31.655999999999999</v>
      </c>
      <c r="AD342">
        <v>1420.96</v>
      </c>
      <c r="AE342">
        <f t="shared" si="31"/>
        <v>3.2080333992143086E-2</v>
      </c>
      <c r="AF342">
        <f t="shared" si="31"/>
        <v>2.1857120028318782E-2</v>
      </c>
      <c r="AR342">
        <v>75.563000000000002</v>
      </c>
      <c r="AS342">
        <f t="shared" si="32"/>
        <v>1.8033157313039762E-2</v>
      </c>
    </row>
    <row r="343" spans="6:45" x14ac:dyDescent="0.2">
      <c r="F343">
        <v>31.844000000000001</v>
      </c>
      <c r="AB343" s="29">
        <v>36657</v>
      </c>
      <c r="AC343">
        <v>31.844000000000001</v>
      </c>
      <c r="AD343">
        <v>1407.81</v>
      </c>
      <c r="AE343">
        <f t="shared" si="31"/>
        <v>-5.9212771432086793E-3</v>
      </c>
      <c r="AF343">
        <f t="shared" si="31"/>
        <v>9.2973940796748436E-3</v>
      </c>
      <c r="AR343">
        <v>77</v>
      </c>
      <c r="AS343">
        <f t="shared" si="32"/>
        <v>-1.8838676461689755E-2</v>
      </c>
    </row>
    <row r="344" spans="6:45" x14ac:dyDescent="0.2">
      <c r="F344">
        <v>31.030999999999999</v>
      </c>
      <c r="AB344" s="29">
        <v>36656</v>
      </c>
      <c r="AC344">
        <v>31.030999999999999</v>
      </c>
      <c r="AD344">
        <v>1383.05</v>
      </c>
      <c r="AE344">
        <f t="shared" si="31"/>
        <v>2.5862276408102135E-2</v>
      </c>
      <c r="AF344">
        <f t="shared" si="31"/>
        <v>1.7744100129325941E-2</v>
      </c>
      <c r="AR344">
        <v>74.75</v>
      </c>
      <c r="AS344">
        <f t="shared" si="32"/>
        <v>2.9656209582888022E-2</v>
      </c>
    </row>
    <row r="345" spans="6:45" x14ac:dyDescent="0.2">
      <c r="F345">
        <v>29.969000000000001</v>
      </c>
      <c r="AB345" s="29">
        <v>36655</v>
      </c>
      <c r="AC345">
        <v>29.969000000000001</v>
      </c>
      <c r="AD345">
        <v>1412.14</v>
      </c>
      <c r="AE345">
        <f t="shared" si="31"/>
        <v>3.4823190746371864E-2</v>
      </c>
      <c r="AF345">
        <f t="shared" si="31"/>
        <v>-2.0815078978586928E-2</v>
      </c>
      <c r="AR345">
        <v>72.563000000000002</v>
      </c>
      <c r="AS345">
        <f t="shared" si="32"/>
        <v>2.9694062224883876E-2</v>
      </c>
    </row>
    <row r="346" spans="6:45" x14ac:dyDescent="0.2">
      <c r="F346">
        <v>30</v>
      </c>
      <c r="AB346" s="29">
        <v>36654</v>
      </c>
      <c r="AC346">
        <v>30</v>
      </c>
      <c r="AD346">
        <v>1424.17</v>
      </c>
      <c r="AE346">
        <f t="shared" si="31"/>
        <v>-1.0338675902976161E-3</v>
      </c>
      <c r="AF346">
        <f t="shared" si="31"/>
        <v>-8.4829035891464382E-3</v>
      </c>
      <c r="AR346">
        <v>75.125</v>
      </c>
      <c r="AS346">
        <f t="shared" si="32"/>
        <v>-3.4698242809459781E-2</v>
      </c>
    </row>
    <row r="347" spans="6:45" x14ac:dyDescent="0.2">
      <c r="F347">
        <v>30.562999999999999</v>
      </c>
      <c r="AB347" s="29">
        <v>36651</v>
      </c>
      <c r="AC347">
        <v>30.562999999999999</v>
      </c>
      <c r="AD347">
        <v>1432.63</v>
      </c>
      <c r="AE347">
        <f t="shared" si="31"/>
        <v>-1.8592745357313808E-2</v>
      </c>
      <c r="AF347">
        <f t="shared" si="31"/>
        <v>-5.9227280386966261E-3</v>
      </c>
      <c r="AR347">
        <v>74.25</v>
      </c>
      <c r="AS347">
        <f t="shared" si="32"/>
        <v>1.1715615172562545E-2</v>
      </c>
    </row>
    <row r="348" spans="6:45" x14ac:dyDescent="0.2">
      <c r="F348">
        <v>29.530999999999999</v>
      </c>
      <c r="AB348" s="29">
        <v>36650</v>
      </c>
      <c r="AC348">
        <v>29.530999999999999</v>
      </c>
      <c r="AD348">
        <v>1409.57</v>
      </c>
      <c r="AE348">
        <f t="shared" si="31"/>
        <v>3.4349567969752103E-2</v>
      </c>
      <c r="AF348">
        <f t="shared" si="31"/>
        <v>1.6227222585557741E-2</v>
      </c>
      <c r="AR348">
        <v>74.375</v>
      </c>
      <c r="AS348">
        <f t="shared" si="32"/>
        <v>-1.6820861829848262E-3</v>
      </c>
    </row>
    <row r="349" spans="6:45" x14ac:dyDescent="0.2">
      <c r="F349">
        <v>29.344000000000001</v>
      </c>
      <c r="AB349" s="29">
        <v>36649</v>
      </c>
      <c r="AC349">
        <v>29.344000000000001</v>
      </c>
      <c r="AD349">
        <v>1415.1</v>
      </c>
      <c r="AE349">
        <f t="shared" si="31"/>
        <v>6.3524629756627482E-3</v>
      </c>
      <c r="AF349">
        <f t="shared" si="31"/>
        <v>-3.9155066362601939E-3</v>
      </c>
      <c r="AR349">
        <v>74.625</v>
      </c>
      <c r="AS349">
        <f t="shared" si="32"/>
        <v>-3.3557078469723042E-3</v>
      </c>
    </row>
    <row r="350" spans="6:45" x14ac:dyDescent="0.2">
      <c r="F350">
        <v>29.594000000000001</v>
      </c>
      <c r="AB350" s="29">
        <v>36648</v>
      </c>
      <c r="AC350">
        <v>29.594000000000001</v>
      </c>
      <c r="AD350">
        <v>1446.29</v>
      </c>
      <c r="AE350">
        <f t="shared" si="31"/>
        <v>-8.4835420062881802E-3</v>
      </c>
      <c r="AF350">
        <f t="shared" si="31"/>
        <v>-2.1801456902615451E-2</v>
      </c>
      <c r="AR350">
        <v>76</v>
      </c>
      <c r="AS350">
        <f t="shared" si="32"/>
        <v>-1.825776857356488E-2</v>
      </c>
    </row>
    <row r="351" spans="6:45" x14ac:dyDescent="0.2">
      <c r="F351">
        <v>29.719000000000001</v>
      </c>
      <c r="AB351" s="29">
        <v>36647</v>
      </c>
      <c r="AC351">
        <v>29.719000000000001</v>
      </c>
      <c r="AD351">
        <v>1468.25</v>
      </c>
      <c r="AE351">
        <f t="shared" si="31"/>
        <v>-4.2149338276256275E-3</v>
      </c>
      <c r="AF351">
        <f t="shared" si="31"/>
        <v>-1.5069558541687723E-2</v>
      </c>
      <c r="AR351">
        <v>72.313000000000002</v>
      </c>
      <c r="AS351">
        <f t="shared" si="32"/>
        <v>4.9729420922459543E-2</v>
      </c>
    </row>
    <row r="352" spans="6:45" x14ac:dyDescent="0.2">
      <c r="F352">
        <v>29.125</v>
      </c>
      <c r="AB352" s="29">
        <v>36644</v>
      </c>
      <c r="AC352">
        <v>29.125</v>
      </c>
      <c r="AD352">
        <v>1452.43</v>
      </c>
      <c r="AE352">
        <f t="shared" si="31"/>
        <v>2.0189660022103546E-2</v>
      </c>
      <c r="AF352">
        <f t="shared" si="31"/>
        <v>1.0833199608955815E-2</v>
      </c>
      <c r="AR352">
        <v>69.688000000000002</v>
      </c>
      <c r="AS352">
        <f t="shared" si="32"/>
        <v>3.6975782847280668E-2</v>
      </c>
    </row>
    <row r="353" spans="6:45" x14ac:dyDescent="0.2">
      <c r="F353">
        <v>29.125</v>
      </c>
      <c r="AB353" s="29">
        <v>36643</v>
      </c>
      <c r="AC353">
        <v>29.125</v>
      </c>
      <c r="AD353">
        <v>1464.92</v>
      </c>
      <c r="AE353">
        <f t="shared" si="31"/>
        <v>0</v>
      </c>
      <c r="AF353">
        <f t="shared" si="31"/>
        <v>-8.5626176579179491E-3</v>
      </c>
      <c r="AR353">
        <v>71.938000000000002</v>
      </c>
      <c r="AS353">
        <f t="shared" si="32"/>
        <v>-3.1776500419201402E-2</v>
      </c>
    </row>
    <row r="354" spans="6:45" x14ac:dyDescent="0.2">
      <c r="F354">
        <v>28.844000000000001</v>
      </c>
      <c r="AB354" s="29">
        <v>36642</v>
      </c>
      <c r="AC354">
        <v>28.844000000000001</v>
      </c>
      <c r="AD354">
        <v>1460.99</v>
      </c>
      <c r="AE354">
        <f t="shared" si="31"/>
        <v>9.6949128313514391E-3</v>
      </c>
      <c r="AF354">
        <f t="shared" si="31"/>
        <v>2.6863453512838776E-3</v>
      </c>
      <c r="AR354">
        <v>72.938000000000002</v>
      </c>
      <c r="AS354">
        <f t="shared" si="32"/>
        <v>-1.3805128271718856E-2</v>
      </c>
    </row>
    <row r="355" spans="6:45" x14ac:dyDescent="0.2">
      <c r="F355">
        <v>28.280999999999999</v>
      </c>
      <c r="AB355" s="29">
        <v>36641</v>
      </c>
      <c r="AC355">
        <v>28.280999999999999</v>
      </c>
      <c r="AD355">
        <v>1477.44</v>
      </c>
      <c r="AE355">
        <f t="shared" si="31"/>
        <v>1.9711797972390095E-2</v>
      </c>
      <c r="AF355">
        <f t="shared" si="31"/>
        <v>-1.1196572218317094E-2</v>
      </c>
      <c r="AR355">
        <v>73.75</v>
      </c>
      <c r="AS355">
        <f t="shared" si="32"/>
        <v>-1.1071230012418073E-2</v>
      </c>
    </row>
    <row r="356" spans="6:45" x14ac:dyDescent="0.2">
      <c r="F356">
        <v>27.219000000000001</v>
      </c>
      <c r="AB356" s="29">
        <v>36640</v>
      </c>
      <c r="AC356">
        <v>27.219000000000001</v>
      </c>
      <c r="AD356">
        <v>1429.86</v>
      </c>
      <c r="AE356">
        <f t="shared" si="31"/>
        <v>3.8274942226521266E-2</v>
      </c>
      <c r="AF356">
        <f t="shared" si="31"/>
        <v>3.2734322955296435E-2</v>
      </c>
      <c r="AR356">
        <v>70.5</v>
      </c>
      <c r="AS356">
        <f t="shared" si="32"/>
        <v>4.5068285401706251E-2</v>
      </c>
    </row>
    <row r="357" spans="6:45" x14ac:dyDescent="0.2">
      <c r="F357">
        <v>26.687999999999999</v>
      </c>
      <c r="AB357" s="29">
        <v>36636</v>
      </c>
      <c r="AC357">
        <v>26.687999999999999</v>
      </c>
      <c r="AD357">
        <v>1434.54</v>
      </c>
      <c r="AE357">
        <f t="shared" si="31"/>
        <v>1.9701232679265469E-2</v>
      </c>
      <c r="AF357">
        <f t="shared" si="31"/>
        <v>-3.2677029495695813E-3</v>
      </c>
      <c r="AR357">
        <v>71</v>
      </c>
      <c r="AS357">
        <f t="shared" si="32"/>
        <v>-7.067167223092443E-3</v>
      </c>
    </row>
    <row r="358" spans="6:45" x14ac:dyDescent="0.2">
      <c r="F358">
        <v>25.530999999999999</v>
      </c>
      <c r="AB358" s="29">
        <v>36635</v>
      </c>
      <c r="AC358">
        <v>25.530999999999999</v>
      </c>
      <c r="AD358">
        <v>1427.47</v>
      </c>
      <c r="AE358">
        <f t="shared" si="31"/>
        <v>4.4320626085665657E-2</v>
      </c>
      <c r="AF358">
        <f t="shared" si="31"/>
        <v>4.9405937653874653E-3</v>
      </c>
      <c r="AR358">
        <v>70.5</v>
      </c>
      <c r="AS358">
        <f t="shared" si="32"/>
        <v>7.0671672230923528E-3</v>
      </c>
    </row>
    <row r="359" spans="6:45" x14ac:dyDescent="0.2">
      <c r="F359">
        <v>24.719000000000001</v>
      </c>
      <c r="AB359" s="29">
        <v>36634</v>
      </c>
      <c r="AC359">
        <v>24.719000000000001</v>
      </c>
      <c r="AD359">
        <v>1441.61</v>
      </c>
      <c r="AE359">
        <f t="shared" si="31"/>
        <v>3.2321221393861746E-2</v>
      </c>
      <c r="AF359">
        <f t="shared" si="31"/>
        <v>-9.856898019463543E-3</v>
      </c>
      <c r="AR359">
        <v>68</v>
      </c>
      <c r="AS359">
        <f t="shared" si="32"/>
        <v>3.6105004642116356E-2</v>
      </c>
    </row>
    <row r="360" spans="6:45" x14ac:dyDescent="0.2">
      <c r="F360">
        <v>23.187999999999999</v>
      </c>
      <c r="AB360" s="29">
        <v>36633</v>
      </c>
      <c r="AC360">
        <v>23.187999999999999</v>
      </c>
      <c r="AD360">
        <v>1401.44</v>
      </c>
      <c r="AE360">
        <f t="shared" si="31"/>
        <v>6.3937275219322368E-2</v>
      </c>
      <c r="AF360">
        <f t="shared" si="31"/>
        <v>2.826026515219442E-2</v>
      </c>
      <c r="AR360">
        <v>66.75</v>
      </c>
      <c r="AS360">
        <f t="shared" si="32"/>
        <v>1.8553407895747834E-2</v>
      </c>
    </row>
    <row r="361" spans="6:45" x14ac:dyDescent="0.2">
      <c r="F361">
        <v>25.687999999999999</v>
      </c>
      <c r="AB361" s="29">
        <v>36630</v>
      </c>
      <c r="AC361">
        <v>25.687999999999999</v>
      </c>
      <c r="AD361">
        <v>1356.56</v>
      </c>
      <c r="AE361">
        <f t="shared" si="31"/>
        <v>-0.10238905330972638</v>
      </c>
      <c r="AF361">
        <f t="shared" si="31"/>
        <v>3.2548195815906886E-2</v>
      </c>
      <c r="AR361">
        <v>69.75</v>
      </c>
      <c r="AS361">
        <f t="shared" si="32"/>
        <v>-4.3963123421116058E-2</v>
      </c>
    </row>
    <row r="362" spans="6:45" x14ac:dyDescent="0.2">
      <c r="F362">
        <v>26.25</v>
      </c>
      <c r="AB362" s="29">
        <v>36629</v>
      </c>
      <c r="AC362">
        <v>26.25</v>
      </c>
      <c r="AD362">
        <v>1440.51</v>
      </c>
      <c r="AE362">
        <f t="shared" si="31"/>
        <v>-2.1642032250420013E-2</v>
      </c>
      <c r="AF362">
        <f t="shared" si="31"/>
        <v>-6.0045133935631309E-2</v>
      </c>
      <c r="AR362">
        <v>73.813000000000002</v>
      </c>
      <c r="AS362">
        <f t="shared" si="32"/>
        <v>-5.6617447153569658E-2</v>
      </c>
    </row>
    <row r="363" spans="6:45" x14ac:dyDescent="0.2">
      <c r="F363">
        <v>25.937999999999999</v>
      </c>
      <c r="AB363" s="29">
        <v>36628</v>
      </c>
      <c r="AC363">
        <v>25.937999999999999</v>
      </c>
      <c r="AD363">
        <v>1467.17</v>
      </c>
      <c r="AE363">
        <f t="shared" si="31"/>
        <v>1.1956914124083071E-2</v>
      </c>
      <c r="AF363">
        <f t="shared" si="31"/>
        <v>-1.8338157648510305E-2</v>
      </c>
      <c r="AR363">
        <v>71.125</v>
      </c>
      <c r="AS363">
        <f t="shared" si="32"/>
        <v>3.7095975408549565E-2</v>
      </c>
    </row>
    <row r="364" spans="6:45" x14ac:dyDescent="0.2">
      <c r="F364">
        <v>24.312999999999999</v>
      </c>
      <c r="AB364" s="29">
        <v>36627</v>
      </c>
      <c r="AC364">
        <v>24.312999999999999</v>
      </c>
      <c r="AD364">
        <v>1500.59</v>
      </c>
      <c r="AE364">
        <f t="shared" si="31"/>
        <v>6.4697888193653519E-2</v>
      </c>
      <c r="AF364">
        <f t="shared" si="31"/>
        <v>-2.2522988905343863E-2</v>
      </c>
      <c r="AR364">
        <v>69.125</v>
      </c>
      <c r="AS364">
        <f t="shared" si="32"/>
        <v>2.8522432603996117E-2</v>
      </c>
    </row>
    <row r="365" spans="6:45" x14ac:dyDescent="0.2">
      <c r="F365">
        <v>24.562999999999999</v>
      </c>
      <c r="AB365" s="29">
        <v>36626</v>
      </c>
      <c r="AC365">
        <v>24.562999999999999</v>
      </c>
      <c r="AD365">
        <v>1504.46</v>
      </c>
      <c r="AE365">
        <f t="shared" si="31"/>
        <v>-1.0230058936495158E-2</v>
      </c>
      <c r="AF365">
        <f t="shared" si="31"/>
        <v>-2.5756657223554988E-3</v>
      </c>
      <c r="AR365">
        <v>70.25</v>
      </c>
      <c r="AS365">
        <f t="shared" si="32"/>
        <v>-1.6143848371356278E-2</v>
      </c>
    </row>
    <row r="366" spans="6:45" x14ac:dyDescent="0.2">
      <c r="F366">
        <v>26.155999999999999</v>
      </c>
      <c r="AB366" s="29">
        <v>36623</v>
      </c>
      <c r="AC366">
        <v>26.155999999999999</v>
      </c>
      <c r="AD366">
        <v>1516.35</v>
      </c>
      <c r="AE366">
        <f t="shared" si="31"/>
        <v>-6.2837364042638164E-2</v>
      </c>
      <c r="AF366">
        <f t="shared" si="31"/>
        <v>-7.8721014574631952E-3</v>
      </c>
      <c r="AR366">
        <v>69.938000000000002</v>
      </c>
      <c r="AS366">
        <f t="shared" si="32"/>
        <v>4.4511729268735655E-3</v>
      </c>
    </row>
    <row r="367" spans="6:45" x14ac:dyDescent="0.2">
      <c r="F367">
        <v>25.844000000000001</v>
      </c>
      <c r="AB367" s="29">
        <v>36622</v>
      </c>
      <c r="AC367">
        <v>25.844000000000001</v>
      </c>
      <c r="AD367">
        <v>1501.34</v>
      </c>
      <c r="AE367">
        <f t="shared" si="31"/>
        <v>1.2000144003110339E-2</v>
      </c>
      <c r="AF367">
        <f t="shared" si="31"/>
        <v>9.9480886292829199E-3</v>
      </c>
      <c r="AR367">
        <v>67.938000000000002</v>
      </c>
      <c r="AS367">
        <f t="shared" si="32"/>
        <v>2.901361072702404E-2</v>
      </c>
    </row>
    <row r="368" spans="6:45" x14ac:dyDescent="0.2">
      <c r="F368">
        <v>25.312999999999999</v>
      </c>
      <c r="AB368" s="29">
        <v>36621</v>
      </c>
      <c r="AC368">
        <v>25.312999999999999</v>
      </c>
      <c r="AD368">
        <v>1487.37</v>
      </c>
      <c r="AE368">
        <f t="shared" si="31"/>
        <v>2.076036793783112E-2</v>
      </c>
      <c r="AF368">
        <f t="shared" si="31"/>
        <v>9.3485829962536536E-3</v>
      </c>
      <c r="AR368">
        <v>66.563000000000002</v>
      </c>
      <c r="AS368">
        <f t="shared" si="32"/>
        <v>2.0446656947336894E-2</v>
      </c>
    </row>
    <row r="369" spans="6:45" x14ac:dyDescent="0.2">
      <c r="F369">
        <v>26.155999999999999</v>
      </c>
      <c r="AB369" s="29">
        <v>36620</v>
      </c>
      <c r="AC369">
        <v>26.155999999999999</v>
      </c>
      <c r="AD369">
        <v>1494.73</v>
      </c>
      <c r="AE369">
        <f t="shared" si="31"/>
        <v>-3.2760511940941546E-2</v>
      </c>
      <c r="AF369">
        <f t="shared" si="31"/>
        <v>-4.9361288649518746E-3</v>
      </c>
      <c r="AR369">
        <v>65.438000000000002</v>
      </c>
      <c r="AS369">
        <f t="shared" si="32"/>
        <v>1.7045738132355142E-2</v>
      </c>
    </row>
    <row r="370" spans="6:45" x14ac:dyDescent="0.2">
      <c r="F370">
        <v>27.437999999999999</v>
      </c>
      <c r="AB370" s="29">
        <v>36619</v>
      </c>
      <c r="AC370">
        <v>27.437999999999999</v>
      </c>
      <c r="AD370">
        <v>1505.97</v>
      </c>
      <c r="AE370">
        <f t="shared" si="31"/>
        <v>-4.78503042049436E-2</v>
      </c>
      <c r="AF370">
        <f t="shared" si="31"/>
        <v>-7.4916203351099719E-3</v>
      </c>
      <c r="AR370">
        <v>73.563000000000002</v>
      </c>
      <c r="AS370">
        <f t="shared" si="32"/>
        <v>-0.11703905245850746</v>
      </c>
    </row>
    <row r="371" spans="6:45" x14ac:dyDescent="0.2">
      <c r="F371">
        <v>28.437999999999999</v>
      </c>
      <c r="AB371" s="29">
        <v>36616</v>
      </c>
      <c r="AC371">
        <v>28.437999999999999</v>
      </c>
      <c r="AD371">
        <v>1498.58</v>
      </c>
      <c r="AE371">
        <f t="shared" si="31"/>
        <v>-3.579736507020962E-2</v>
      </c>
      <c r="AF371">
        <f t="shared" si="31"/>
        <v>4.9192157909506403E-3</v>
      </c>
      <c r="AR371">
        <v>74.875</v>
      </c>
      <c r="AS371">
        <f t="shared" si="32"/>
        <v>-1.7677874496840679E-2</v>
      </c>
    </row>
    <row r="372" spans="6:45" x14ac:dyDescent="0.2">
      <c r="F372">
        <v>27.405999999999999</v>
      </c>
      <c r="AB372" s="29">
        <v>36615</v>
      </c>
      <c r="AC372">
        <v>27.405999999999999</v>
      </c>
      <c r="AD372">
        <v>1487.92</v>
      </c>
      <c r="AE372">
        <f t="shared" si="31"/>
        <v>3.6964311450173475E-2</v>
      </c>
      <c r="AF372">
        <f t="shared" si="31"/>
        <v>7.1388215448796302E-3</v>
      </c>
      <c r="AR372">
        <v>72.063000000000002</v>
      </c>
      <c r="AS372">
        <f t="shared" si="32"/>
        <v>3.8279320008897187E-2</v>
      </c>
    </row>
    <row r="373" spans="6:45" x14ac:dyDescent="0.2">
      <c r="F373">
        <v>26.562999999999999</v>
      </c>
      <c r="AB373" s="29">
        <v>36614</v>
      </c>
      <c r="AC373">
        <v>26.562999999999999</v>
      </c>
      <c r="AD373">
        <v>1508.52</v>
      </c>
      <c r="AE373">
        <f t="shared" si="31"/>
        <v>3.124269748712219E-2</v>
      </c>
      <c r="AF373">
        <f t="shared" si="31"/>
        <v>-1.3749866207868553E-2</v>
      </c>
      <c r="AR373">
        <v>76.5</v>
      </c>
      <c r="AS373">
        <f t="shared" si="32"/>
        <v>-5.9750004405773931E-2</v>
      </c>
    </row>
    <row r="374" spans="6:45" x14ac:dyDescent="0.2">
      <c r="F374">
        <v>26.280999999999999</v>
      </c>
      <c r="AB374" s="29">
        <v>36613</v>
      </c>
      <c r="AC374">
        <v>26.280999999999999</v>
      </c>
      <c r="AD374">
        <v>1507.73</v>
      </c>
      <c r="AE374">
        <f t="shared" si="31"/>
        <v>1.0673025394046255E-2</v>
      </c>
      <c r="AF374">
        <f t="shared" si="31"/>
        <v>5.2382927016290503E-4</v>
      </c>
      <c r="AR374">
        <v>72.813000000000002</v>
      </c>
      <c r="AS374">
        <f t="shared" si="32"/>
        <v>4.9396230143258051E-2</v>
      </c>
    </row>
    <row r="375" spans="6:45" x14ac:dyDescent="0.2">
      <c r="F375">
        <v>27.155999999999999</v>
      </c>
      <c r="AB375" s="29">
        <v>36612</v>
      </c>
      <c r="AC375">
        <v>27.155999999999999</v>
      </c>
      <c r="AD375">
        <v>1523.86</v>
      </c>
      <c r="AE375">
        <f t="shared" si="31"/>
        <v>-3.2751771796559852E-2</v>
      </c>
      <c r="AF375">
        <f t="shared" si="31"/>
        <v>-1.0641381065242726E-2</v>
      </c>
      <c r="AR375">
        <v>75.313000000000002</v>
      </c>
      <c r="AS375">
        <f t="shared" si="32"/>
        <v>-3.3758251977853433E-2</v>
      </c>
    </row>
    <row r="376" spans="6:45" x14ac:dyDescent="0.2">
      <c r="F376">
        <v>26.594000000000001</v>
      </c>
      <c r="AB376" s="29">
        <v>36609</v>
      </c>
      <c r="AC376">
        <v>26.594000000000001</v>
      </c>
      <c r="AD376">
        <v>1527.46</v>
      </c>
      <c r="AE376">
        <f t="shared" si="31"/>
        <v>2.0912390004886407E-2</v>
      </c>
      <c r="AF376">
        <f t="shared" si="31"/>
        <v>-2.3596356136780785E-3</v>
      </c>
      <c r="AR376">
        <v>72</v>
      </c>
      <c r="AS376">
        <f t="shared" si="32"/>
        <v>4.4986643651030236E-2</v>
      </c>
    </row>
    <row r="377" spans="6:45" x14ac:dyDescent="0.2">
      <c r="F377">
        <v>26.75</v>
      </c>
      <c r="AB377" s="29">
        <v>36608</v>
      </c>
      <c r="AC377">
        <v>26.75</v>
      </c>
      <c r="AD377">
        <v>1527.35</v>
      </c>
      <c r="AE377">
        <f t="shared" si="31"/>
        <v>-5.8488469075013748E-3</v>
      </c>
      <c r="AF377">
        <f t="shared" si="31"/>
        <v>7.2017572318941965E-5</v>
      </c>
      <c r="AR377">
        <v>73</v>
      </c>
      <c r="AS377">
        <f t="shared" si="32"/>
        <v>-1.3793322132335873E-2</v>
      </c>
    </row>
    <row r="378" spans="6:45" x14ac:dyDescent="0.2">
      <c r="F378">
        <v>26.5</v>
      </c>
      <c r="AB378" s="29">
        <v>36607</v>
      </c>
      <c r="AC378">
        <v>26.5</v>
      </c>
      <c r="AD378">
        <v>1500.64</v>
      </c>
      <c r="AE378">
        <f t="shared" si="31"/>
        <v>9.3897403498391374E-3</v>
      </c>
      <c r="AF378">
        <f t="shared" si="31"/>
        <v>1.7642523790550653E-2</v>
      </c>
      <c r="AR378">
        <v>75.063000000000002</v>
      </c>
      <c r="AS378">
        <f t="shared" si="32"/>
        <v>-2.7868319785362947E-2</v>
      </c>
    </row>
    <row r="379" spans="6:45" x14ac:dyDescent="0.2">
      <c r="F379">
        <v>25.437999999999999</v>
      </c>
      <c r="AB379" s="29">
        <v>36606</v>
      </c>
      <c r="AC379">
        <v>25.437999999999999</v>
      </c>
      <c r="AD379">
        <v>1493.87</v>
      </c>
      <c r="AE379">
        <f t="shared" si="31"/>
        <v>4.0900613962883796E-2</v>
      </c>
      <c r="AF379">
        <f t="shared" si="31"/>
        <v>4.5216155794356241E-3</v>
      </c>
      <c r="AR379">
        <v>71.75</v>
      </c>
      <c r="AS379">
        <f t="shared" si="32"/>
        <v>4.5139906294023632E-2</v>
      </c>
    </row>
    <row r="380" spans="6:45" x14ac:dyDescent="0.2">
      <c r="F380">
        <v>25.719000000000001</v>
      </c>
      <c r="AB380" s="29">
        <v>36605</v>
      </c>
      <c r="AC380">
        <v>25.719000000000001</v>
      </c>
      <c r="AD380">
        <v>1456.63</v>
      </c>
      <c r="AE380">
        <f t="shared" si="31"/>
        <v>-1.0985899335435959E-2</v>
      </c>
      <c r="AF380">
        <f t="shared" si="31"/>
        <v>2.524451970119114E-2</v>
      </c>
      <c r="AR380">
        <v>68.563000000000002</v>
      </c>
      <c r="AS380">
        <f t="shared" si="32"/>
        <v>4.5434824014646345E-2</v>
      </c>
    </row>
    <row r="381" spans="6:45" x14ac:dyDescent="0.2">
      <c r="F381">
        <v>25.75</v>
      </c>
      <c r="AB381" s="29">
        <v>36602</v>
      </c>
      <c r="AC381">
        <v>25.75</v>
      </c>
      <c r="AD381">
        <v>1464.47</v>
      </c>
      <c r="AE381">
        <f t="shared" si="31"/>
        <v>-1.2046087450164943E-3</v>
      </c>
      <c r="AF381">
        <f t="shared" si="31"/>
        <v>-5.3678537708687132E-3</v>
      </c>
      <c r="AR381">
        <v>69.25</v>
      </c>
      <c r="AS381">
        <f t="shared" si="32"/>
        <v>-9.9701144423637294E-3</v>
      </c>
    </row>
    <row r="382" spans="6:45" x14ac:dyDescent="0.2">
      <c r="F382">
        <v>26.125</v>
      </c>
      <c r="AB382" s="29">
        <v>36601</v>
      </c>
      <c r="AC382">
        <v>26.125</v>
      </c>
      <c r="AD382">
        <v>1458.47</v>
      </c>
      <c r="AE382">
        <f t="shared" si="31"/>
        <v>-1.4458083175229888E-2</v>
      </c>
      <c r="AF382">
        <f t="shared" si="31"/>
        <v>4.105461232460199E-3</v>
      </c>
      <c r="AR382">
        <v>69.438000000000002</v>
      </c>
      <c r="AS382">
        <f t="shared" si="32"/>
        <v>-2.7111230265478869E-3</v>
      </c>
    </row>
    <row r="383" spans="6:45" x14ac:dyDescent="0.2">
      <c r="F383">
        <v>24.905999999999999</v>
      </c>
      <c r="AB383" s="29">
        <v>36600</v>
      </c>
      <c r="AC383">
        <v>24.905999999999999</v>
      </c>
      <c r="AD383">
        <v>1392.14</v>
      </c>
      <c r="AE383">
        <f t="shared" si="31"/>
        <v>4.7783971986018504E-2</v>
      </c>
      <c r="AF383">
        <f t="shared" si="31"/>
        <v>4.6545809468698594E-2</v>
      </c>
      <c r="AR383">
        <v>68.438000000000002</v>
      </c>
      <c r="AS383">
        <f t="shared" si="32"/>
        <v>1.4506042173790803E-2</v>
      </c>
    </row>
    <row r="384" spans="6:45" x14ac:dyDescent="0.2">
      <c r="F384">
        <v>25.219000000000001</v>
      </c>
      <c r="AB384" s="29">
        <v>36599</v>
      </c>
      <c r="AC384">
        <v>25.219000000000001</v>
      </c>
      <c r="AD384">
        <v>1359.15</v>
      </c>
      <c r="AE384">
        <f t="shared" si="31"/>
        <v>-1.2488940381113525E-2</v>
      </c>
      <c r="AF384">
        <f t="shared" si="31"/>
        <v>2.3982627213531935E-2</v>
      </c>
      <c r="AR384">
        <v>65.188000000000002</v>
      </c>
      <c r="AS384">
        <f t="shared" si="32"/>
        <v>4.865282300646253E-2</v>
      </c>
    </row>
    <row r="385" spans="6:45" x14ac:dyDescent="0.2">
      <c r="F385">
        <v>25.625</v>
      </c>
      <c r="AB385" s="29">
        <v>36598</v>
      </c>
      <c r="AC385">
        <v>25.625</v>
      </c>
      <c r="AD385">
        <v>1383.62</v>
      </c>
      <c r="AE385">
        <f t="shared" si="31"/>
        <v>-1.5970758778502084E-2</v>
      </c>
      <c r="AF385">
        <f t="shared" si="31"/>
        <v>-1.784374866717164E-2</v>
      </c>
      <c r="AR385">
        <v>66</v>
      </c>
      <c r="AS385">
        <f t="shared" si="32"/>
        <v>-1.2379339112683163E-2</v>
      </c>
    </row>
    <row r="386" spans="6:45" x14ac:dyDescent="0.2">
      <c r="F386">
        <v>26.25</v>
      </c>
      <c r="AB386" s="29">
        <v>36595</v>
      </c>
      <c r="AC386">
        <v>26.25</v>
      </c>
      <c r="AD386">
        <v>1395.07</v>
      </c>
      <c r="AE386">
        <f t="shared" si="31"/>
        <v>-2.409755157906053E-2</v>
      </c>
      <c r="AF386">
        <f t="shared" si="31"/>
        <v>-8.2413402046499617E-3</v>
      </c>
      <c r="AR386">
        <v>68.125</v>
      </c>
      <c r="AS386">
        <f t="shared" si="32"/>
        <v>-3.1689510956982546E-2</v>
      </c>
    </row>
    <row r="387" spans="6:45" x14ac:dyDescent="0.2">
      <c r="F387">
        <v>26.030999999999999</v>
      </c>
      <c r="AB387" s="29">
        <v>36594</v>
      </c>
      <c r="AC387">
        <v>26.030999999999999</v>
      </c>
      <c r="AD387">
        <v>1401.69</v>
      </c>
      <c r="AE387">
        <f t="shared" si="31"/>
        <v>8.377853558170412E-3</v>
      </c>
      <c r="AF387">
        <f t="shared" si="31"/>
        <v>-4.7340582413698019E-3</v>
      </c>
      <c r="AR387">
        <v>65.938000000000002</v>
      </c>
      <c r="AS387">
        <f t="shared" si="32"/>
        <v>3.2629346403384253E-2</v>
      </c>
    </row>
    <row r="388" spans="6:45" x14ac:dyDescent="0.2">
      <c r="F388">
        <v>25.094000000000001</v>
      </c>
      <c r="AB388" s="29">
        <v>36593</v>
      </c>
      <c r="AC388">
        <v>25.094000000000001</v>
      </c>
      <c r="AD388">
        <v>1366.7</v>
      </c>
      <c r="AE388">
        <f t="shared" si="31"/>
        <v>3.6659361741954187E-2</v>
      </c>
      <c r="AF388">
        <f t="shared" si="31"/>
        <v>2.527957647861595E-2</v>
      </c>
      <c r="AR388">
        <v>67.188000000000002</v>
      </c>
      <c r="AS388">
        <f t="shared" si="32"/>
        <v>-1.8779753574732574E-2</v>
      </c>
    </row>
    <row r="389" spans="6:45" x14ac:dyDescent="0.2">
      <c r="F389">
        <v>24.594000000000001</v>
      </c>
      <c r="AB389" s="29">
        <v>36592</v>
      </c>
      <c r="AC389">
        <v>24.594000000000001</v>
      </c>
      <c r="AD389">
        <v>1355.62</v>
      </c>
      <c r="AE389">
        <f t="shared" si="31"/>
        <v>2.0126262987252543E-2</v>
      </c>
      <c r="AF389">
        <f t="shared" si="31"/>
        <v>8.1401607320565981E-3</v>
      </c>
      <c r="AR389">
        <v>71.313000000000002</v>
      </c>
      <c r="AS389">
        <f t="shared" si="32"/>
        <v>-5.9583978836472588E-2</v>
      </c>
    </row>
    <row r="390" spans="6:45" x14ac:dyDescent="0.2">
      <c r="F390">
        <v>23.905999999999999</v>
      </c>
      <c r="AB390" s="29">
        <v>36591</v>
      </c>
      <c r="AC390">
        <v>23.905999999999999</v>
      </c>
      <c r="AD390">
        <v>1391.28</v>
      </c>
      <c r="AE390">
        <f t="shared" si="31"/>
        <v>2.8373037294466479E-2</v>
      </c>
      <c r="AF390">
        <f t="shared" si="31"/>
        <v>-2.5965272460888884E-2</v>
      </c>
      <c r="AR390">
        <v>68.75</v>
      </c>
      <c r="AS390">
        <f t="shared" si="32"/>
        <v>3.6601902444548466E-2</v>
      </c>
    </row>
    <row r="391" spans="6:45" x14ac:dyDescent="0.2">
      <c r="F391">
        <v>23.905999999999999</v>
      </c>
      <c r="AB391" s="29">
        <v>36588</v>
      </c>
      <c r="AC391">
        <v>23.905999999999999</v>
      </c>
      <c r="AD391">
        <v>1409.17</v>
      </c>
      <c r="AE391">
        <f t="shared" si="31"/>
        <v>0</v>
      </c>
      <c r="AF391">
        <f t="shared" si="31"/>
        <v>-1.2776691866463252E-2</v>
      </c>
      <c r="AR391">
        <v>68.5</v>
      </c>
      <c r="AS391">
        <f t="shared" si="32"/>
        <v>3.6429912785010087E-3</v>
      </c>
    </row>
    <row r="392" spans="6:45" x14ac:dyDescent="0.2">
      <c r="F392">
        <v>23.625</v>
      </c>
      <c r="AB392" s="29">
        <v>36587</v>
      </c>
      <c r="AC392">
        <v>23.625</v>
      </c>
      <c r="AD392">
        <v>1381.76</v>
      </c>
      <c r="AE392">
        <f t="shared" si="31"/>
        <v>1.1824000075982718E-2</v>
      </c>
      <c r="AF392">
        <f t="shared" si="31"/>
        <v>1.9642829679662539E-2</v>
      </c>
      <c r="AR392">
        <v>68.375</v>
      </c>
      <c r="AS392">
        <f t="shared" si="32"/>
        <v>1.8264845260342812E-3</v>
      </c>
    </row>
    <row r="393" spans="6:45" x14ac:dyDescent="0.2">
      <c r="F393">
        <v>23.5</v>
      </c>
      <c r="AB393" s="29">
        <v>36586</v>
      </c>
      <c r="AC393">
        <v>23.5</v>
      </c>
      <c r="AD393">
        <v>1379.19</v>
      </c>
      <c r="AE393">
        <f t="shared" si="31"/>
        <v>5.3050522296930981E-3</v>
      </c>
      <c r="AF393">
        <f t="shared" si="31"/>
        <v>1.8616785832910249E-3</v>
      </c>
      <c r="AR393">
        <v>69</v>
      </c>
      <c r="AS393">
        <f t="shared" si="32"/>
        <v>-9.0992438551141461E-3</v>
      </c>
    </row>
    <row r="394" spans="6:45" x14ac:dyDescent="0.2">
      <c r="F394">
        <v>23.469000000000001</v>
      </c>
      <c r="AB394" s="29">
        <v>36585</v>
      </c>
      <c r="AC394">
        <v>23.469000000000001</v>
      </c>
      <c r="AD394">
        <v>1366.42</v>
      </c>
      <c r="AE394">
        <f t="shared" si="31"/>
        <v>1.3200197790598962E-3</v>
      </c>
      <c r="AF394">
        <f t="shared" si="31"/>
        <v>9.302189373569263E-3</v>
      </c>
      <c r="AR394">
        <v>68.75</v>
      </c>
      <c r="AS394">
        <f t="shared" si="32"/>
        <v>3.6297680505787311E-3</v>
      </c>
    </row>
    <row r="395" spans="6:45" x14ac:dyDescent="0.2">
      <c r="F395">
        <v>22.312999999999999</v>
      </c>
      <c r="AB395" s="29">
        <v>36584</v>
      </c>
      <c r="AC395">
        <v>22.312999999999999</v>
      </c>
      <c r="AD395">
        <v>1348.05</v>
      </c>
      <c r="AE395">
        <f t="shared" si="31"/>
        <v>5.0510933118687165E-2</v>
      </c>
      <c r="AF395">
        <f t="shared" si="31"/>
        <v>1.3535077157035507E-2</v>
      </c>
      <c r="AR395">
        <v>64.813000000000002</v>
      </c>
      <c r="AS395">
        <f t="shared" si="32"/>
        <v>5.8970536025457286E-2</v>
      </c>
    </row>
    <row r="396" spans="6:45" x14ac:dyDescent="0.2">
      <c r="F396">
        <v>22.5</v>
      </c>
      <c r="AB396" s="29">
        <v>36581</v>
      </c>
      <c r="AC396">
        <v>22.5</v>
      </c>
      <c r="AD396">
        <v>1333.36</v>
      </c>
      <c r="AE396">
        <f t="shared" si="31"/>
        <v>-8.3458409580082962E-3</v>
      </c>
      <c r="AF396">
        <f t="shared" si="31"/>
        <v>1.0957031538571586E-2</v>
      </c>
      <c r="AR396">
        <v>65.625</v>
      </c>
      <c r="AS396">
        <f t="shared" si="32"/>
        <v>-1.2450520390564485E-2</v>
      </c>
    </row>
    <row r="397" spans="6:45" x14ac:dyDescent="0.2">
      <c r="F397">
        <v>22.25</v>
      </c>
      <c r="AB397" s="29">
        <v>36580</v>
      </c>
      <c r="AC397">
        <v>22.25</v>
      </c>
      <c r="AD397">
        <v>1353.43</v>
      </c>
      <c r="AE397">
        <f t="shared" si="31"/>
        <v>1.1173300598125255E-2</v>
      </c>
      <c r="AF397">
        <f t="shared" si="31"/>
        <v>-1.494003871427774E-2</v>
      </c>
      <c r="AR397">
        <v>65.563000000000002</v>
      </c>
      <c r="AS397">
        <f t="shared" si="32"/>
        <v>9.4520847357983475E-4</v>
      </c>
    </row>
    <row r="398" spans="6:45" x14ac:dyDescent="0.2">
      <c r="F398">
        <v>22.062999999999999</v>
      </c>
      <c r="AB398" s="29">
        <v>36579</v>
      </c>
      <c r="AC398">
        <v>22.062999999999999</v>
      </c>
      <c r="AD398">
        <v>1360.69</v>
      </c>
      <c r="AE398">
        <f t="shared" si="31"/>
        <v>8.4400112860147699E-3</v>
      </c>
      <c r="AF398">
        <f t="shared" si="31"/>
        <v>-5.3498130630879681E-3</v>
      </c>
      <c r="AR398">
        <v>65.438000000000002</v>
      </c>
      <c r="AS398">
        <f t="shared" si="32"/>
        <v>1.9083829579426574E-3</v>
      </c>
    </row>
    <row r="399" spans="6:45" x14ac:dyDescent="0.2">
      <c r="F399">
        <v>21.812999999999999</v>
      </c>
      <c r="AB399" s="29">
        <v>36578</v>
      </c>
      <c r="AC399">
        <v>21.812999999999999</v>
      </c>
      <c r="AD399">
        <v>1352.17</v>
      </c>
      <c r="AE399">
        <f t="shared" si="31"/>
        <v>1.1395874990205045E-2</v>
      </c>
      <c r="AF399">
        <f t="shared" si="31"/>
        <v>6.2812146679728995E-3</v>
      </c>
      <c r="AR399">
        <v>66</v>
      </c>
      <c r="AS399">
        <f t="shared" si="32"/>
        <v>-8.5516125461602022E-3</v>
      </c>
    </row>
    <row r="400" spans="6:45" x14ac:dyDescent="0.2">
      <c r="F400">
        <v>23</v>
      </c>
      <c r="AB400" s="29">
        <v>36574</v>
      </c>
      <c r="AC400">
        <v>23</v>
      </c>
      <c r="AD400">
        <v>1346.09</v>
      </c>
      <c r="AE400">
        <f t="shared" si="31"/>
        <v>-5.2988093593120275E-2</v>
      </c>
      <c r="AF400">
        <f t="shared" si="31"/>
        <v>4.5066155894436253E-3</v>
      </c>
      <c r="AR400">
        <v>69.188000000000002</v>
      </c>
      <c r="AS400">
        <f t="shared" si="32"/>
        <v>-4.7172695155251479E-2</v>
      </c>
    </row>
    <row r="401" spans="6:45" x14ac:dyDescent="0.2">
      <c r="F401">
        <v>23.375</v>
      </c>
      <c r="AB401" s="29">
        <v>36573</v>
      </c>
      <c r="AC401">
        <v>23.375</v>
      </c>
      <c r="AD401">
        <v>1388.26</v>
      </c>
      <c r="AE401">
        <f t="shared" ref="AE401:AF464" si="33">LN(AC400/AC401)</f>
        <v>-1.6172859245600957E-2</v>
      </c>
      <c r="AF401">
        <f t="shared" si="33"/>
        <v>-3.0847070655427272E-2</v>
      </c>
      <c r="AR401">
        <v>70.313000000000002</v>
      </c>
      <c r="AS401">
        <f t="shared" ref="AS401:AS464" si="34">LN(AR400/AR401)</f>
        <v>-1.6129266302889581E-2</v>
      </c>
    </row>
    <row r="402" spans="6:45" x14ac:dyDescent="0.2">
      <c r="F402">
        <v>23.25</v>
      </c>
      <c r="AB402" s="29">
        <v>36572</v>
      </c>
      <c r="AC402">
        <v>23.25</v>
      </c>
      <c r="AD402">
        <v>1387.67</v>
      </c>
      <c r="AE402">
        <f t="shared" si="33"/>
        <v>5.3619431413853731E-3</v>
      </c>
      <c r="AF402">
        <f t="shared" si="33"/>
        <v>4.2508277145605693E-4</v>
      </c>
      <c r="AR402">
        <v>69.875</v>
      </c>
      <c r="AS402">
        <f t="shared" si="34"/>
        <v>6.2487720093032861E-3</v>
      </c>
    </row>
    <row r="403" spans="6:45" x14ac:dyDescent="0.2">
      <c r="F403">
        <v>22.655999999999999</v>
      </c>
      <c r="AB403" s="29">
        <v>36571</v>
      </c>
      <c r="AC403">
        <v>22.655999999999999</v>
      </c>
      <c r="AD403">
        <v>1402.05</v>
      </c>
      <c r="AE403">
        <f t="shared" si="33"/>
        <v>2.5880414522056142E-2</v>
      </c>
      <c r="AF403">
        <f t="shared" si="33"/>
        <v>-1.0309369658861213E-2</v>
      </c>
      <c r="AR403">
        <v>68.938000000000002</v>
      </c>
      <c r="AS403">
        <f t="shared" si="34"/>
        <v>1.3500381541335016E-2</v>
      </c>
    </row>
    <row r="404" spans="6:45" x14ac:dyDescent="0.2">
      <c r="F404">
        <v>22.280999999999999</v>
      </c>
      <c r="AB404" s="29">
        <v>36570</v>
      </c>
      <c r="AC404">
        <v>22.280999999999999</v>
      </c>
      <c r="AD404">
        <v>1389.94</v>
      </c>
      <c r="AE404">
        <f t="shared" si="33"/>
        <v>1.6690420156040265E-2</v>
      </c>
      <c r="AF404">
        <f t="shared" si="33"/>
        <v>8.6748705712460846E-3</v>
      </c>
      <c r="AR404">
        <v>67.813000000000002</v>
      </c>
      <c r="AS404">
        <f t="shared" si="34"/>
        <v>1.645363295444251E-2</v>
      </c>
    </row>
    <row r="405" spans="6:45" x14ac:dyDescent="0.2">
      <c r="F405">
        <v>22.155999999999999</v>
      </c>
      <c r="AB405" s="29">
        <v>36567</v>
      </c>
      <c r="AC405">
        <v>22.155999999999999</v>
      </c>
      <c r="AD405">
        <v>1387.12</v>
      </c>
      <c r="AE405">
        <f t="shared" si="33"/>
        <v>5.6259571844117055E-3</v>
      </c>
      <c r="AF405">
        <f t="shared" si="33"/>
        <v>2.0309254890385452E-3</v>
      </c>
      <c r="AR405">
        <v>65.875</v>
      </c>
      <c r="AS405">
        <f t="shared" si="34"/>
        <v>2.899491011795919E-2</v>
      </c>
    </row>
    <row r="406" spans="6:45" x14ac:dyDescent="0.2">
      <c r="F406">
        <v>21.905999999999999</v>
      </c>
      <c r="AB406" s="29">
        <v>36566</v>
      </c>
      <c r="AC406">
        <v>21.905999999999999</v>
      </c>
      <c r="AD406">
        <v>1416.83</v>
      </c>
      <c r="AE406">
        <f t="shared" si="33"/>
        <v>1.1347768269302592E-2</v>
      </c>
      <c r="AF406">
        <f t="shared" si="33"/>
        <v>-2.1192326485726515E-2</v>
      </c>
      <c r="AR406">
        <v>67.625</v>
      </c>
      <c r="AS406">
        <f t="shared" si="34"/>
        <v>-2.6218730305119189E-2</v>
      </c>
    </row>
    <row r="407" spans="6:45" x14ac:dyDescent="0.2">
      <c r="F407">
        <v>21.219000000000001</v>
      </c>
      <c r="AB407" s="29">
        <v>36565</v>
      </c>
      <c r="AC407">
        <v>21.219000000000001</v>
      </c>
      <c r="AD407">
        <v>1411.71</v>
      </c>
      <c r="AE407">
        <f t="shared" si="33"/>
        <v>3.1863565179592053E-2</v>
      </c>
      <c r="AF407">
        <f t="shared" si="33"/>
        <v>3.6202461990778156E-3</v>
      </c>
      <c r="AR407">
        <v>66.438000000000002</v>
      </c>
      <c r="AS407">
        <f t="shared" si="34"/>
        <v>1.7708555222619431E-2</v>
      </c>
    </row>
    <row r="408" spans="6:45" x14ac:dyDescent="0.2">
      <c r="F408">
        <v>20.687999999999999</v>
      </c>
      <c r="AB408" s="29">
        <v>36564</v>
      </c>
      <c r="AC408">
        <v>20.687999999999999</v>
      </c>
      <c r="AD408">
        <v>1441.72</v>
      </c>
      <c r="AE408">
        <f t="shared" si="33"/>
        <v>2.5343184692461093E-2</v>
      </c>
      <c r="AF408">
        <f t="shared" si="33"/>
        <v>-2.1035109710187998E-2</v>
      </c>
      <c r="AR408">
        <v>66.125</v>
      </c>
      <c r="AS408">
        <f t="shared" si="34"/>
        <v>4.7222917655627443E-3</v>
      </c>
    </row>
    <row r="409" spans="6:45" x14ac:dyDescent="0.2">
      <c r="F409">
        <v>20.312999999999999</v>
      </c>
      <c r="AB409" s="29">
        <v>36563</v>
      </c>
      <c r="AC409">
        <v>20.312999999999999</v>
      </c>
      <c r="AD409">
        <v>1424.24</v>
      </c>
      <c r="AE409">
        <f t="shared" si="33"/>
        <v>1.8292746857883586E-2</v>
      </c>
      <c r="AF409">
        <f t="shared" si="33"/>
        <v>1.2198507136646801E-2</v>
      </c>
      <c r="AR409">
        <v>62.5</v>
      </c>
      <c r="AS409">
        <f t="shared" si="34"/>
        <v>5.6380333436107689E-2</v>
      </c>
    </row>
    <row r="410" spans="6:45" x14ac:dyDescent="0.2">
      <c r="F410">
        <v>20.344000000000001</v>
      </c>
      <c r="AB410" s="29">
        <v>36560</v>
      </c>
      <c r="AC410">
        <v>20.344000000000001</v>
      </c>
      <c r="AD410">
        <v>1424.37</v>
      </c>
      <c r="AE410">
        <f t="shared" si="33"/>
        <v>-1.524952948200648E-3</v>
      </c>
      <c r="AF410">
        <f t="shared" si="33"/>
        <v>-9.1272585640115615E-5</v>
      </c>
      <c r="AR410">
        <v>61.75</v>
      </c>
      <c r="AS410">
        <f t="shared" si="34"/>
        <v>1.207258123426924E-2</v>
      </c>
    </row>
    <row r="411" spans="6:45" x14ac:dyDescent="0.2">
      <c r="F411">
        <v>20.437999999999999</v>
      </c>
      <c r="AB411" s="29">
        <v>36559</v>
      </c>
      <c r="AC411">
        <v>20.437999999999999</v>
      </c>
      <c r="AD411">
        <v>1424.97</v>
      </c>
      <c r="AE411">
        <f t="shared" si="33"/>
        <v>-4.6098850701986804E-3</v>
      </c>
      <c r="AF411">
        <f t="shared" si="33"/>
        <v>-4.2115016731490761E-4</v>
      </c>
      <c r="AR411">
        <v>63.688000000000002</v>
      </c>
      <c r="AS411">
        <f t="shared" si="34"/>
        <v>-3.0902186278190483E-2</v>
      </c>
    </row>
    <row r="412" spans="6:45" x14ac:dyDescent="0.2">
      <c r="F412">
        <v>19.687999999999999</v>
      </c>
      <c r="AB412" s="29">
        <v>36558</v>
      </c>
      <c r="AC412">
        <v>19.687999999999999</v>
      </c>
      <c r="AD412">
        <v>1409.12</v>
      </c>
      <c r="AE412">
        <f t="shared" si="33"/>
        <v>3.7386600101262539E-2</v>
      </c>
      <c r="AF412">
        <f t="shared" si="33"/>
        <v>1.1185364792412934E-2</v>
      </c>
      <c r="AR412">
        <v>62.875</v>
      </c>
      <c r="AS412">
        <f t="shared" si="34"/>
        <v>1.2847533366373735E-2</v>
      </c>
    </row>
    <row r="413" spans="6:45" x14ac:dyDescent="0.2">
      <c r="F413">
        <v>19.75</v>
      </c>
      <c r="AB413" s="29">
        <v>36557</v>
      </c>
      <c r="AC413">
        <v>19.75</v>
      </c>
      <c r="AD413">
        <v>1409.28</v>
      </c>
      <c r="AE413">
        <f t="shared" si="33"/>
        <v>-3.1441782583762098E-3</v>
      </c>
      <c r="AF413">
        <f t="shared" si="33"/>
        <v>-1.1353959705650189E-4</v>
      </c>
      <c r="AR413">
        <v>64.5</v>
      </c>
      <c r="AS413">
        <f t="shared" si="34"/>
        <v>-2.5516595381823572E-2</v>
      </c>
    </row>
    <row r="414" spans="6:45" x14ac:dyDescent="0.2">
      <c r="F414">
        <v>19.812999999999999</v>
      </c>
      <c r="AB414" s="29">
        <v>36556</v>
      </c>
      <c r="AC414">
        <v>19.812999999999999</v>
      </c>
      <c r="AD414">
        <v>1394.46</v>
      </c>
      <c r="AE414">
        <f t="shared" si="33"/>
        <v>-3.1847965649909687E-3</v>
      </c>
      <c r="AF414">
        <f t="shared" si="33"/>
        <v>1.0571692114229847E-2</v>
      </c>
      <c r="AR414">
        <v>67.875</v>
      </c>
      <c r="AS414">
        <f t="shared" si="34"/>
        <v>-5.1002554452372686E-2</v>
      </c>
    </row>
    <row r="415" spans="6:45" x14ac:dyDescent="0.2">
      <c r="F415">
        <v>19.75</v>
      </c>
      <c r="AB415" s="29">
        <v>36553</v>
      </c>
      <c r="AC415">
        <v>19.75</v>
      </c>
      <c r="AD415">
        <v>1360.16</v>
      </c>
      <c r="AE415">
        <f t="shared" si="33"/>
        <v>3.1847965649908299E-3</v>
      </c>
      <c r="AF415">
        <f t="shared" si="33"/>
        <v>2.4904903670926997E-2</v>
      </c>
      <c r="AR415">
        <v>60.188000000000002</v>
      </c>
      <c r="AS415">
        <f t="shared" si="34"/>
        <v>0.12019478135746775</v>
      </c>
    </row>
    <row r="416" spans="6:45" x14ac:dyDescent="0.2">
      <c r="F416">
        <v>19.905999999999999</v>
      </c>
      <c r="AB416" s="29">
        <v>36552</v>
      </c>
      <c r="AC416">
        <v>19.905999999999999</v>
      </c>
      <c r="AD416">
        <v>1398.56</v>
      </c>
      <c r="AE416">
        <f t="shared" si="33"/>
        <v>-7.8677024767408333E-3</v>
      </c>
      <c r="AF416">
        <f t="shared" si="33"/>
        <v>-2.7840795963128967E-2</v>
      </c>
      <c r="AR416">
        <v>61</v>
      </c>
      <c r="AS416">
        <f t="shared" si="34"/>
        <v>-1.3400867276679556E-2</v>
      </c>
    </row>
    <row r="417" spans="6:45" x14ac:dyDescent="0.2">
      <c r="F417">
        <v>20.219000000000001</v>
      </c>
      <c r="AB417" s="29">
        <v>36551</v>
      </c>
      <c r="AC417">
        <v>20.219000000000001</v>
      </c>
      <c r="AD417">
        <v>1404.09</v>
      </c>
      <c r="AE417">
        <f t="shared" si="33"/>
        <v>-1.5601562561292101E-2</v>
      </c>
      <c r="AF417">
        <f t="shared" si="33"/>
        <v>-3.9462702631996166E-3</v>
      </c>
      <c r="AR417">
        <v>61.125</v>
      </c>
      <c r="AS417">
        <f t="shared" si="34"/>
        <v>-2.0470836217247996E-3</v>
      </c>
    </row>
    <row r="418" spans="6:45" x14ac:dyDescent="0.2">
      <c r="F418">
        <v>20.125</v>
      </c>
      <c r="AB418" s="29">
        <v>36550</v>
      </c>
      <c r="AC418">
        <v>20.125</v>
      </c>
      <c r="AD418">
        <v>1410.03</v>
      </c>
      <c r="AE418">
        <f t="shared" si="33"/>
        <v>4.6599330805368504E-3</v>
      </c>
      <c r="AF418">
        <f t="shared" si="33"/>
        <v>-4.2215746462376594E-3</v>
      </c>
      <c r="AR418">
        <v>61.25</v>
      </c>
      <c r="AS418">
        <f t="shared" si="34"/>
        <v>-2.0429016298002933E-3</v>
      </c>
    </row>
    <row r="419" spans="6:45" x14ac:dyDescent="0.2">
      <c r="F419">
        <v>20.312999999999999</v>
      </c>
      <c r="AB419" s="29">
        <v>36549</v>
      </c>
      <c r="AC419">
        <v>20.312999999999999</v>
      </c>
      <c r="AD419">
        <v>1401.53</v>
      </c>
      <c r="AE419">
        <f t="shared" si="33"/>
        <v>-9.2982518669908597E-3</v>
      </c>
      <c r="AF419">
        <f t="shared" si="33"/>
        <v>6.046483729051793E-3</v>
      </c>
      <c r="AR419">
        <v>65</v>
      </c>
      <c r="AS419">
        <f t="shared" si="34"/>
        <v>-5.9423420470800764E-2</v>
      </c>
    </row>
    <row r="420" spans="6:45" x14ac:dyDescent="0.2">
      <c r="F420">
        <v>20.437999999999999</v>
      </c>
      <c r="AB420" s="29">
        <v>36546</v>
      </c>
      <c r="AC420">
        <v>20.437999999999999</v>
      </c>
      <c r="AD420">
        <v>1441.36</v>
      </c>
      <c r="AE420">
        <f t="shared" si="33"/>
        <v>-6.1348380183993394E-3</v>
      </c>
      <c r="AF420">
        <f t="shared" si="33"/>
        <v>-2.8022615294881394E-2</v>
      </c>
      <c r="AR420">
        <v>71.625</v>
      </c>
      <c r="AS420">
        <f t="shared" si="34"/>
        <v>-9.7056905139266528E-2</v>
      </c>
    </row>
    <row r="421" spans="6:45" x14ac:dyDescent="0.2">
      <c r="F421">
        <v>20.155999999999999</v>
      </c>
      <c r="AB421" s="29">
        <v>36545</v>
      </c>
      <c r="AC421">
        <v>20.155999999999999</v>
      </c>
      <c r="AD421">
        <v>1445.57</v>
      </c>
      <c r="AE421">
        <f t="shared" si="33"/>
        <v>1.3893902371665753E-2</v>
      </c>
      <c r="AF421">
        <f t="shared" si="33"/>
        <v>-2.9165951265689668E-3</v>
      </c>
      <c r="AR421">
        <v>67.375</v>
      </c>
      <c r="AS421">
        <f t="shared" si="34"/>
        <v>6.1170145805742399E-2</v>
      </c>
    </row>
    <row r="422" spans="6:45" x14ac:dyDescent="0.2">
      <c r="F422">
        <v>20</v>
      </c>
      <c r="AB422" s="29">
        <v>36544</v>
      </c>
      <c r="AC422">
        <v>20</v>
      </c>
      <c r="AD422">
        <v>1455.9</v>
      </c>
      <c r="AE422">
        <f t="shared" si="33"/>
        <v>7.7697372643606936E-3</v>
      </c>
      <c r="AF422">
        <f t="shared" si="33"/>
        <v>-7.120558645266682E-3</v>
      </c>
      <c r="AR422">
        <v>53.5</v>
      </c>
      <c r="AS422">
        <f t="shared" si="34"/>
        <v>0.23059237532720028</v>
      </c>
    </row>
    <row r="423" spans="6:45" x14ac:dyDescent="0.2">
      <c r="F423">
        <v>19.5</v>
      </c>
      <c r="AB423" s="29">
        <v>36543</v>
      </c>
      <c r="AC423">
        <v>19.5</v>
      </c>
      <c r="AD423">
        <v>1455.14</v>
      </c>
      <c r="AE423">
        <f t="shared" si="33"/>
        <v>2.5317807984289786E-2</v>
      </c>
      <c r="AF423">
        <f t="shared" si="33"/>
        <v>5.2215017125654007E-4</v>
      </c>
      <c r="AR423">
        <v>55.5</v>
      </c>
      <c r="AS423">
        <f t="shared" si="34"/>
        <v>-3.6701366850427929E-2</v>
      </c>
    </row>
    <row r="424" spans="6:45" x14ac:dyDescent="0.2">
      <c r="F424">
        <v>19.437999999999999</v>
      </c>
      <c r="AB424" s="29">
        <v>36539</v>
      </c>
      <c r="AC424">
        <v>19.437999999999999</v>
      </c>
      <c r="AD424">
        <v>1465.15</v>
      </c>
      <c r="AE424">
        <f t="shared" si="33"/>
        <v>3.1845524884223418E-3</v>
      </c>
      <c r="AF424">
        <f t="shared" si="33"/>
        <v>-6.8555103802383595E-3</v>
      </c>
      <c r="AR424">
        <v>56.375</v>
      </c>
      <c r="AS424">
        <f t="shared" si="34"/>
        <v>-1.5642777070453577E-2</v>
      </c>
    </row>
    <row r="425" spans="6:45" x14ac:dyDescent="0.2">
      <c r="F425">
        <v>19.280999999999999</v>
      </c>
      <c r="AB425" s="29">
        <v>36538</v>
      </c>
      <c r="AC425">
        <v>19.280999999999999</v>
      </c>
      <c r="AD425">
        <v>1449.68</v>
      </c>
      <c r="AE425">
        <f t="shared" si="33"/>
        <v>8.1097580240199613E-3</v>
      </c>
      <c r="AF425">
        <f t="shared" si="33"/>
        <v>1.0614783884359819E-2</v>
      </c>
      <c r="AR425">
        <v>53.375</v>
      </c>
      <c r="AS425">
        <f t="shared" si="34"/>
        <v>5.4683326274053853E-2</v>
      </c>
    </row>
    <row r="426" spans="6:45" x14ac:dyDescent="0.2">
      <c r="F426">
        <v>18.655999999999999</v>
      </c>
      <c r="AB426" s="29">
        <v>36537</v>
      </c>
      <c r="AC426">
        <v>18.655999999999999</v>
      </c>
      <c r="AD426">
        <v>1432.25</v>
      </c>
      <c r="AE426">
        <f t="shared" si="33"/>
        <v>3.2952344889177053E-2</v>
      </c>
      <c r="AF426">
        <f t="shared" si="33"/>
        <v>1.2096208115215201E-2</v>
      </c>
      <c r="AR426">
        <v>51.5</v>
      </c>
      <c r="AS426">
        <f t="shared" si="34"/>
        <v>3.5760663879098258E-2</v>
      </c>
    </row>
    <row r="427" spans="6:45" x14ac:dyDescent="0.2">
      <c r="F427">
        <v>18.062999999999999</v>
      </c>
      <c r="AB427" s="29">
        <v>36536</v>
      </c>
      <c r="AC427">
        <v>18.062999999999999</v>
      </c>
      <c r="AD427">
        <v>1438.56</v>
      </c>
      <c r="AE427">
        <f t="shared" si="33"/>
        <v>3.2302163017661492E-2</v>
      </c>
      <c r="AF427">
        <f t="shared" si="33"/>
        <v>-4.3959789477755811E-3</v>
      </c>
      <c r="AR427">
        <v>47.625</v>
      </c>
      <c r="AS427">
        <f t="shared" si="34"/>
        <v>7.8223974222825357E-2</v>
      </c>
    </row>
    <row r="428" spans="6:45" x14ac:dyDescent="0.2">
      <c r="F428">
        <v>18.469000000000001</v>
      </c>
      <c r="AB428" s="29">
        <v>36535</v>
      </c>
      <c r="AC428">
        <v>18.469000000000001</v>
      </c>
      <c r="AD428">
        <v>1457.6</v>
      </c>
      <c r="AE428">
        <f t="shared" si="33"/>
        <v>-2.222800374335401E-2</v>
      </c>
      <c r="AF428">
        <f t="shared" si="33"/>
        <v>-1.3148634269231135E-2</v>
      </c>
      <c r="AR428">
        <v>47.313000000000002</v>
      </c>
      <c r="AS428">
        <f t="shared" si="34"/>
        <v>6.5727342733345531E-3</v>
      </c>
    </row>
    <row r="429" spans="6:45" x14ac:dyDescent="0.2">
      <c r="F429">
        <v>18.5</v>
      </c>
      <c r="AB429" s="29">
        <v>36532</v>
      </c>
      <c r="AC429">
        <v>18.5</v>
      </c>
      <c r="AD429">
        <v>1441.47</v>
      </c>
      <c r="AE429">
        <f t="shared" si="33"/>
        <v>-1.6770811905047615E-3</v>
      </c>
      <c r="AF429">
        <f t="shared" si="33"/>
        <v>1.1127821298329016E-2</v>
      </c>
      <c r="AR429">
        <v>49.063000000000002</v>
      </c>
      <c r="AS429">
        <f t="shared" si="34"/>
        <v>-3.6320087399970606E-2</v>
      </c>
    </row>
    <row r="430" spans="6:45" x14ac:dyDescent="0.2">
      <c r="F430">
        <v>17.937999999999999</v>
      </c>
      <c r="AB430" s="29">
        <v>36531</v>
      </c>
      <c r="AC430">
        <v>17.937999999999999</v>
      </c>
      <c r="AD430">
        <v>1403.45</v>
      </c>
      <c r="AE430">
        <f t="shared" si="33"/>
        <v>3.0849364388467766E-2</v>
      </c>
      <c r="AF430">
        <f t="shared" si="33"/>
        <v>2.672993526267859E-2</v>
      </c>
      <c r="AR430">
        <v>47.938000000000002</v>
      </c>
      <c r="AS430">
        <f t="shared" si="34"/>
        <v>2.3196677252702354E-2</v>
      </c>
    </row>
    <row r="431" spans="6:45" x14ac:dyDescent="0.2">
      <c r="F431">
        <v>17</v>
      </c>
      <c r="AB431" s="29">
        <v>36530</v>
      </c>
      <c r="AC431">
        <v>17</v>
      </c>
      <c r="AD431">
        <v>1402.11</v>
      </c>
      <c r="AE431">
        <f t="shared" si="33"/>
        <v>5.3708023639595141E-2</v>
      </c>
      <c r="AF431">
        <f t="shared" si="33"/>
        <v>9.5524608412974211E-4</v>
      </c>
      <c r="AR431">
        <v>44</v>
      </c>
      <c r="AS431">
        <f t="shared" si="34"/>
        <v>8.5718875402537642E-2</v>
      </c>
    </row>
    <row r="432" spans="6:45" x14ac:dyDescent="0.2">
      <c r="F432">
        <v>17.280999999999999</v>
      </c>
      <c r="AB432" s="29">
        <v>36529</v>
      </c>
      <c r="AC432">
        <v>17.280999999999999</v>
      </c>
      <c r="AD432">
        <v>1399.42</v>
      </c>
      <c r="AE432">
        <f t="shared" si="33"/>
        <v>-1.6394288015638515E-2</v>
      </c>
      <c r="AF432">
        <f t="shared" si="33"/>
        <v>1.9203798115278359E-3</v>
      </c>
      <c r="AR432">
        <v>42.5</v>
      </c>
      <c r="AS432">
        <f t="shared" si="34"/>
        <v>3.4685557987890109E-2</v>
      </c>
    </row>
    <row r="433" spans="6:45" x14ac:dyDescent="0.2">
      <c r="F433">
        <v>18.25</v>
      </c>
      <c r="AB433" s="29">
        <v>36528</v>
      </c>
      <c r="AC433">
        <v>18.25</v>
      </c>
      <c r="AD433">
        <v>1455.22</v>
      </c>
      <c r="AE433">
        <f t="shared" si="33"/>
        <v>-5.4557447956645931E-2</v>
      </c>
      <c r="AF433">
        <f t="shared" si="33"/>
        <v>-3.9099226875721496E-2</v>
      </c>
      <c r="AR433">
        <v>43.438000000000002</v>
      </c>
      <c r="AS433">
        <f t="shared" si="34"/>
        <v>-2.1830558119758064E-2</v>
      </c>
    </row>
    <row r="434" spans="6:45" x14ac:dyDescent="0.2">
      <c r="F434">
        <v>18.875</v>
      </c>
      <c r="AB434" s="29">
        <v>36525</v>
      </c>
      <c r="AC434">
        <v>18.875</v>
      </c>
      <c r="AD434">
        <v>1469.25</v>
      </c>
      <c r="AE434">
        <f t="shared" si="33"/>
        <v>-3.3673215106587835E-2</v>
      </c>
      <c r="AF434">
        <f t="shared" si="33"/>
        <v>-9.5949745680095865E-3</v>
      </c>
      <c r="AR434">
        <v>44.375</v>
      </c>
      <c r="AS434">
        <f t="shared" si="34"/>
        <v>-2.1341613745450634E-2</v>
      </c>
    </row>
    <row r="435" spans="6:45" x14ac:dyDescent="0.2">
      <c r="F435">
        <v>19.030999999999999</v>
      </c>
      <c r="AB435" s="29">
        <v>36524</v>
      </c>
      <c r="AC435">
        <v>19.030999999999999</v>
      </c>
      <c r="AD435">
        <v>1464.47</v>
      </c>
      <c r="AE435">
        <f t="shared" si="33"/>
        <v>-8.2309333998018715E-3</v>
      </c>
      <c r="AF435">
        <f t="shared" si="33"/>
        <v>3.2586642418894855E-3</v>
      </c>
      <c r="AR435">
        <v>44.25</v>
      </c>
      <c r="AS435">
        <f t="shared" si="34"/>
        <v>2.8208763416412634E-3</v>
      </c>
    </row>
    <row r="436" spans="6:45" x14ac:dyDescent="0.2">
      <c r="F436">
        <v>18</v>
      </c>
      <c r="AB436" s="29">
        <v>36523</v>
      </c>
      <c r="AC436">
        <v>18</v>
      </c>
      <c r="AD436">
        <v>1463.46</v>
      </c>
      <c r="AE436">
        <f t="shared" si="33"/>
        <v>5.5697470638725613E-2</v>
      </c>
      <c r="AF436">
        <f t="shared" si="33"/>
        <v>6.8990723143041695E-4</v>
      </c>
      <c r="AR436">
        <v>43.313000000000002</v>
      </c>
      <c r="AS436">
        <f t="shared" si="34"/>
        <v>2.140255055890412E-2</v>
      </c>
    </row>
    <row r="437" spans="6:45" x14ac:dyDescent="0.2">
      <c r="F437">
        <v>18.375</v>
      </c>
      <c r="AB437" s="29">
        <v>36522</v>
      </c>
      <c r="AC437">
        <v>18.375</v>
      </c>
      <c r="AD437">
        <v>1457.66</v>
      </c>
      <c r="AE437">
        <f t="shared" si="33"/>
        <v>-2.0619287202735703E-2</v>
      </c>
      <c r="AF437">
        <f t="shared" si="33"/>
        <v>3.9710848044105388E-3</v>
      </c>
      <c r="AR437">
        <v>42.875</v>
      </c>
      <c r="AS437">
        <f t="shared" si="34"/>
        <v>1.0163915408930432E-2</v>
      </c>
    </row>
    <row r="438" spans="6:45" x14ac:dyDescent="0.2">
      <c r="F438">
        <v>18.594000000000001</v>
      </c>
      <c r="AB438" s="29">
        <v>36521</v>
      </c>
      <c r="AC438">
        <v>18.594000000000001</v>
      </c>
      <c r="AD438">
        <v>1457.1</v>
      </c>
      <c r="AE438">
        <f t="shared" si="33"/>
        <v>-1.1847902934765869E-2</v>
      </c>
      <c r="AF438">
        <f t="shared" si="33"/>
        <v>3.8425119522060358E-4</v>
      </c>
      <c r="AR438">
        <v>42.688000000000002</v>
      </c>
      <c r="AS438">
        <f t="shared" si="34"/>
        <v>4.371055192945476E-3</v>
      </c>
    </row>
    <row r="439" spans="6:45" x14ac:dyDescent="0.2">
      <c r="F439">
        <v>18.219000000000001</v>
      </c>
      <c r="AB439" s="29">
        <v>36517</v>
      </c>
      <c r="AC439">
        <v>18.219000000000001</v>
      </c>
      <c r="AD439">
        <v>1458.34</v>
      </c>
      <c r="AE439">
        <f t="shared" si="33"/>
        <v>2.0373942450118157E-2</v>
      </c>
      <c r="AF439">
        <f t="shared" si="33"/>
        <v>-8.506435219187723E-4</v>
      </c>
      <c r="AR439">
        <v>40.063000000000002</v>
      </c>
      <c r="AS439">
        <f t="shared" si="34"/>
        <v>6.3464635190930443E-2</v>
      </c>
    </row>
    <row r="440" spans="6:45" x14ac:dyDescent="0.2">
      <c r="F440">
        <v>17.937999999999999</v>
      </c>
      <c r="AB440" s="29">
        <v>36516</v>
      </c>
      <c r="AC440">
        <v>17.937999999999999</v>
      </c>
      <c r="AD440">
        <v>1436.13</v>
      </c>
      <c r="AE440">
        <f t="shared" si="33"/>
        <v>1.5543637887736841E-2</v>
      </c>
      <c r="AF440">
        <f t="shared" si="33"/>
        <v>1.5346806783172098E-2</v>
      </c>
      <c r="AR440">
        <v>40.25</v>
      </c>
      <c r="AS440">
        <f t="shared" si="34"/>
        <v>-4.6567887623443069E-3</v>
      </c>
    </row>
    <row r="441" spans="6:45" x14ac:dyDescent="0.2">
      <c r="F441">
        <v>18.094000000000001</v>
      </c>
      <c r="AB441" s="29">
        <v>36515</v>
      </c>
      <c r="AC441">
        <v>18.094000000000001</v>
      </c>
      <c r="AD441">
        <v>1433.43</v>
      </c>
      <c r="AE441">
        <f t="shared" si="33"/>
        <v>-8.6590239077387037E-3</v>
      </c>
      <c r="AF441">
        <f t="shared" si="33"/>
        <v>1.8818221586460785E-3</v>
      </c>
      <c r="AR441">
        <v>40.5</v>
      </c>
      <c r="AS441">
        <f t="shared" si="34"/>
        <v>-6.191970247921107E-3</v>
      </c>
    </row>
    <row r="442" spans="6:45" x14ac:dyDescent="0.2">
      <c r="F442">
        <v>17.469000000000001</v>
      </c>
      <c r="AB442" s="29">
        <v>36514</v>
      </c>
      <c r="AC442">
        <v>17.469000000000001</v>
      </c>
      <c r="AD442">
        <v>1418.09</v>
      </c>
      <c r="AE442">
        <f t="shared" si="33"/>
        <v>3.5152510080457292E-2</v>
      </c>
      <c r="AF442">
        <f t="shared" si="33"/>
        <v>1.0759277846351788E-2</v>
      </c>
      <c r="AR442">
        <v>40.75</v>
      </c>
      <c r="AS442">
        <f t="shared" si="34"/>
        <v>-6.1538655743782235E-3</v>
      </c>
    </row>
    <row r="443" spans="6:45" x14ac:dyDescent="0.2">
      <c r="F443">
        <v>17.25</v>
      </c>
      <c r="AB443" s="29">
        <v>36511</v>
      </c>
      <c r="AC443">
        <v>17.25</v>
      </c>
      <c r="AD443">
        <v>1421.03</v>
      </c>
      <c r="AE443">
        <f t="shared" si="33"/>
        <v>1.2615738045723997E-2</v>
      </c>
      <c r="AF443">
        <f t="shared" si="33"/>
        <v>-2.0710650137233137E-3</v>
      </c>
      <c r="AR443">
        <v>41</v>
      </c>
      <c r="AS443">
        <f t="shared" si="34"/>
        <v>-6.1162270174360944E-3</v>
      </c>
    </row>
    <row r="444" spans="6:45" x14ac:dyDescent="0.2">
      <c r="F444">
        <v>17.530999999999999</v>
      </c>
      <c r="AB444" s="29">
        <v>36510</v>
      </c>
      <c r="AC444">
        <v>17.530999999999999</v>
      </c>
      <c r="AD444">
        <v>1418.78</v>
      </c>
      <c r="AE444">
        <f t="shared" si="33"/>
        <v>-1.6158598894368253E-2</v>
      </c>
      <c r="AF444">
        <f t="shared" si="33"/>
        <v>1.5846133866789145E-3</v>
      </c>
      <c r="AR444">
        <v>37</v>
      </c>
      <c r="AS444">
        <f t="shared" si="34"/>
        <v>0.10265415406008337</v>
      </c>
    </row>
    <row r="445" spans="6:45" x14ac:dyDescent="0.2">
      <c r="F445">
        <v>16.625</v>
      </c>
      <c r="AB445" s="29">
        <v>36509</v>
      </c>
      <c r="AC445">
        <v>16.625</v>
      </c>
      <c r="AD445">
        <v>1413.33</v>
      </c>
      <c r="AE445">
        <f t="shared" si="33"/>
        <v>5.3063155829819193E-2</v>
      </c>
      <c r="AF445">
        <f t="shared" si="33"/>
        <v>3.8487253160554452E-3</v>
      </c>
      <c r="AR445">
        <v>37.375</v>
      </c>
      <c r="AS445">
        <f t="shared" si="34"/>
        <v>-1.0084119066626047E-2</v>
      </c>
    </row>
    <row r="446" spans="6:45" x14ac:dyDescent="0.2">
      <c r="F446">
        <v>15.063000000000001</v>
      </c>
      <c r="AB446" s="29">
        <v>36508</v>
      </c>
      <c r="AC446">
        <v>15.063000000000001</v>
      </c>
      <c r="AD446">
        <v>1403.17</v>
      </c>
      <c r="AE446">
        <f t="shared" si="33"/>
        <v>9.8666180821239707E-2</v>
      </c>
      <c r="AF446">
        <f t="shared" si="33"/>
        <v>7.2146593787116792E-3</v>
      </c>
      <c r="AR446">
        <v>36.625</v>
      </c>
      <c r="AS446">
        <f t="shared" si="34"/>
        <v>2.0270964373619201E-2</v>
      </c>
    </row>
    <row r="447" spans="6:45" x14ac:dyDescent="0.2">
      <c r="F447">
        <v>14.906000000000001</v>
      </c>
      <c r="AB447" s="29">
        <v>36507</v>
      </c>
      <c r="AC447">
        <v>14.906000000000001</v>
      </c>
      <c r="AD447">
        <v>1415.22</v>
      </c>
      <c r="AE447">
        <f t="shared" si="33"/>
        <v>1.0477589261176062E-2</v>
      </c>
      <c r="AF447">
        <f t="shared" si="33"/>
        <v>-8.5510333380043324E-3</v>
      </c>
      <c r="AR447">
        <v>37.453000000000003</v>
      </c>
      <c r="AS447">
        <f t="shared" si="34"/>
        <v>-2.2355746226696855E-2</v>
      </c>
    </row>
    <row r="448" spans="6:45" x14ac:dyDescent="0.2">
      <c r="F448">
        <v>14.438000000000001</v>
      </c>
      <c r="AB448" s="29">
        <v>36504</v>
      </c>
      <c r="AC448">
        <v>14.438000000000001</v>
      </c>
      <c r="AD448">
        <v>1417.04</v>
      </c>
      <c r="AE448">
        <f t="shared" si="33"/>
        <v>3.1900196742532708E-2</v>
      </c>
      <c r="AF448">
        <f t="shared" si="33"/>
        <v>-1.2851929205022533E-3</v>
      </c>
      <c r="AR448">
        <v>37.438000000000002</v>
      </c>
      <c r="AS448">
        <f t="shared" si="34"/>
        <v>4.0058218479086893E-4</v>
      </c>
    </row>
    <row r="449" spans="6:45" x14ac:dyDescent="0.2">
      <c r="F449">
        <v>15.125</v>
      </c>
      <c r="AB449" s="29">
        <v>36503</v>
      </c>
      <c r="AC449">
        <v>15.125</v>
      </c>
      <c r="AD449">
        <v>1408.11</v>
      </c>
      <c r="AE449">
        <f t="shared" si="33"/>
        <v>-4.6485384199935878E-2</v>
      </c>
      <c r="AF449">
        <f t="shared" si="33"/>
        <v>6.3218092779526499E-3</v>
      </c>
      <c r="AR449">
        <v>38.938000000000002</v>
      </c>
      <c r="AS449">
        <f t="shared" si="34"/>
        <v>-3.9284406177581124E-2</v>
      </c>
    </row>
    <row r="450" spans="6:45" x14ac:dyDescent="0.2">
      <c r="F450">
        <v>16.030999999999999</v>
      </c>
      <c r="AB450" s="29">
        <v>36502</v>
      </c>
      <c r="AC450">
        <v>16.030999999999999</v>
      </c>
      <c r="AD450">
        <v>1403.88</v>
      </c>
      <c r="AE450">
        <f t="shared" si="33"/>
        <v>-5.8175343790631266E-2</v>
      </c>
      <c r="AF450">
        <f t="shared" si="33"/>
        <v>3.0085478188783417E-3</v>
      </c>
      <c r="AR450">
        <v>36.438000000000002</v>
      </c>
      <c r="AS450">
        <f t="shared" si="34"/>
        <v>6.6358451413225203E-2</v>
      </c>
    </row>
    <row r="451" spans="6:45" x14ac:dyDescent="0.2">
      <c r="F451">
        <v>15.875</v>
      </c>
      <c r="AB451" s="29">
        <v>36501</v>
      </c>
      <c r="AC451">
        <v>15.875</v>
      </c>
      <c r="AD451">
        <v>1409.17</v>
      </c>
      <c r="AE451">
        <f t="shared" si="33"/>
        <v>9.7788029287810482E-3</v>
      </c>
      <c r="AF451">
        <f t="shared" si="33"/>
        <v>-3.7610467185398137E-3</v>
      </c>
      <c r="AR451">
        <v>36.188000000000002</v>
      </c>
      <c r="AS451">
        <f t="shared" si="34"/>
        <v>6.8846139799981707E-3</v>
      </c>
    </row>
    <row r="452" spans="6:45" x14ac:dyDescent="0.2">
      <c r="F452">
        <v>16.187999999999999</v>
      </c>
      <c r="AB452" s="29">
        <v>36500</v>
      </c>
      <c r="AC452">
        <v>16.187999999999999</v>
      </c>
      <c r="AD452">
        <v>1423.33</v>
      </c>
      <c r="AE452">
        <f t="shared" si="33"/>
        <v>-1.9524682234863696E-2</v>
      </c>
      <c r="AF452">
        <f t="shared" si="33"/>
        <v>-9.9983180653930789E-3</v>
      </c>
      <c r="AR452">
        <v>37.640999999999998</v>
      </c>
      <c r="AS452">
        <f t="shared" si="34"/>
        <v>-3.9366309682177074E-2</v>
      </c>
    </row>
    <row r="453" spans="6:45" x14ac:dyDescent="0.2">
      <c r="F453">
        <v>16.405999999999999</v>
      </c>
      <c r="AB453" s="29">
        <v>36497</v>
      </c>
      <c r="AC453">
        <v>16.405999999999999</v>
      </c>
      <c r="AD453">
        <v>1433.3</v>
      </c>
      <c r="AE453">
        <f t="shared" si="33"/>
        <v>-1.3376894566939001E-2</v>
      </c>
      <c r="AF453">
        <f t="shared" si="33"/>
        <v>-6.980281297726508E-3</v>
      </c>
      <c r="AR453">
        <v>37.875</v>
      </c>
      <c r="AS453">
        <f t="shared" si="34"/>
        <v>-6.197381983860854E-3</v>
      </c>
    </row>
    <row r="454" spans="6:45" x14ac:dyDescent="0.2">
      <c r="F454">
        <v>17.125</v>
      </c>
      <c r="AB454" s="29">
        <v>36496</v>
      </c>
      <c r="AC454">
        <v>17.125</v>
      </c>
      <c r="AD454">
        <v>1409.04</v>
      </c>
      <c r="AE454">
        <f t="shared" si="33"/>
        <v>-4.2892262567730904E-2</v>
      </c>
      <c r="AF454">
        <f t="shared" si="33"/>
        <v>1.7070856505129819E-2</v>
      </c>
      <c r="AR454">
        <v>37.813000000000002</v>
      </c>
      <c r="AS454">
        <f t="shared" si="34"/>
        <v>1.6383049854021066E-3</v>
      </c>
    </row>
    <row r="455" spans="6:45" x14ac:dyDescent="0.2">
      <c r="F455">
        <v>17</v>
      </c>
      <c r="AB455" s="29">
        <v>36495</v>
      </c>
      <c r="AC455">
        <v>17</v>
      </c>
      <c r="AD455">
        <v>1397.72</v>
      </c>
      <c r="AE455">
        <f t="shared" si="33"/>
        <v>7.3260400920728812E-3</v>
      </c>
      <c r="AF455">
        <f t="shared" si="33"/>
        <v>8.0662838132616373E-3</v>
      </c>
      <c r="AR455">
        <v>37.734000000000002</v>
      </c>
      <c r="AS455">
        <f t="shared" si="34"/>
        <v>2.0914140547098909E-3</v>
      </c>
    </row>
    <row r="456" spans="6:45" x14ac:dyDescent="0.2">
      <c r="F456">
        <v>17.125</v>
      </c>
      <c r="AB456" s="29">
        <v>36494</v>
      </c>
      <c r="AC456">
        <v>17.125</v>
      </c>
      <c r="AD456">
        <v>1388.91</v>
      </c>
      <c r="AE456">
        <f t="shared" si="33"/>
        <v>-7.3260400920728977E-3</v>
      </c>
      <c r="AF456">
        <f t="shared" si="33"/>
        <v>6.3230707721241737E-3</v>
      </c>
      <c r="AR456">
        <v>38.063000000000002</v>
      </c>
      <c r="AS456">
        <f t="shared" si="34"/>
        <v>-8.6811368834125834E-3</v>
      </c>
    </row>
    <row r="457" spans="6:45" x14ac:dyDescent="0.2">
      <c r="F457">
        <v>17.062999999999999</v>
      </c>
      <c r="AB457" s="29">
        <v>36493</v>
      </c>
      <c r="AC457">
        <v>17.062999999999999</v>
      </c>
      <c r="AD457">
        <v>1407.83</v>
      </c>
      <c r="AE457">
        <f t="shared" si="33"/>
        <v>3.6270076031613072E-3</v>
      </c>
      <c r="AF457">
        <f t="shared" si="33"/>
        <v>-1.3530244953473719E-2</v>
      </c>
      <c r="AR457">
        <v>37.75</v>
      </c>
      <c r="AS457">
        <f t="shared" si="34"/>
        <v>8.2572059778002783E-3</v>
      </c>
    </row>
    <row r="458" spans="6:45" x14ac:dyDescent="0.2">
      <c r="F458">
        <v>17</v>
      </c>
      <c r="AB458" s="29">
        <v>36490</v>
      </c>
      <c r="AC458">
        <v>17</v>
      </c>
      <c r="AD458">
        <v>1416.62</v>
      </c>
      <c r="AE458">
        <f t="shared" si="33"/>
        <v>3.6990324889115927E-3</v>
      </c>
      <c r="AF458">
        <f t="shared" si="33"/>
        <v>-6.2242407391815647E-3</v>
      </c>
      <c r="AR458">
        <v>37.75</v>
      </c>
      <c r="AS458">
        <f t="shared" si="34"/>
        <v>0</v>
      </c>
    </row>
    <row r="459" spans="6:45" x14ac:dyDescent="0.2">
      <c r="F459">
        <v>16.937999999999999</v>
      </c>
      <c r="AB459" s="29">
        <v>36488</v>
      </c>
      <c r="AC459">
        <v>16.937999999999999</v>
      </c>
      <c r="AD459">
        <v>1417.08</v>
      </c>
      <c r="AE459">
        <f t="shared" si="33"/>
        <v>3.6537255568088894E-3</v>
      </c>
      <c r="AF459">
        <f t="shared" si="33"/>
        <v>-3.2466386988082947E-4</v>
      </c>
      <c r="AR459">
        <v>38.688000000000002</v>
      </c>
      <c r="AS459">
        <f t="shared" si="34"/>
        <v>-2.4543998737348572E-2</v>
      </c>
    </row>
    <row r="460" spans="6:45" x14ac:dyDescent="0.2">
      <c r="F460">
        <v>17.219000000000001</v>
      </c>
      <c r="AB460" s="29">
        <v>36487</v>
      </c>
      <c r="AC460">
        <v>17.219000000000001</v>
      </c>
      <c r="AD460">
        <v>1404.64</v>
      </c>
      <c r="AE460">
        <f t="shared" si="33"/>
        <v>-1.6453806804641643E-2</v>
      </c>
      <c r="AF460">
        <f t="shared" si="33"/>
        <v>8.8173742232918358E-3</v>
      </c>
      <c r="AR460">
        <v>35.438000000000002</v>
      </c>
      <c r="AS460">
        <f t="shared" si="34"/>
        <v>8.7744783696504541E-2</v>
      </c>
    </row>
    <row r="461" spans="6:45" x14ac:dyDescent="0.2">
      <c r="F461">
        <v>17.780999999999999</v>
      </c>
      <c r="AB461" s="29">
        <v>36486</v>
      </c>
      <c r="AC461">
        <v>17.780999999999999</v>
      </c>
      <c r="AD461">
        <v>1420.94</v>
      </c>
      <c r="AE461">
        <f t="shared" si="33"/>
        <v>-3.2117046169761895E-2</v>
      </c>
      <c r="AF461">
        <f t="shared" si="33"/>
        <v>-1.1537582241686654E-2</v>
      </c>
      <c r="AR461">
        <v>37</v>
      </c>
      <c r="AS461">
        <f t="shared" si="34"/>
        <v>-4.3133221908346807E-2</v>
      </c>
    </row>
    <row r="462" spans="6:45" x14ac:dyDescent="0.2">
      <c r="F462">
        <v>18.062999999999999</v>
      </c>
      <c r="AB462" s="29">
        <v>36483</v>
      </c>
      <c r="AC462">
        <v>18.062999999999999</v>
      </c>
      <c r="AD462">
        <v>1422</v>
      </c>
      <c r="AE462">
        <f t="shared" si="33"/>
        <v>-1.5735175676609713E-2</v>
      </c>
      <c r="AF462">
        <f t="shared" si="33"/>
        <v>-7.4570694360078047E-4</v>
      </c>
      <c r="AR462">
        <v>39</v>
      </c>
      <c r="AS462">
        <f t="shared" si="34"/>
        <v>-5.2643733485422027E-2</v>
      </c>
    </row>
    <row r="463" spans="6:45" x14ac:dyDescent="0.2">
      <c r="F463">
        <v>18.469000000000001</v>
      </c>
      <c r="AB463" s="29">
        <v>36482</v>
      </c>
      <c r="AC463">
        <v>18.469000000000001</v>
      </c>
      <c r="AD463">
        <v>1424.94</v>
      </c>
      <c r="AE463">
        <f t="shared" si="33"/>
        <v>-2.222800374335401E-2</v>
      </c>
      <c r="AF463">
        <f t="shared" si="33"/>
        <v>-2.0653761899554336E-3</v>
      </c>
      <c r="AR463">
        <v>40.25</v>
      </c>
      <c r="AS463">
        <f t="shared" si="34"/>
        <v>-3.1548357734925897E-2</v>
      </c>
    </row>
    <row r="464" spans="6:45" x14ac:dyDescent="0.2">
      <c r="F464">
        <v>18.469000000000001</v>
      </c>
      <c r="AB464" s="29">
        <v>36481</v>
      </c>
      <c r="AC464">
        <v>18.469000000000001</v>
      </c>
      <c r="AD464">
        <v>1410.71</v>
      </c>
      <c r="AE464">
        <f t="shared" si="33"/>
        <v>0</v>
      </c>
      <c r="AF464">
        <f t="shared" si="33"/>
        <v>1.0036583818430344E-2</v>
      </c>
      <c r="AR464">
        <v>40.438000000000002</v>
      </c>
      <c r="AS464">
        <f t="shared" si="34"/>
        <v>-4.6599330805367628E-3</v>
      </c>
    </row>
    <row r="465" spans="6:45" x14ac:dyDescent="0.2">
      <c r="F465">
        <v>18.594000000000001</v>
      </c>
      <c r="AB465" s="29">
        <v>36480</v>
      </c>
      <c r="AC465">
        <v>18.594000000000001</v>
      </c>
      <c r="AD465">
        <v>1420.07</v>
      </c>
      <c r="AE465">
        <f t="shared" ref="AE465:AF528" si="35">LN(AC464/AC465)</f>
        <v>-6.7452971398918541E-3</v>
      </c>
      <c r="AF465">
        <f t="shared" si="35"/>
        <v>-6.6130424202463026E-3</v>
      </c>
      <c r="AR465">
        <v>41.063000000000002</v>
      </c>
      <c r="AS465">
        <f t="shared" ref="AS465:AS528" si="36">LN(AR464/AR465)</f>
        <v>-1.5337535785708276E-2</v>
      </c>
    </row>
    <row r="466" spans="6:45" x14ac:dyDescent="0.2">
      <c r="F466">
        <v>18.687999999999999</v>
      </c>
      <c r="AB466" s="29">
        <v>36479</v>
      </c>
      <c r="AC466">
        <v>18.687999999999999</v>
      </c>
      <c r="AD466">
        <v>1394.39</v>
      </c>
      <c r="AE466">
        <f t="shared" si="35"/>
        <v>-5.0426586121502222E-3</v>
      </c>
      <c r="AF466">
        <f t="shared" si="35"/>
        <v>1.8249122518178087E-2</v>
      </c>
      <c r="AR466">
        <v>42.313000000000002</v>
      </c>
      <c r="AS466">
        <f t="shared" si="36"/>
        <v>-2.9986894710853737E-2</v>
      </c>
    </row>
    <row r="467" spans="6:45" x14ac:dyDescent="0.2">
      <c r="F467">
        <v>18.812999999999999</v>
      </c>
      <c r="AB467" s="29">
        <v>36476</v>
      </c>
      <c r="AC467">
        <v>18.812999999999999</v>
      </c>
      <c r="AD467">
        <v>1396.06</v>
      </c>
      <c r="AE467">
        <f t="shared" si="35"/>
        <v>-6.666513583176918E-3</v>
      </c>
      <c r="AF467">
        <f t="shared" si="35"/>
        <v>-1.196939704620414E-3</v>
      </c>
      <c r="AR467">
        <v>42.625</v>
      </c>
      <c r="AS467">
        <f t="shared" si="36"/>
        <v>-7.3465681620097445E-3</v>
      </c>
    </row>
    <row r="468" spans="6:45" x14ac:dyDescent="0.2">
      <c r="F468">
        <v>18.719000000000001</v>
      </c>
      <c r="AB468" s="29">
        <v>36475</v>
      </c>
      <c r="AC468">
        <v>18.719000000000001</v>
      </c>
      <c r="AD468">
        <v>1381.46</v>
      </c>
      <c r="AE468">
        <f t="shared" si="35"/>
        <v>5.0090694098012057E-3</v>
      </c>
      <c r="AF468">
        <f t="shared" si="35"/>
        <v>1.051307243257339E-2</v>
      </c>
      <c r="AR468">
        <v>41.875</v>
      </c>
      <c r="AS468">
        <f t="shared" si="36"/>
        <v>1.7751945458450321E-2</v>
      </c>
    </row>
    <row r="469" spans="6:45" x14ac:dyDescent="0.2">
      <c r="F469">
        <v>18.969000000000001</v>
      </c>
      <c r="AB469" s="29">
        <v>36474</v>
      </c>
      <c r="AC469">
        <v>18.969000000000001</v>
      </c>
      <c r="AD469">
        <v>1373.46</v>
      </c>
      <c r="AE469">
        <f t="shared" si="35"/>
        <v>-1.3267016925393723E-2</v>
      </c>
      <c r="AF469">
        <f t="shared" si="35"/>
        <v>5.807807476857706E-3</v>
      </c>
      <c r="AR469">
        <v>40.813000000000002</v>
      </c>
      <c r="AS469">
        <f t="shared" si="36"/>
        <v>2.56883320350802E-2</v>
      </c>
    </row>
    <row r="470" spans="6:45" x14ac:dyDescent="0.2">
      <c r="F470">
        <v>19</v>
      </c>
      <c r="AB470" s="29">
        <v>36473</v>
      </c>
      <c r="AC470">
        <v>19</v>
      </c>
      <c r="AD470">
        <v>1365.28</v>
      </c>
      <c r="AE470">
        <f t="shared" si="35"/>
        <v>-1.6329114218545117E-3</v>
      </c>
      <c r="AF470">
        <f t="shared" si="35"/>
        <v>5.9735676436940398E-3</v>
      </c>
      <c r="AR470">
        <v>39.25</v>
      </c>
      <c r="AS470">
        <f t="shared" si="36"/>
        <v>3.904921388173288E-2</v>
      </c>
    </row>
    <row r="471" spans="6:45" x14ac:dyDescent="0.2">
      <c r="F471">
        <v>19</v>
      </c>
      <c r="AB471" s="29">
        <v>36472</v>
      </c>
      <c r="AC471">
        <v>19</v>
      </c>
      <c r="AD471">
        <v>1377.01</v>
      </c>
      <c r="AE471">
        <f t="shared" si="35"/>
        <v>0</v>
      </c>
      <c r="AF471">
        <f t="shared" si="35"/>
        <v>-8.5549460781356688E-3</v>
      </c>
      <c r="AR471">
        <v>38.375</v>
      </c>
      <c r="AS471">
        <f t="shared" si="36"/>
        <v>2.2545238321056222E-2</v>
      </c>
    </row>
    <row r="472" spans="6:45" x14ac:dyDescent="0.2">
      <c r="F472">
        <v>19.062999999999999</v>
      </c>
      <c r="AB472" s="29">
        <v>36469</v>
      </c>
      <c r="AC472">
        <v>19.062999999999999</v>
      </c>
      <c r="AD472">
        <v>1370.23</v>
      </c>
      <c r="AE472">
        <f t="shared" si="35"/>
        <v>-3.3103043653990418E-3</v>
      </c>
      <c r="AF472">
        <f t="shared" si="35"/>
        <v>4.935872923370139E-3</v>
      </c>
      <c r="AR472">
        <v>37.938000000000002</v>
      </c>
      <c r="AS472">
        <f t="shared" si="36"/>
        <v>1.1452957602830067E-2</v>
      </c>
    </row>
    <row r="473" spans="6:45" x14ac:dyDescent="0.2">
      <c r="F473">
        <v>18.530999999999999</v>
      </c>
      <c r="AB473" s="29">
        <v>36468</v>
      </c>
      <c r="AC473">
        <v>18.530999999999999</v>
      </c>
      <c r="AD473">
        <v>1362.64</v>
      </c>
      <c r="AE473">
        <f t="shared" si="35"/>
        <v>2.8304278149967697E-2</v>
      </c>
      <c r="AF473">
        <f t="shared" si="35"/>
        <v>5.5546143907181968E-3</v>
      </c>
      <c r="AR473">
        <v>38.563000000000002</v>
      </c>
      <c r="AS473">
        <f t="shared" si="36"/>
        <v>-1.6340019241361629E-2</v>
      </c>
    </row>
    <row r="474" spans="6:45" x14ac:dyDescent="0.2">
      <c r="F474">
        <v>18.75</v>
      </c>
      <c r="AB474" s="29">
        <v>36467</v>
      </c>
      <c r="AC474">
        <v>18.75</v>
      </c>
      <c r="AD474">
        <v>1354.93</v>
      </c>
      <c r="AE474">
        <f t="shared" si="35"/>
        <v>-1.1748747034548066E-2</v>
      </c>
      <c r="AF474">
        <f t="shared" si="35"/>
        <v>5.674202089576124E-3</v>
      </c>
      <c r="AR474">
        <v>40</v>
      </c>
      <c r="AS474">
        <f t="shared" si="36"/>
        <v>-3.6586186568043501E-2</v>
      </c>
    </row>
    <row r="475" spans="6:45" x14ac:dyDescent="0.2">
      <c r="F475">
        <v>18.469000000000001</v>
      </c>
      <c r="AB475" s="29">
        <v>36466</v>
      </c>
      <c r="AC475">
        <v>18.469000000000001</v>
      </c>
      <c r="AD475">
        <v>1347.74</v>
      </c>
      <c r="AE475">
        <f t="shared" si="35"/>
        <v>1.5100101522645522E-2</v>
      </c>
      <c r="AF475">
        <f t="shared" si="35"/>
        <v>5.3206769321911818E-3</v>
      </c>
      <c r="AR475">
        <v>38.25</v>
      </c>
      <c r="AS475">
        <f t="shared" si="36"/>
        <v>4.4735893841391518E-2</v>
      </c>
    </row>
    <row r="476" spans="6:45" x14ac:dyDescent="0.2">
      <c r="F476">
        <v>18.625</v>
      </c>
      <c r="AB476" s="29">
        <v>36465</v>
      </c>
      <c r="AC476">
        <v>18.625</v>
      </c>
      <c r="AD476">
        <v>1354.12</v>
      </c>
      <c r="AE476">
        <f t="shared" si="35"/>
        <v>-8.411113371848843E-3</v>
      </c>
      <c r="AF476">
        <f t="shared" si="35"/>
        <v>-4.722681307054573E-3</v>
      </c>
      <c r="AR476">
        <v>37.688000000000002</v>
      </c>
      <c r="AS476">
        <f t="shared" si="36"/>
        <v>1.4801818874804806E-2</v>
      </c>
    </row>
    <row r="477" spans="6:45" x14ac:dyDescent="0.2">
      <c r="F477">
        <v>18.5</v>
      </c>
      <c r="AB477" s="29">
        <v>36462</v>
      </c>
      <c r="AC477">
        <v>18.5</v>
      </c>
      <c r="AD477">
        <v>1362.93</v>
      </c>
      <c r="AE477">
        <f t="shared" si="35"/>
        <v>6.7340321813441194E-3</v>
      </c>
      <c r="AF477">
        <f t="shared" si="35"/>
        <v>-6.4849972400187958E-3</v>
      </c>
      <c r="AR477">
        <v>39.938000000000002</v>
      </c>
      <c r="AS477">
        <f t="shared" si="36"/>
        <v>-5.798651022345986E-2</v>
      </c>
    </row>
    <row r="478" spans="6:45" x14ac:dyDescent="0.2">
      <c r="F478">
        <v>18.405999999999999</v>
      </c>
      <c r="AB478" s="29">
        <v>36461</v>
      </c>
      <c r="AC478">
        <v>18.405999999999999</v>
      </c>
      <c r="AD478">
        <v>1342.44</v>
      </c>
      <c r="AE478">
        <f t="shared" si="35"/>
        <v>5.0940336676140521E-3</v>
      </c>
      <c r="AF478">
        <f t="shared" si="35"/>
        <v>1.5147940430788572E-2</v>
      </c>
      <c r="AR478">
        <v>40.313000000000002</v>
      </c>
      <c r="AS478">
        <f t="shared" si="36"/>
        <v>-9.3457459586488087E-3</v>
      </c>
    </row>
    <row r="479" spans="6:45" x14ac:dyDescent="0.2">
      <c r="F479">
        <v>17.375</v>
      </c>
      <c r="AB479" s="29">
        <v>36460</v>
      </c>
      <c r="AC479">
        <v>17.375</v>
      </c>
      <c r="AD479">
        <v>1296.71</v>
      </c>
      <c r="AE479">
        <f t="shared" si="35"/>
        <v>5.7644306965809265E-2</v>
      </c>
      <c r="AF479">
        <f t="shared" si="35"/>
        <v>3.465856623772394E-2</v>
      </c>
      <c r="AR479">
        <v>39.313000000000002</v>
      </c>
      <c r="AS479">
        <f t="shared" si="36"/>
        <v>2.511874459911612E-2</v>
      </c>
    </row>
    <row r="480" spans="6:45" x14ac:dyDescent="0.2">
      <c r="F480">
        <v>17.219000000000001</v>
      </c>
      <c r="AB480" s="29">
        <v>36459</v>
      </c>
      <c r="AC480">
        <v>17.219000000000001</v>
      </c>
      <c r="AD480">
        <v>1281.9100000000001</v>
      </c>
      <c r="AE480">
        <f t="shared" si="35"/>
        <v>9.0189661468070212E-3</v>
      </c>
      <c r="AF480">
        <f t="shared" si="35"/>
        <v>1.1479134200944765E-2</v>
      </c>
      <c r="AR480">
        <v>37.688000000000002</v>
      </c>
      <c r="AS480">
        <f t="shared" si="36"/>
        <v>4.2213511582992545E-2</v>
      </c>
    </row>
    <row r="481" spans="6:45" x14ac:dyDescent="0.2">
      <c r="F481">
        <v>17.25</v>
      </c>
      <c r="AB481" s="29">
        <v>36458</v>
      </c>
      <c r="AC481">
        <v>17.25</v>
      </c>
      <c r="AD481">
        <v>1293.6300000000001</v>
      </c>
      <c r="AE481">
        <f t="shared" si="35"/>
        <v>-1.7987181733198463E-3</v>
      </c>
      <c r="AF481">
        <f t="shared" si="35"/>
        <v>-9.1010668804369817E-3</v>
      </c>
      <c r="AR481">
        <v>37.25</v>
      </c>
      <c r="AS481">
        <f t="shared" si="36"/>
        <v>1.1689796572171491E-2</v>
      </c>
    </row>
    <row r="482" spans="6:45" x14ac:dyDescent="0.2">
      <c r="F482">
        <v>17</v>
      </c>
      <c r="AB482" s="29">
        <v>36455</v>
      </c>
      <c r="AC482">
        <v>17</v>
      </c>
      <c r="AD482">
        <v>1301.6500000000001</v>
      </c>
      <c r="AE482">
        <f t="shared" si="35"/>
        <v>1.4598799421152631E-2</v>
      </c>
      <c r="AF482">
        <f t="shared" si="35"/>
        <v>-6.1804703377848196E-3</v>
      </c>
      <c r="AR482">
        <v>39.063000000000002</v>
      </c>
      <c r="AS482">
        <f t="shared" si="36"/>
        <v>-4.7523782589132535E-2</v>
      </c>
    </row>
    <row r="483" spans="6:45" x14ac:dyDescent="0.2">
      <c r="F483">
        <v>16.719000000000001</v>
      </c>
      <c r="AB483" s="29">
        <v>36454</v>
      </c>
      <c r="AC483">
        <v>16.719000000000001</v>
      </c>
      <c r="AD483">
        <v>1283.6099999999999</v>
      </c>
      <c r="AE483">
        <f t="shared" si="35"/>
        <v>1.6667546800707051E-2</v>
      </c>
      <c r="AF483">
        <f t="shared" si="35"/>
        <v>1.3956269632068736E-2</v>
      </c>
      <c r="AR483">
        <v>38.313000000000002</v>
      </c>
      <c r="AS483">
        <f t="shared" si="36"/>
        <v>1.9386463232466261E-2</v>
      </c>
    </row>
    <row r="484" spans="6:45" x14ac:dyDescent="0.2">
      <c r="F484">
        <v>17</v>
      </c>
      <c r="AB484" s="29">
        <v>36453</v>
      </c>
      <c r="AC484">
        <v>17</v>
      </c>
      <c r="AD484">
        <v>1289.43</v>
      </c>
      <c r="AE484">
        <f t="shared" si="35"/>
        <v>-1.6667546800706992E-2</v>
      </c>
      <c r="AF484">
        <f t="shared" si="35"/>
        <v>-4.5238394471765857E-3</v>
      </c>
      <c r="AR484">
        <v>39.25</v>
      </c>
      <c r="AS484">
        <f t="shared" si="36"/>
        <v>-2.4162180046182712E-2</v>
      </c>
    </row>
    <row r="485" spans="6:45" x14ac:dyDescent="0.2">
      <c r="F485">
        <v>17.469000000000001</v>
      </c>
      <c r="AB485" s="29">
        <v>36452</v>
      </c>
      <c r="AC485">
        <v>17.469000000000001</v>
      </c>
      <c r="AD485">
        <v>1261.32</v>
      </c>
      <c r="AE485">
        <f t="shared" si="35"/>
        <v>-2.7214537466876541E-2</v>
      </c>
      <c r="AF485">
        <f t="shared" si="35"/>
        <v>2.2041468618237046E-2</v>
      </c>
      <c r="AR485">
        <v>39.25</v>
      </c>
      <c r="AS485">
        <f t="shared" si="36"/>
        <v>0</v>
      </c>
    </row>
    <row r="486" spans="6:45" x14ac:dyDescent="0.2">
      <c r="F486">
        <v>17.155999999999999</v>
      </c>
      <c r="AB486" s="29">
        <v>36451</v>
      </c>
      <c r="AC486">
        <v>17.155999999999999</v>
      </c>
      <c r="AD486">
        <v>1254.1300000000001</v>
      </c>
      <c r="AE486">
        <f t="shared" si="35"/>
        <v>1.8079914868458648E-2</v>
      </c>
      <c r="AF486">
        <f t="shared" si="35"/>
        <v>5.7166865420170184E-3</v>
      </c>
      <c r="AR486">
        <v>38.188000000000002</v>
      </c>
      <c r="AS486">
        <f t="shared" si="36"/>
        <v>2.7430114092630593E-2</v>
      </c>
    </row>
    <row r="487" spans="6:45" x14ac:dyDescent="0.2">
      <c r="F487">
        <v>17.437999999999999</v>
      </c>
      <c r="AB487" s="29">
        <v>36448</v>
      </c>
      <c r="AC487">
        <v>17.437999999999999</v>
      </c>
      <c r="AD487">
        <v>1247.4100000000001</v>
      </c>
      <c r="AE487">
        <f t="shared" si="35"/>
        <v>-1.6303766350989232E-2</v>
      </c>
      <c r="AF487">
        <f t="shared" si="35"/>
        <v>5.3727033466738558E-3</v>
      </c>
      <c r="AR487">
        <v>38.25</v>
      </c>
      <c r="AS487">
        <f t="shared" si="36"/>
        <v>-1.6222301367580481E-3</v>
      </c>
    </row>
    <row r="488" spans="6:45" x14ac:dyDescent="0.2">
      <c r="F488">
        <v>15.938000000000001</v>
      </c>
      <c r="AB488" s="29">
        <v>36447</v>
      </c>
      <c r="AC488">
        <v>15.938000000000001</v>
      </c>
      <c r="AD488">
        <v>1283.42</v>
      </c>
      <c r="AE488">
        <f t="shared" si="35"/>
        <v>8.9945538030066746E-2</v>
      </c>
      <c r="AF488">
        <f t="shared" si="35"/>
        <v>-2.8458988066466028E-2</v>
      </c>
      <c r="AR488">
        <v>39.063000000000002</v>
      </c>
      <c r="AS488">
        <f t="shared" si="36"/>
        <v>-2.1032167142156218E-2</v>
      </c>
    </row>
    <row r="489" spans="6:45" x14ac:dyDescent="0.2">
      <c r="F489">
        <v>16</v>
      </c>
      <c r="AB489" s="29">
        <v>36446</v>
      </c>
      <c r="AC489">
        <v>16</v>
      </c>
      <c r="AD489">
        <v>1285.55</v>
      </c>
      <c r="AE489">
        <f t="shared" si="35"/>
        <v>-3.8825272642248063E-3</v>
      </c>
      <c r="AF489">
        <f t="shared" si="35"/>
        <v>-1.6582525199512197E-3</v>
      </c>
      <c r="AR489">
        <v>40.063000000000002</v>
      </c>
      <c r="AS489">
        <f t="shared" si="36"/>
        <v>-2.5277487687526978E-2</v>
      </c>
    </row>
    <row r="490" spans="6:45" x14ac:dyDescent="0.2">
      <c r="F490">
        <v>15.875</v>
      </c>
      <c r="AB490" s="29">
        <v>36445</v>
      </c>
      <c r="AC490">
        <v>15.875</v>
      </c>
      <c r="AD490">
        <v>1313.04</v>
      </c>
      <c r="AE490">
        <f t="shared" si="35"/>
        <v>7.8431774610258787E-3</v>
      </c>
      <c r="AF490">
        <f t="shared" si="35"/>
        <v>-2.1158417102690528E-2</v>
      </c>
      <c r="AR490">
        <v>38.813000000000002</v>
      </c>
      <c r="AS490">
        <f t="shared" si="36"/>
        <v>3.1697973043843454E-2</v>
      </c>
    </row>
    <row r="491" spans="6:45" x14ac:dyDescent="0.2">
      <c r="F491">
        <v>14.5</v>
      </c>
      <c r="AB491" s="29">
        <v>36444</v>
      </c>
      <c r="AC491">
        <v>14.5</v>
      </c>
      <c r="AD491">
        <v>1335.21</v>
      </c>
      <c r="AE491">
        <f t="shared" si="35"/>
        <v>9.0596895352226647E-2</v>
      </c>
      <c r="AF491">
        <f t="shared" si="35"/>
        <v>-1.674352341057837E-2</v>
      </c>
      <c r="AR491">
        <v>38.875</v>
      </c>
      <c r="AS491">
        <f t="shared" si="36"/>
        <v>-1.5961284410136146E-3</v>
      </c>
    </row>
    <row r="492" spans="6:45" x14ac:dyDescent="0.2">
      <c r="F492">
        <v>14.125</v>
      </c>
      <c r="AB492" s="29">
        <v>36441</v>
      </c>
      <c r="AC492">
        <v>14.125</v>
      </c>
      <c r="AD492">
        <v>1336.02</v>
      </c>
      <c r="AE492">
        <f t="shared" si="35"/>
        <v>2.6202372394024117E-2</v>
      </c>
      <c r="AF492">
        <f t="shared" si="35"/>
        <v>-6.0646221016256367E-4</v>
      </c>
      <c r="AR492">
        <v>38.938000000000002</v>
      </c>
      <c r="AS492">
        <f t="shared" si="36"/>
        <v>-1.6192670573204021E-3</v>
      </c>
    </row>
    <row r="493" spans="6:45" x14ac:dyDescent="0.2">
      <c r="F493">
        <v>14.875</v>
      </c>
      <c r="AB493" s="29">
        <v>36440</v>
      </c>
      <c r="AC493">
        <v>14.875</v>
      </c>
      <c r="AD493">
        <v>1317.64</v>
      </c>
      <c r="AE493">
        <f t="shared" si="35"/>
        <v>-5.1735674399188865E-2</v>
      </c>
      <c r="AF493">
        <f t="shared" si="35"/>
        <v>1.3852787414712429E-2</v>
      </c>
      <c r="AR493">
        <v>37</v>
      </c>
      <c r="AS493">
        <f t="shared" si="36"/>
        <v>5.1052724912494192E-2</v>
      </c>
    </row>
    <row r="494" spans="6:45" x14ac:dyDescent="0.2">
      <c r="F494">
        <v>14.875</v>
      </c>
      <c r="AB494" s="29">
        <v>36439</v>
      </c>
      <c r="AC494">
        <v>14.875</v>
      </c>
      <c r="AD494">
        <v>1325.4</v>
      </c>
      <c r="AE494">
        <f t="shared" si="35"/>
        <v>0</v>
      </c>
      <c r="AF494">
        <f t="shared" si="35"/>
        <v>-5.8720430244180478E-3</v>
      </c>
      <c r="AR494">
        <v>38.375</v>
      </c>
      <c r="AS494">
        <f t="shared" si="36"/>
        <v>-3.6488293263136795E-2</v>
      </c>
    </row>
    <row r="495" spans="6:45" x14ac:dyDescent="0.2">
      <c r="F495">
        <v>14.875</v>
      </c>
      <c r="AB495" s="29">
        <v>36438</v>
      </c>
      <c r="AC495">
        <v>14.875</v>
      </c>
      <c r="AD495">
        <v>1301.3499999999999</v>
      </c>
      <c r="AE495">
        <f t="shared" si="35"/>
        <v>0</v>
      </c>
      <c r="AF495">
        <f t="shared" si="35"/>
        <v>1.8312113494217859E-2</v>
      </c>
      <c r="AR495">
        <v>40</v>
      </c>
      <c r="AS495">
        <f t="shared" si="36"/>
        <v>-4.1473248206575102E-2</v>
      </c>
    </row>
    <row r="496" spans="6:45" x14ac:dyDescent="0.2">
      <c r="F496">
        <v>15.093999999999999</v>
      </c>
      <c r="AB496" s="29">
        <v>36437</v>
      </c>
      <c r="AC496">
        <v>15.093999999999999</v>
      </c>
      <c r="AD496">
        <v>1304.5999999999999</v>
      </c>
      <c r="AE496">
        <f t="shared" si="35"/>
        <v>-1.4615362430983159E-2</v>
      </c>
      <c r="AF496">
        <f t="shared" si="35"/>
        <v>-2.4942932020867829E-3</v>
      </c>
      <c r="AR496">
        <v>40.188000000000002</v>
      </c>
      <c r="AS496">
        <f t="shared" si="36"/>
        <v>-4.6889894861315787E-3</v>
      </c>
    </row>
    <row r="497" spans="6:45" x14ac:dyDescent="0.2">
      <c r="F497">
        <v>15.406000000000001</v>
      </c>
      <c r="AB497" s="29">
        <v>36434</v>
      </c>
      <c r="AC497">
        <v>15.406000000000001</v>
      </c>
      <c r="AD497">
        <v>1282.81</v>
      </c>
      <c r="AE497">
        <f t="shared" si="35"/>
        <v>-2.0459730068097443E-2</v>
      </c>
      <c r="AF497">
        <f t="shared" si="35"/>
        <v>1.6843496125921502E-2</v>
      </c>
      <c r="AR497">
        <v>40.938000000000002</v>
      </c>
      <c r="AS497">
        <f t="shared" si="36"/>
        <v>-1.8490283461273738E-2</v>
      </c>
    </row>
    <row r="498" spans="6:45" x14ac:dyDescent="0.2">
      <c r="F498">
        <v>15.906000000000001</v>
      </c>
      <c r="AB498" s="29">
        <v>36433</v>
      </c>
      <c r="AC498">
        <v>15.906000000000001</v>
      </c>
      <c r="AD498">
        <v>1282.71</v>
      </c>
      <c r="AE498">
        <f t="shared" si="35"/>
        <v>-3.1939352604169448E-2</v>
      </c>
      <c r="AF498">
        <f t="shared" si="35"/>
        <v>7.7956905462177266E-5</v>
      </c>
      <c r="AR498">
        <v>41.063000000000002</v>
      </c>
      <c r="AS498">
        <f t="shared" si="36"/>
        <v>-3.0487456694758054E-3</v>
      </c>
    </row>
    <row r="499" spans="6:45" x14ac:dyDescent="0.2">
      <c r="F499">
        <v>16.375</v>
      </c>
      <c r="AB499" s="29">
        <v>36432</v>
      </c>
      <c r="AC499">
        <v>16.375</v>
      </c>
      <c r="AD499">
        <v>1268.3699999999999</v>
      </c>
      <c r="AE499">
        <f t="shared" si="35"/>
        <v>-2.9059384986372113E-2</v>
      </c>
      <c r="AF499">
        <f t="shared" si="35"/>
        <v>1.1242415790972985E-2</v>
      </c>
      <c r="AR499">
        <v>39.5</v>
      </c>
      <c r="AS499">
        <f t="shared" si="36"/>
        <v>3.8806800823741161E-2</v>
      </c>
    </row>
    <row r="500" spans="6:45" x14ac:dyDescent="0.2">
      <c r="F500">
        <v>16.469000000000001</v>
      </c>
      <c r="AB500" s="29">
        <v>36431</v>
      </c>
      <c r="AC500">
        <v>16.469000000000001</v>
      </c>
      <c r="AD500">
        <v>1282.2</v>
      </c>
      <c r="AE500">
        <f t="shared" si="35"/>
        <v>-5.7240443707558134E-3</v>
      </c>
      <c r="AF500">
        <f t="shared" si="35"/>
        <v>-1.0844741013518011E-2</v>
      </c>
      <c r="AR500">
        <v>39.25</v>
      </c>
      <c r="AS500">
        <f t="shared" si="36"/>
        <v>6.3492276786587445E-3</v>
      </c>
    </row>
    <row r="501" spans="6:45" x14ac:dyDescent="0.2">
      <c r="F501">
        <v>16.437999999999999</v>
      </c>
      <c r="AB501" s="29">
        <v>36430</v>
      </c>
      <c r="AC501">
        <v>16.437999999999999</v>
      </c>
      <c r="AD501">
        <v>1283.31</v>
      </c>
      <c r="AE501">
        <f t="shared" si="35"/>
        <v>1.8840981657631513E-3</v>
      </c>
      <c r="AF501">
        <f t="shared" si="35"/>
        <v>-8.6532507709010352E-4</v>
      </c>
      <c r="AR501">
        <v>38.875</v>
      </c>
      <c r="AS501">
        <f t="shared" si="36"/>
        <v>9.6000737290191374E-3</v>
      </c>
    </row>
    <row r="502" spans="6:45" x14ac:dyDescent="0.2">
      <c r="F502">
        <v>16.969000000000001</v>
      </c>
      <c r="AB502" s="29">
        <v>36427</v>
      </c>
      <c r="AC502">
        <v>16.969000000000001</v>
      </c>
      <c r="AD502">
        <v>1277.3599999999999</v>
      </c>
      <c r="AE502">
        <f t="shared" si="35"/>
        <v>-3.1792422264380907E-2</v>
      </c>
      <c r="AF502">
        <f t="shared" si="35"/>
        <v>4.6472295988012604E-3</v>
      </c>
      <c r="AR502">
        <v>39.813000000000002</v>
      </c>
      <c r="AS502">
        <f t="shared" si="36"/>
        <v>-2.3842121623823799E-2</v>
      </c>
    </row>
    <row r="503" spans="6:45" x14ac:dyDescent="0.2">
      <c r="F503">
        <v>17.405999999999999</v>
      </c>
      <c r="AB503" s="29">
        <v>36426</v>
      </c>
      <c r="AC503">
        <v>17.405999999999999</v>
      </c>
      <c r="AD503">
        <v>1280.4100000000001</v>
      </c>
      <c r="AE503">
        <f t="shared" si="35"/>
        <v>-2.5426824376632788E-2</v>
      </c>
      <c r="AF503">
        <f t="shared" si="35"/>
        <v>-2.3848910931203106E-3</v>
      </c>
      <c r="AR503">
        <v>39</v>
      </c>
      <c r="AS503">
        <f t="shared" si="36"/>
        <v>2.0631845993575575E-2</v>
      </c>
    </row>
    <row r="504" spans="6:45" x14ac:dyDescent="0.2">
      <c r="F504">
        <v>17.25</v>
      </c>
      <c r="AB504" s="29">
        <v>36425</v>
      </c>
      <c r="AC504">
        <v>17.25</v>
      </c>
      <c r="AD504">
        <v>1310.51</v>
      </c>
      <c r="AE504">
        <f t="shared" si="35"/>
        <v>9.0028308899531249E-3</v>
      </c>
      <c r="AF504">
        <f t="shared" si="35"/>
        <v>-2.3236035285096161E-2</v>
      </c>
      <c r="AR504">
        <v>39.5</v>
      </c>
      <c r="AS504">
        <f t="shared" si="36"/>
        <v>-1.2739025777429714E-2</v>
      </c>
    </row>
    <row r="505" spans="6:45" x14ac:dyDescent="0.2">
      <c r="F505">
        <v>17.219000000000001</v>
      </c>
      <c r="AB505" s="29">
        <v>36424</v>
      </c>
      <c r="AC505">
        <v>17.219000000000001</v>
      </c>
      <c r="AD505">
        <v>1307.58</v>
      </c>
      <c r="AE505">
        <f t="shared" si="35"/>
        <v>1.7987181733198419E-3</v>
      </c>
      <c r="AF505">
        <f t="shared" si="35"/>
        <v>2.2382738738877138E-3</v>
      </c>
      <c r="AR505">
        <v>39.5</v>
      </c>
      <c r="AS505">
        <f t="shared" si="36"/>
        <v>0</v>
      </c>
    </row>
    <row r="506" spans="6:45" x14ac:dyDescent="0.2">
      <c r="F506">
        <v>18.187999999999999</v>
      </c>
      <c r="AB506" s="29">
        <v>36423</v>
      </c>
      <c r="AC506">
        <v>18.187999999999999</v>
      </c>
      <c r="AD506">
        <v>1335.53</v>
      </c>
      <c r="AE506">
        <f t="shared" si="35"/>
        <v>-5.4748610658715162E-2</v>
      </c>
      <c r="AF506">
        <f t="shared" si="35"/>
        <v>-2.115011625875789E-2</v>
      </c>
      <c r="AR506">
        <v>41.25</v>
      </c>
      <c r="AS506">
        <f t="shared" si="36"/>
        <v>-4.3350440873613859E-2</v>
      </c>
    </row>
    <row r="507" spans="6:45" x14ac:dyDescent="0.2">
      <c r="F507">
        <v>18.125</v>
      </c>
      <c r="AB507" s="29">
        <v>36420</v>
      </c>
      <c r="AC507">
        <v>18.125</v>
      </c>
      <c r="AD507">
        <v>1335.42</v>
      </c>
      <c r="AE507">
        <f t="shared" si="35"/>
        <v>3.4698352220255768E-3</v>
      </c>
      <c r="AF507">
        <f t="shared" si="35"/>
        <v>8.2367696933360448E-5</v>
      </c>
      <c r="AR507">
        <v>42.25</v>
      </c>
      <c r="AS507">
        <f t="shared" si="36"/>
        <v>-2.3953241022492872E-2</v>
      </c>
    </row>
    <row r="508" spans="6:45" x14ac:dyDescent="0.2">
      <c r="F508">
        <v>18.094000000000001</v>
      </c>
      <c r="AB508" s="29">
        <v>36419</v>
      </c>
      <c r="AC508">
        <v>18.094000000000001</v>
      </c>
      <c r="AD508">
        <v>1318.48</v>
      </c>
      <c r="AE508">
        <f t="shared" si="35"/>
        <v>1.7118091371884712E-3</v>
      </c>
      <c r="AF508">
        <f t="shared" si="35"/>
        <v>1.2766291171674649E-2</v>
      </c>
      <c r="AR508">
        <v>41.688000000000002</v>
      </c>
      <c r="AS508">
        <f t="shared" si="36"/>
        <v>1.3391036196269366E-2</v>
      </c>
    </row>
    <row r="509" spans="6:45" x14ac:dyDescent="0.2">
      <c r="F509">
        <v>18.094000000000001</v>
      </c>
      <c r="AB509" s="29">
        <v>36418</v>
      </c>
      <c r="AC509">
        <v>18.094000000000001</v>
      </c>
      <c r="AD509">
        <v>1317.97</v>
      </c>
      <c r="AE509">
        <f t="shared" si="35"/>
        <v>0</v>
      </c>
      <c r="AF509">
        <f t="shared" si="35"/>
        <v>3.8688388276763685E-4</v>
      </c>
      <c r="AR509">
        <v>41.625</v>
      </c>
      <c r="AS509">
        <f t="shared" si="36"/>
        <v>1.5123693063056765E-3</v>
      </c>
    </row>
    <row r="510" spans="6:45" x14ac:dyDescent="0.2">
      <c r="F510">
        <v>17.625</v>
      </c>
      <c r="AB510" s="29">
        <v>36417</v>
      </c>
      <c r="AC510">
        <v>17.625</v>
      </c>
      <c r="AD510">
        <v>1336.29</v>
      </c>
      <c r="AE510">
        <f t="shared" si="35"/>
        <v>2.6262042905217529E-2</v>
      </c>
      <c r="AF510">
        <f t="shared" si="35"/>
        <v>-1.3804443366310541E-2</v>
      </c>
      <c r="AR510">
        <v>41.938000000000002</v>
      </c>
      <c r="AS510">
        <f t="shared" si="36"/>
        <v>-7.4913888639460491E-3</v>
      </c>
    </row>
    <row r="511" spans="6:45" x14ac:dyDescent="0.2">
      <c r="F511">
        <v>17.780999999999999</v>
      </c>
      <c r="AB511" s="29">
        <v>36416</v>
      </c>
      <c r="AC511">
        <v>17.780999999999999</v>
      </c>
      <c r="AD511">
        <v>1344.13</v>
      </c>
      <c r="AE511">
        <f t="shared" si="35"/>
        <v>-8.8121227754783971E-3</v>
      </c>
      <c r="AF511">
        <f t="shared" si="35"/>
        <v>-5.8498461864272102E-3</v>
      </c>
      <c r="AR511">
        <v>41.938000000000002</v>
      </c>
      <c r="AS511">
        <f t="shared" si="36"/>
        <v>0</v>
      </c>
    </row>
    <row r="512" spans="6:45" x14ac:dyDescent="0.2">
      <c r="F512">
        <v>17.687999999999999</v>
      </c>
      <c r="AB512" s="29">
        <v>36413</v>
      </c>
      <c r="AC512">
        <v>17.687999999999999</v>
      </c>
      <c r="AD512">
        <v>1351.66</v>
      </c>
      <c r="AE512">
        <f t="shared" si="35"/>
        <v>5.2440279186657026E-3</v>
      </c>
      <c r="AF512">
        <f t="shared" si="35"/>
        <v>-5.5865030908548666E-3</v>
      </c>
      <c r="AR512">
        <v>42.813000000000002</v>
      </c>
      <c r="AS512">
        <f t="shared" si="36"/>
        <v>-2.0649457621809999E-2</v>
      </c>
    </row>
    <row r="513" spans="6:45" x14ac:dyDescent="0.2">
      <c r="F513">
        <v>17.687999999999999</v>
      </c>
      <c r="AB513" s="29">
        <v>36412</v>
      </c>
      <c r="AC513">
        <v>17.687999999999999</v>
      </c>
      <c r="AD513">
        <v>1347.66</v>
      </c>
      <c r="AE513">
        <f t="shared" si="35"/>
        <v>0</v>
      </c>
      <c r="AF513">
        <f t="shared" si="35"/>
        <v>2.9637115479909672E-3</v>
      </c>
      <c r="AR513">
        <v>42.25</v>
      </c>
      <c r="AS513">
        <f t="shared" si="36"/>
        <v>1.3237440983181014E-2</v>
      </c>
    </row>
    <row r="514" spans="6:45" x14ac:dyDescent="0.2">
      <c r="F514">
        <v>17.469000000000001</v>
      </c>
      <c r="AB514" s="29">
        <v>36411</v>
      </c>
      <c r="AC514">
        <v>17.469000000000001</v>
      </c>
      <c r="AD514">
        <v>1344.15</v>
      </c>
      <c r="AE514">
        <f t="shared" si="35"/>
        <v>1.2458562032052358E-2</v>
      </c>
      <c r="AF514">
        <f t="shared" si="35"/>
        <v>2.607912140420254E-3</v>
      </c>
      <c r="AR514">
        <v>40.438000000000002</v>
      </c>
      <c r="AS514">
        <f t="shared" si="36"/>
        <v>4.3834416858073683E-2</v>
      </c>
    </row>
    <row r="515" spans="6:45" x14ac:dyDescent="0.2">
      <c r="F515">
        <v>17.469000000000001</v>
      </c>
      <c r="AB515" s="29">
        <v>36410</v>
      </c>
      <c r="AC515">
        <v>17.469000000000001</v>
      </c>
      <c r="AD515">
        <v>1350.45</v>
      </c>
      <c r="AE515">
        <f t="shared" si="35"/>
        <v>0</v>
      </c>
      <c r="AF515">
        <f t="shared" si="35"/>
        <v>-4.6760272242572882E-3</v>
      </c>
      <c r="AR515">
        <v>41.375</v>
      </c>
      <c r="AS515">
        <f t="shared" si="36"/>
        <v>-2.2906896752117812E-2</v>
      </c>
    </row>
    <row r="516" spans="6:45" x14ac:dyDescent="0.2">
      <c r="F516">
        <v>17.625</v>
      </c>
      <c r="AB516" s="29">
        <v>36406</v>
      </c>
      <c r="AC516">
        <v>17.625</v>
      </c>
      <c r="AD516">
        <v>1357.24</v>
      </c>
      <c r="AE516">
        <f t="shared" si="35"/>
        <v>-8.8904671752397038E-3</v>
      </c>
      <c r="AF516">
        <f t="shared" si="35"/>
        <v>-5.0153556964411912E-3</v>
      </c>
      <c r="AR516">
        <v>41.5</v>
      </c>
      <c r="AS516">
        <f t="shared" si="36"/>
        <v>-3.0165935394256792E-3</v>
      </c>
    </row>
    <row r="517" spans="6:45" x14ac:dyDescent="0.2">
      <c r="F517">
        <v>17.5</v>
      </c>
      <c r="AB517" s="29">
        <v>36405</v>
      </c>
      <c r="AC517">
        <v>17.5</v>
      </c>
      <c r="AD517">
        <v>1319.11</v>
      </c>
      <c r="AE517">
        <f t="shared" si="35"/>
        <v>7.1174677688639549E-3</v>
      </c>
      <c r="AF517">
        <f t="shared" si="35"/>
        <v>2.8495959166508541E-2</v>
      </c>
      <c r="AR517">
        <v>40.188000000000002</v>
      </c>
      <c r="AS517">
        <f t="shared" si="36"/>
        <v>3.2124983636584642E-2</v>
      </c>
    </row>
    <row r="518" spans="6:45" x14ac:dyDescent="0.2">
      <c r="F518">
        <v>17.719000000000001</v>
      </c>
      <c r="AB518" s="29">
        <v>36404</v>
      </c>
      <c r="AC518">
        <v>17.719000000000001</v>
      </c>
      <c r="AD518">
        <v>1331.07</v>
      </c>
      <c r="AE518">
        <f t="shared" si="35"/>
        <v>-1.2436629246464048E-2</v>
      </c>
      <c r="AF518">
        <f t="shared" si="35"/>
        <v>-9.025863295733896E-3</v>
      </c>
      <c r="AR518">
        <v>41.313000000000002</v>
      </c>
      <c r="AS518">
        <f t="shared" si="36"/>
        <v>-2.7608776813030672E-2</v>
      </c>
    </row>
    <row r="519" spans="6:45" x14ac:dyDescent="0.2">
      <c r="F519">
        <v>17.969000000000001</v>
      </c>
      <c r="AB519" s="29">
        <v>36403</v>
      </c>
      <c r="AC519">
        <v>17.969000000000001</v>
      </c>
      <c r="AD519">
        <v>1320.41</v>
      </c>
      <c r="AE519">
        <f t="shared" si="35"/>
        <v>-1.4010540768384381E-2</v>
      </c>
      <c r="AF519">
        <f t="shared" si="35"/>
        <v>8.0408356353155359E-3</v>
      </c>
      <c r="AR519">
        <v>41.875</v>
      </c>
      <c r="AS519">
        <f t="shared" si="36"/>
        <v>-1.3511769732131923E-2</v>
      </c>
    </row>
    <row r="520" spans="6:45" x14ac:dyDescent="0.2">
      <c r="F520">
        <v>17.984000000000002</v>
      </c>
      <c r="AB520" s="29">
        <v>36402</v>
      </c>
      <c r="AC520">
        <v>17.984000000000002</v>
      </c>
      <c r="AD520">
        <v>1324.02</v>
      </c>
      <c r="AE520">
        <f t="shared" si="35"/>
        <v>-8.3442276696397944E-4</v>
      </c>
      <c r="AF520">
        <f t="shared" si="35"/>
        <v>-2.7302687100977034E-3</v>
      </c>
      <c r="AR520">
        <v>41.25</v>
      </c>
      <c r="AS520">
        <f t="shared" si="36"/>
        <v>1.5037877364540502E-2</v>
      </c>
    </row>
    <row r="521" spans="6:45" x14ac:dyDescent="0.2">
      <c r="F521">
        <v>17.969000000000001</v>
      </c>
      <c r="AB521" s="29">
        <v>36399</v>
      </c>
      <c r="AC521">
        <v>17.969000000000001</v>
      </c>
      <c r="AD521">
        <v>1348.27</v>
      </c>
      <c r="AE521">
        <f t="shared" si="35"/>
        <v>8.344227669638707E-4</v>
      </c>
      <c r="AF521">
        <f t="shared" si="35"/>
        <v>-1.8149726028400134E-2</v>
      </c>
      <c r="AR521">
        <v>42.375</v>
      </c>
      <c r="AS521">
        <f t="shared" si="36"/>
        <v>-2.6907452919924382E-2</v>
      </c>
    </row>
    <row r="522" spans="6:45" x14ac:dyDescent="0.2">
      <c r="F522">
        <v>17.937999999999999</v>
      </c>
      <c r="AB522" s="29">
        <v>36398</v>
      </c>
      <c r="AC522">
        <v>17.937999999999999</v>
      </c>
      <c r="AD522">
        <v>1362.01</v>
      </c>
      <c r="AE522">
        <f t="shared" si="35"/>
        <v>1.7266832485055305E-3</v>
      </c>
      <c r="AF522">
        <f t="shared" si="35"/>
        <v>-1.0139260674965992E-2</v>
      </c>
      <c r="AR522">
        <v>42.063000000000002</v>
      </c>
      <c r="AS522">
        <f t="shared" si="36"/>
        <v>7.3900712935100598E-3</v>
      </c>
    </row>
    <row r="523" spans="6:45" x14ac:dyDescent="0.2">
      <c r="F523">
        <v>18</v>
      </c>
      <c r="AB523" s="29">
        <v>36397</v>
      </c>
      <c r="AC523">
        <v>18</v>
      </c>
      <c r="AD523">
        <v>1381.79</v>
      </c>
      <c r="AE523">
        <f t="shared" si="35"/>
        <v>-3.4503902003533708E-3</v>
      </c>
      <c r="AF523">
        <f t="shared" si="35"/>
        <v>-1.4418210264769324E-2</v>
      </c>
      <c r="AR523">
        <v>43.125</v>
      </c>
      <c r="AS523">
        <f t="shared" si="36"/>
        <v>-2.4934380944419576E-2</v>
      </c>
    </row>
    <row r="524" spans="6:45" x14ac:dyDescent="0.2">
      <c r="F524">
        <v>18.062999999999999</v>
      </c>
      <c r="AB524" s="29">
        <v>36396</v>
      </c>
      <c r="AC524">
        <v>18.062999999999999</v>
      </c>
      <c r="AD524">
        <v>1363.5</v>
      </c>
      <c r="AE524">
        <f t="shared" si="35"/>
        <v>-3.4938892542557406E-3</v>
      </c>
      <c r="AF524">
        <f t="shared" si="35"/>
        <v>1.3324836805536398E-2</v>
      </c>
      <c r="AR524">
        <v>43.875</v>
      </c>
      <c r="AS524">
        <f t="shared" si="36"/>
        <v>-1.7241806434506103E-2</v>
      </c>
    </row>
    <row r="525" spans="6:45" x14ac:dyDescent="0.2">
      <c r="F525">
        <v>17.844000000000001</v>
      </c>
      <c r="AB525" s="29">
        <v>36395</v>
      </c>
      <c r="AC525">
        <v>17.844000000000001</v>
      </c>
      <c r="AD525">
        <v>1360.22</v>
      </c>
      <c r="AE525">
        <f t="shared" si="35"/>
        <v>1.2198329884401967E-2</v>
      </c>
      <c r="AF525">
        <f t="shared" si="35"/>
        <v>2.4084719321624034E-3</v>
      </c>
      <c r="AR525">
        <v>44.25</v>
      </c>
      <c r="AS525">
        <f t="shared" si="36"/>
        <v>-8.5106896679086191E-3</v>
      </c>
    </row>
    <row r="526" spans="6:45" x14ac:dyDescent="0.2">
      <c r="F526">
        <v>17.937999999999999</v>
      </c>
      <c r="AB526" s="29">
        <v>36392</v>
      </c>
      <c r="AC526">
        <v>17.937999999999999</v>
      </c>
      <c r="AD526">
        <v>1336.61</v>
      </c>
      <c r="AE526">
        <f t="shared" si="35"/>
        <v>-5.2540504297929067E-3</v>
      </c>
      <c r="AF526">
        <f t="shared" si="35"/>
        <v>1.7509893634589973E-2</v>
      </c>
      <c r="AR526">
        <v>43.938000000000002</v>
      </c>
      <c r="AS526">
        <f t="shared" si="36"/>
        <v>7.0758221469508263E-3</v>
      </c>
    </row>
    <row r="527" spans="6:45" x14ac:dyDescent="0.2">
      <c r="F527">
        <v>17.905999999999999</v>
      </c>
      <c r="AB527" s="29">
        <v>36391</v>
      </c>
      <c r="AC527">
        <v>17.905999999999999</v>
      </c>
      <c r="AD527">
        <v>1323.59</v>
      </c>
      <c r="AE527">
        <f t="shared" si="35"/>
        <v>1.7855154838470604E-3</v>
      </c>
      <c r="AF527">
        <f t="shared" si="35"/>
        <v>9.7888158525881938E-3</v>
      </c>
      <c r="AR527">
        <v>43.75</v>
      </c>
      <c r="AS527">
        <f t="shared" si="36"/>
        <v>4.2879365033644153E-3</v>
      </c>
    </row>
    <row r="528" spans="6:45" x14ac:dyDescent="0.2">
      <c r="F528">
        <v>18.312999999999999</v>
      </c>
      <c r="AB528" s="29">
        <v>36390</v>
      </c>
      <c r="AC528">
        <v>18.312999999999999</v>
      </c>
      <c r="AD528">
        <v>1332.84</v>
      </c>
      <c r="AE528">
        <f t="shared" si="35"/>
        <v>-2.2475337946847324E-2</v>
      </c>
      <c r="AF528">
        <f t="shared" si="35"/>
        <v>-6.9642621007262335E-3</v>
      </c>
      <c r="AR528">
        <v>43.688000000000002</v>
      </c>
      <c r="AS528">
        <f t="shared" si="36"/>
        <v>1.4181479537707623E-3</v>
      </c>
    </row>
    <row r="529" spans="6:45" x14ac:dyDescent="0.2">
      <c r="F529">
        <v>18.405999999999999</v>
      </c>
      <c r="AB529" s="29">
        <v>36389</v>
      </c>
      <c r="AC529">
        <v>18.405999999999999</v>
      </c>
      <c r="AD529">
        <v>1344.16</v>
      </c>
      <c r="AE529">
        <f t="shared" ref="AE529:AF592" si="37">LN(AC528/AC529)</f>
        <v>-5.0655082578535907E-3</v>
      </c>
      <c r="AF529">
        <f t="shared" si="37"/>
        <v>-8.4572786495081421E-3</v>
      </c>
      <c r="AR529">
        <v>44.313000000000002</v>
      </c>
      <c r="AS529">
        <f t="shared" ref="AS529:AS592" si="38">LN(AR528/AR529)</f>
        <v>-1.4204622876719905E-2</v>
      </c>
    </row>
    <row r="530" spans="6:45" x14ac:dyDescent="0.2">
      <c r="F530">
        <v>18.5</v>
      </c>
      <c r="AB530" s="29">
        <v>36388</v>
      </c>
      <c r="AC530">
        <v>18.5</v>
      </c>
      <c r="AD530">
        <v>1330.77</v>
      </c>
      <c r="AE530">
        <f t="shared" si="37"/>
        <v>-5.0940336676140946E-3</v>
      </c>
      <c r="AF530">
        <f t="shared" si="37"/>
        <v>1.0011560557688561E-2</v>
      </c>
      <c r="AR530">
        <v>43.875</v>
      </c>
      <c r="AS530">
        <f t="shared" si="38"/>
        <v>9.9334059405425234E-3</v>
      </c>
    </row>
    <row r="531" spans="6:45" x14ac:dyDescent="0.2">
      <c r="F531">
        <v>18.594000000000001</v>
      </c>
      <c r="AB531" s="29">
        <v>36385</v>
      </c>
      <c r="AC531">
        <v>18.594000000000001</v>
      </c>
      <c r="AD531">
        <v>1327.68</v>
      </c>
      <c r="AE531">
        <f t="shared" si="37"/>
        <v>-5.068215949387128E-3</v>
      </c>
      <c r="AF531">
        <f t="shared" si="37"/>
        <v>2.3246639143454395E-3</v>
      </c>
      <c r="AR531">
        <v>43.844000000000001</v>
      </c>
      <c r="AS531">
        <f t="shared" si="38"/>
        <v>7.0680243255298678E-4</v>
      </c>
    </row>
    <row r="532" spans="6:45" x14ac:dyDescent="0.2">
      <c r="F532">
        <v>18.219000000000001</v>
      </c>
      <c r="AB532" s="29">
        <v>36384</v>
      </c>
      <c r="AC532">
        <v>18.219000000000001</v>
      </c>
      <c r="AD532">
        <v>1298.1600000000001</v>
      </c>
      <c r="AE532">
        <f t="shared" si="37"/>
        <v>2.0373942450118157E-2</v>
      </c>
      <c r="AF532">
        <f t="shared" si="37"/>
        <v>2.2485180913221846E-2</v>
      </c>
      <c r="AR532">
        <v>43</v>
      </c>
      <c r="AS532">
        <f t="shared" si="38"/>
        <v>1.9437763659914561E-2</v>
      </c>
    </row>
    <row r="533" spans="6:45" x14ac:dyDescent="0.2">
      <c r="F533">
        <v>18.469000000000001</v>
      </c>
      <c r="AB533" s="29">
        <v>36383</v>
      </c>
      <c r="AC533">
        <v>18.469000000000001</v>
      </c>
      <c r="AD533">
        <v>1301.93</v>
      </c>
      <c r="AE533">
        <f t="shared" si="37"/>
        <v>-1.3628645310226301E-2</v>
      </c>
      <c r="AF533">
        <f t="shared" si="37"/>
        <v>-2.8999016510675335E-3</v>
      </c>
      <c r="AR533">
        <v>44.015999999999998</v>
      </c>
      <c r="AS533">
        <f t="shared" si="38"/>
        <v>-2.3353088488656224E-2</v>
      </c>
    </row>
    <row r="534" spans="6:45" x14ac:dyDescent="0.2">
      <c r="F534">
        <v>17.969000000000001</v>
      </c>
      <c r="AB534" s="29">
        <v>36382</v>
      </c>
      <c r="AC534">
        <v>17.969000000000001</v>
      </c>
      <c r="AD534">
        <v>1281.43</v>
      </c>
      <c r="AE534">
        <f t="shared" si="37"/>
        <v>2.744559994945768E-2</v>
      </c>
      <c r="AF534">
        <f t="shared" si="37"/>
        <v>1.5871137058239889E-2</v>
      </c>
      <c r="AR534">
        <v>44.280999999999999</v>
      </c>
      <c r="AS534">
        <f t="shared" si="38"/>
        <v>-6.0024869623816106E-3</v>
      </c>
    </row>
    <row r="535" spans="6:45" x14ac:dyDescent="0.2">
      <c r="F535">
        <v>17.875</v>
      </c>
      <c r="AB535" s="29">
        <v>36381</v>
      </c>
      <c r="AC535">
        <v>17.875</v>
      </c>
      <c r="AD535">
        <v>1297.8</v>
      </c>
      <c r="AE535">
        <f t="shared" si="37"/>
        <v>5.2449623642453133E-3</v>
      </c>
      <c r="AF535">
        <f t="shared" si="37"/>
        <v>-1.2693881362959144E-2</v>
      </c>
      <c r="AR535">
        <v>44.063000000000002</v>
      </c>
      <c r="AS535">
        <f t="shared" si="38"/>
        <v>4.9352631187649706E-3</v>
      </c>
    </row>
    <row r="536" spans="6:45" x14ac:dyDescent="0.2">
      <c r="F536">
        <v>18.187999999999999</v>
      </c>
      <c r="AB536" s="29">
        <v>36378</v>
      </c>
      <c r="AC536">
        <v>18.187999999999999</v>
      </c>
      <c r="AD536">
        <v>1300.29</v>
      </c>
      <c r="AE536">
        <f t="shared" si="37"/>
        <v>-1.7358947382692686E-2</v>
      </c>
      <c r="AF536">
        <f t="shared" si="37"/>
        <v>-1.916793307679885E-3</v>
      </c>
      <c r="AR536">
        <v>43.405999999999999</v>
      </c>
      <c r="AS536">
        <f t="shared" si="38"/>
        <v>1.5022747627041181E-2</v>
      </c>
    </row>
    <row r="537" spans="6:45" x14ac:dyDescent="0.2">
      <c r="F537">
        <v>18.344000000000001</v>
      </c>
      <c r="AB537" s="29">
        <v>36377</v>
      </c>
      <c r="AC537">
        <v>18.344000000000001</v>
      </c>
      <c r="AD537">
        <v>1313.71</v>
      </c>
      <c r="AE537">
        <f t="shared" si="37"/>
        <v>-8.540509592839321E-3</v>
      </c>
      <c r="AF537">
        <f t="shared" si="37"/>
        <v>-1.0267879039738392E-2</v>
      </c>
      <c r="AR537">
        <v>42.719000000000001</v>
      </c>
      <c r="AS537">
        <f t="shared" si="38"/>
        <v>1.5953894260532113E-2</v>
      </c>
    </row>
    <row r="538" spans="6:45" x14ac:dyDescent="0.2">
      <c r="F538">
        <v>18.530999999999999</v>
      </c>
      <c r="AB538" s="29">
        <v>36376</v>
      </c>
      <c r="AC538">
        <v>18.530999999999999</v>
      </c>
      <c r="AD538">
        <v>1305.33</v>
      </c>
      <c r="AE538">
        <f t="shared" si="37"/>
        <v>-1.0142459826268362E-2</v>
      </c>
      <c r="AF538">
        <f t="shared" si="37"/>
        <v>6.3993131816047098E-3</v>
      </c>
      <c r="AR538">
        <v>42.375</v>
      </c>
      <c r="AS538">
        <f t="shared" si="38"/>
        <v>8.0852204376477103E-3</v>
      </c>
    </row>
    <row r="539" spans="6:45" x14ac:dyDescent="0.2">
      <c r="F539">
        <v>18.780999999999999</v>
      </c>
      <c r="AB539" s="29">
        <v>36375</v>
      </c>
      <c r="AC539">
        <v>18.780999999999999</v>
      </c>
      <c r="AD539">
        <v>1322.18</v>
      </c>
      <c r="AE539">
        <f t="shared" si="37"/>
        <v>-1.3400715116928641E-2</v>
      </c>
      <c r="AF539">
        <f t="shared" si="37"/>
        <v>-1.2826007127548739E-2</v>
      </c>
      <c r="AR539">
        <v>42.125</v>
      </c>
      <c r="AS539">
        <f t="shared" si="38"/>
        <v>5.9171770280885185E-3</v>
      </c>
    </row>
    <row r="540" spans="6:45" x14ac:dyDescent="0.2">
      <c r="F540">
        <v>18.625</v>
      </c>
      <c r="AB540" s="29">
        <v>36374</v>
      </c>
      <c r="AC540">
        <v>18.625</v>
      </c>
      <c r="AD540">
        <v>1328.05</v>
      </c>
      <c r="AE540">
        <f t="shared" si="37"/>
        <v>8.3409562331770125E-3</v>
      </c>
      <c r="AF540">
        <f t="shared" si="37"/>
        <v>-4.4298114495922702E-3</v>
      </c>
      <c r="AR540">
        <v>42.030999999999999</v>
      </c>
      <c r="AS540">
        <f t="shared" si="38"/>
        <v>2.2339474093924136E-3</v>
      </c>
    </row>
    <row r="541" spans="6:45" x14ac:dyDescent="0.2">
      <c r="F541">
        <v>18.312999999999999</v>
      </c>
      <c r="AB541" s="29">
        <v>36371</v>
      </c>
      <c r="AC541">
        <v>18.312999999999999</v>
      </c>
      <c r="AD541">
        <v>1328.72</v>
      </c>
      <c r="AE541">
        <f t="shared" si="37"/>
        <v>1.6893574106811662E-2</v>
      </c>
      <c r="AF541">
        <f t="shared" si="37"/>
        <v>-5.0437186072072721E-4</v>
      </c>
      <c r="AR541">
        <v>42.594000000000001</v>
      </c>
      <c r="AS541">
        <f t="shared" si="38"/>
        <v>-1.3305957022170417E-2</v>
      </c>
    </row>
    <row r="542" spans="6:45" x14ac:dyDescent="0.2">
      <c r="F542">
        <v>18.062999999999999</v>
      </c>
      <c r="AB542" s="29">
        <v>36370</v>
      </c>
      <c r="AC542">
        <v>18.062999999999999</v>
      </c>
      <c r="AD542">
        <v>1341.03</v>
      </c>
      <c r="AE542">
        <f t="shared" si="37"/>
        <v>1.3745543008391006E-2</v>
      </c>
      <c r="AF542">
        <f t="shared" si="37"/>
        <v>-9.2219026053530582E-3</v>
      </c>
      <c r="AR542">
        <v>42.030999999999999</v>
      </c>
      <c r="AS542">
        <f t="shared" si="38"/>
        <v>1.3305957022170406E-2</v>
      </c>
    </row>
    <row r="543" spans="6:45" x14ac:dyDescent="0.2">
      <c r="F543">
        <v>17.75</v>
      </c>
      <c r="AB543" s="29">
        <v>36369</v>
      </c>
      <c r="AC543">
        <v>17.75</v>
      </c>
      <c r="AD543">
        <v>1365.4</v>
      </c>
      <c r="AE543">
        <f t="shared" si="37"/>
        <v>1.7480131228995673E-2</v>
      </c>
      <c r="AF543">
        <f t="shared" si="37"/>
        <v>-1.8009450588083443E-2</v>
      </c>
      <c r="AR543">
        <v>42</v>
      </c>
      <c r="AS543">
        <f t="shared" si="38"/>
        <v>7.3782297976521369E-4</v>
      </c>
    </row>
    <row r="544" spans="6:45" x14ac:dyDescent="0.2">
      <c r="F544">
        <v>17.687999999999999</v>
      </c>
      <c r="AB544" s="29">
        <v>36368</v>
      </c>
      <c r="AC544">
        <v>17.687999999999999</v>
      </c>
      <c r="AD544">
        <v>1362.84</v>
      </c>
      <c r="AE544">
        <f t="shared" si="37"/>
        <v>3.4990723662797537E-3</v>
      </c>
      <c r="AF544">
        <f t="shared" si="37"/>
        <v>1.8766682926248852E-3</v>
      </c>
      <c r="AR544">
        <v>41.905999999999999</v>
      </c>
      <c r="AS544">
        <f t="shared" si="38"/>
        <v>2.2406035164520186E-3</v>
      </c>
    </row>
    <row r="545" spans="6:45" x14ac:dyDescent="0.2">
      <c r="F545">
        <v>17.062999999999999</v>
      </c>
      <c r="AB545" s="29">
        <v>36367</v>
      </c>
      <c r="AC545">
        <v>17.062999999999999</v>
      </c>
      <c r="AD545">
        <v>1347.76</v>
      </c>
      <c r="AE545">
        <f t="shared" si="37"/>
        <v>3.5974067010017402E-2</v>
      </c>
      <c r="AF545">
        <f t="shared" si="37"/>
        <v>1.1126802613606629E-2</v>
      </c>
      <c r="AR545">
        <v>41.969000000000001</v>
      </c>
      <c r="AS545">
        <f t="shared" si="38"/>
        <v>-1.5022357519580195E-3</v>
      </c>
    </row>
    <row r="546" spans="6:45" x14ac:dyDescent="0.2">
      <c r="F546">
        <v>16.625</v>
      </c>
      <c r="AB546" s="29">
        <v>36364</v>
      </c>
      <c r="AC546">
        <v>16.625</v>
      </c>
      <c r="AD546">
        <v>1356.94</v>
      </c>
      <c r="AE546">
        <f t="shared" si="37"/>
        <v>2.6004790003209991E-2</v>
      </c>
      <c r="AF546">
        <f t="shared" si="37"/>
        <v>-6.7882095988553012E-3</v>
      </c>
      <c r="AR546">
        <v>41.938000000000002</v>
      </c>
      <c r="AS546">
        <f t="shared" si="38"/>
        <v>7.3891335432044593E-4</v>
      </c>
    </row>
    <row r="547" spans="6:45" x14ac:dyDescent="0.2">
      <c r="F547">
        <v>16.719000000000001</v>
      </c>
      <c r="AB547" s="29">
        <v>36363</v>
      </c>
      <c r="AC547">
        <v>16.719000000000001</v>
      </c>
      <c r="AD547">
        <v>1360.97</v>
      </c>
      <c r="AE547">
        <f t="shared" si="37"/>
        <v>-5.638210713591228E-3</v>
      </c>
      <c r="AF547">
        <f t="shared" si="37"/>
        <v>-2.9655161159964369E-3</v>
      </c>
      <c r="AR547">
        <v>41.938000000000002</v>
      </c>
      <c r="AS547">
        <f t="shared" si="38"/>
        <v>0</v>
      </c>
    </row>
    <row r="548" spans="6:45" x14ac:dyDescent="0.2">
      <c r="F548">
        <v>16.844000000000001</v>
      </c>
      <c r="AB548" s="29">
        <v>36362</v>
      </c>
      <c r="AC548">
        <v>16.844000000000001</v>
      </c>
      <c r="AD548">
        <v>1379.29</v>
      </c>
      <c r="AE548">
        <f t="shared" si="37"/>
        <v>-7.4487130441723629E-3</v>
      </c>
      <c r="AF548">
        <f t="shared" si="37"/>
        <v>-1.3371193208016646E-2</v>
      </c>
      <c r="AR548">
        <v>42.625</v>
      </c>
      <c r="AS548">
        <f t="shared" si="38"/>
        <v>-1.6248598439126911E-2</v>
      </c>
    </row>
    <row r="549" spans="6:45" x14ac:dyDescent="0.2">
      <c r="F549">
        <v>16.719000000000001</v>
      </c>
      <c r="AB549" s="29">
        <v>36361</v>
      </c>
      <c r="AC549">
        <v>16.719000000000001</v>
      </c>
      <c r="AD549">
        <v>1377.1</v>
      </c>
      <c r="AE549">
        <f t="shared" si="37"/>
        <v>7.4487130441723204E-3</v>
      </c>
      <c r="AF549">
        <f t="shared" si="37"/>
        <v>1.5890352677368422E-3</v>
      </c>
      <c r="AR549">
        <v>42.780999999999999</v>
      </c>
      <c r="AS549">
        <f t="shared" si="38"/>
        <v>-3.6531431864477277E-3</v>
      </c>
    </row>
    <row r="550" spans="6:45" x14ac:dyDescent="0.2">
      <c r="F550">
        <v>17.155999999999999</v>
      </c>
      <c r="AB550" s="29">
        <v>36360</v>
      </c>
      <c r="AC550">
        <v>17.155999999999999</v>
      </c>
      <c r="AD550">
        <v>1407.65</v>
      </c>
      <c r="AE550">
        <f t="shared" si="37"/>
        <v>-2.5802169399124924E-2</v>
      </c>
      <c r="AF550">
        <f t="shared" si="37"/>
        <v>-2.1941808538436872E-2</v>
      </c>
      <c r="AR550">
        <v>42.655999999999999</v>
      </c>
      <c r="AS550">
        <f t="shared" si="38"/>
        <v>2.9261347938303894E-3</v>
      </c>
    </row>
    <row r="551" spans="6:45" x14ac:dyDescent="0.2">
      <c r="F551">
        <v>17.219000000000001</v>
      </c>
      <c r="AB551" s="29">
        <v>36357</v>
      </c>
      <c r="AC551">
        <v>17.219000000000001</v>
      </c>
      <c r="AD551">
        <v>1418.78</v>
      </c>
      <c r="AE551">
        <f t="shared" si="37"/>
        <v>-3.6654586494149037E-3</v>
      </c>
      <c r="AF551">
        <f t="shared" si="37"/>
        <v>-7.8757001090848638E-3</v>
      </c>
      <c r="AR551">
        <v>42</v>
      </c>
      <c r="AS551">
        <f t="shared" si="38"/>
        <v>1.5498325712929882E-2</v>
      </c>
    </row>
    <row r="552" spans="6:45" x14ac:dyDescent="0.2">
      <c r="F552">
        <v>17.375</v>
      </c>
      <c r="AB552" s="29">
        <v>36356</v>
      </c>
      <c r="AC552">
        <v>17.375</v>
      </c>
      <c r="AD552">
        <v>1409.62</v>
      </c>
      <c r="AE552">
        <f t="shared" si="37"/>
        <v>-9.0189661468069501E-3</v>
      </c>
      <c r="AF552">
        <f t="shared" si="37"/>
        <v>6.4771828770941358E-3</v>
      </c>
      <c r="AR552">
        <v>40.969000000000001</v>
      </c>
      <c r="AS552">
        <f t="shared" si="38"/>
        <v>2.4853935125961572E-2</v>
      </c>
    </row>
    <row r="553" spans="6:45" x14ac:dyDescent="0.2">
      <c r="F553">
        <v>17.312999999999999</v>
      </c>
      <c r="AB553" s="29">
        <v>36355</v>
      </c>
      <c r="AC553">
        <v>17.312999999999999</v>
      </c>
      <c r="AD553">
        <v>1398.17</v>
      </c>
      <c r="AE553">
        <f t="shared" si="37"/>
        <v>3.574727053916846E-3</v>
      </c>
      <c r="AF553">
        <f t="shared" si="37"/>
        <v>8.15592581372695E-3</v>
      </c>
      <c r="AR553">
        <v>41.280999999999999</v>
      </c>
      <c r="AS553">
        <f t="shared" si="38"/>
        <v>-7.5866625286861201E-3</v>
      </c>
    </row>
    <row r="554" spans="6:45" x14ac:dyDescent="0.2">
      <c r="F554">
        <v>16.905999999999999</v>
      </c>
      <c r="AB554" s="29">
        <v>36354</v>
      </c>
      <c r="AC554">
        <v>16.905999999999999</v>
      </c>
      <c r="AD554">
        <v>1393.56</v>
      </c>
      <c r="AE554">
        <f t="shared" si="37"/>
        <v>2.3789075890203123E-2</v>
      </c>
      <c r="AF554">
        <f t="shared" si="37"/>
        <v>3.3026146441140717E-3</v>
      </c>
      <c r="AR554">
        <v>42</v>
      </c>
      <c r="AS554">
        <f t="shared" si="38"/>
        <v>-1.7267272597275424E-2</v>
      </c>
    </row>
    <row r="555" spans="6:45" x14ac:dyDescent="0.2">
      <c r="F555">
        <v>16.437999999999999</v>
      </c>
      <c r="AB555" s="29">
        <v>36353</v>
      </c>
      <c r="AC555">
        <v>16.437999999999999</v>
      </c>
      <c r="AD555">
        <v>1399.1</v>
      </c>
      <c r="AE555">
        <f t="shared" si="37"/>
        <v>2.8072860780427557E-2</v>
      </c>
      <c r="AF555">
        <f t="shared" si="37"/>
        <v>-3.9675486935734925E-3</v>
      </c>
      <c r="AR555">
        <v>42.563000000000002</v>
      </c>
      <c r="AS555">
        <f t="shared" si="38"/>
        <v>-1.3315712987612031E-2</v>
      </c>
    </row>
    <row r="556" spans="6:45" x14ac:dyDescent="0.2">
      <c r="F556">
        <v>16.062999999999999</v>
      </c>
      <c r="AB556" s="29">
        <v>36350</v>
      </c>
      <c r="AC556">
        <v>16.062999999999999</v>
      </c>
      <c r="AD556">
        <v>1403.28</v>
      </c>
      <c r="AE556">
        <f t="shared" si="37"/>
        <v>2.3077237150679195E-2</v>
      </c>
      <c r="AF556">
        <f t="shared" si="37"/>
        <v>-2.9831807962845736E-3</v>
      </c>
      <c r="AR556">
        <v>43.188000000000002</v>
      </c>
      <c r="AS556">
        <f t="shared" si="38"/>
        <v>-1.4577347613913738E-2</v>
      </c>
    </row>
    <row r="557" spans="6:45" x14ac:dyDescent="0.2">
      <c r="F557">
        <v>15.968999999999999</v>
      </c>
      <c r="AB557" s="29">
        <v>36349</v>
      </c>
      <c r="AC557">
        <v>15.968999999999999</v>
      </c>
      <c r="AD557">
        <v>1394.42</v>
      </c>
      <c r="AE557">
        <f t="shared" si="37"/>
        <v>5.8691477168990773E-3</v>
      </c>
      <c r="AF557">
        <f t="shared" si="37"/>
        <v>6.33379534594233E-3</v>
      </c>
      <c r="AR557">
        <v>42.25</v>
      </c>
      <c r="AS557">
        <f t="shared" si="38"/>
        <v>2.1958325081711097E-2</v>
      </c>
    </row>
    <row r="558" spans="6:45" x14ac:dyDescent="0.2">
      <c r="F558">
        <v>15.75</v>
      </c>
      <c r="AB558" s="29">
        <v>36348</v>
      </c>
      <c r="AC558">
        <v>15.75</v>
      </c>
      <c r="AD558">
        <v>1395.86</v>
      </c>
      <c r="AE558">
        <f t="shared" si="37"/>
        <v>1.380897758708792E-2</v>
      </c>
      <c r="AF558">
        <f t="shared" si="37"/>
        <v>-1.0321545707534655E-3</v>
      </c>
      <c r="AR558">
        <v>41.813000000000002</v>
      </c>
      <c r="AS558">
        <f t="shared" si="38"/>
        <v>1.0397057839746364E-2</v>
      </c>
    </row>
    <row r="559" spans="6:45" x14ac:dyDescent="0.2">
      <c r="F559">
        <v>16.125</v>
      </c>
      <c r="AB559" s="29">
        <v>36347</v>
      </c>
      <c r="AC559">
        <v>16.125</v>
      </c>
      <c r="AD559">
        <v>1388.12</v>
      </c>
      <c r="AE559">
        <f t="shared" si="37"/>
        <v>-2.3530497410194161E-2</v>
      </c>
      <c r="AF559">
        <f t="shared" si="37"/>
        <v>5.5603990992208075E-3</v>
      </c>
      <c r="AR559">
        <v>41.938000000000002</v>
      </c>
      <c r="AS559">
        <f t="shared" si="38"/>
        <v>-2.9850412011173852E-3</v>
      </c>
    </row>
    <row r="560" spans="6:45" x14ac:dyDescent="0.2">
      <c r="F560">
        <v>16.5</v>
      </c>
      <c r="AB560" s="29">
        <v>36343</v>
      </c>
      <c r="AC560">
        <v>16.5</v>
      </c>
      <c r="AD560">
        <v>1391.22</v>
      </c>
      <c r="AE560">
        <f t="shared" si="37"/>
        <v>-2.2989518224698718E-2</v>
      </c>
      <c r="AF560">
        <f t="shared" si="37"/>
        <v>-2.230746353829258E-3</v>
      </c>
      <c r="AR560">
        <v>40.625</v>
      </c>
      <c r="AS560">
        <f t="shared" si="38"/>
        <v>3.1808696514652422E-2</v>
      </c>
    </row>
    <row r="561" spans="6:45" x14ac:dyDescent="0.2">
      <c r="F561">
        <v>16.219000000000001</v>
      </c>
      <c r="AB561" s="29">
        <v>36342</v>
      </c>
      <c r="AC561">
        <v>16.219000000000001</v>
      </c>
      <c r="AD561">
        <v>1380.96</v>
      </c>
      <c r="AE561">
        <f t="shared" si="37"/>
        <v>1.7176986400982412E-2</v>
      </c>
      <c r="AF561">
        <f t="shared" si="37"/>
        <v>7.4021505435967958E-3</v>
      </c>
      <c r="AR561">
        <v>40.563000000000002</v>
      </c>
      <c r="AS561">
        <f t="shared" si="38"/>
        <v>1.52731960517081E-3</v>
      </c>
    </row>
    <row r="562" spans="6:45" x14ac:dyDescent="0.2">
      <c r="F562">
        <v>16.062999999999999</v>
      </c>
      <c r="AB562" s="29">
        <v>36341</v>
      </c>
      <c r="AC562">
        <v>16.062999999999999</v>
      </c>
      <c r="AD562">
        <v>1372.71</v>
      </c>
      <c r="AE562">
        <f t="shared" si="37"/>
        <v>9.6649039299235486E-3</v>
      </c>
      <c r="AF562">
        <f t="shared" si="37"/>
        <v>5.9920213273232104E-3</v>
      </c>
      <c r="AR562">
        <v>40.875</v>
      </c>
      <c r="AS562">
        <f t="shared" si="38"/>
        <v>-7.6623081726867872E-3</v>
      </c>
    </row>
    <row r="563" spans="6:45" x14ac:dyDescent="0.2">
      <c r="F563">
        <v>15.406000000000001</v>
      </c>
      <c r="AB563" s="29">
        <v>36340</v>
      </c>
      <c r="AC563">
        <v>15.406000000000001</v>
      </c>
      <c r="AD563">
        <v>1351.45</v>
      </c>
      <c r="AE563">
        <f t="shared" si="37"/>
        <v>4.1761446644854816E-2</v>
      </c>
      <c r="AF563">
        <f t="shared" si="37"/>
        <v>1.5608798042336038E-2</v>
      </c>
      <c r="AR563">
        <v>40.594000000000001</v>
      </c>
      <c r="AS563">
        <f t="shared" si="38"/>
        <v>6.8983567819827021E-3</v>
      </c>
    </row>
    <row r="564" spans="6:45" x14ac:dyDescent="0.2">
      <c r="F564">
        <v>15.688000000000001</v>
      </c>
      <c r="AB564" s="29">
        <v>36339</v>
      </c>
      <c r="AC564">
        <v>15.688000000000001</v>
      </c>
      <c r="AD564">
        <v>1331.35</v>
      </c>
      <c r="AE564">
        <f t="shared" si="37"/>
        <v>-1.8139044963271071E-2</v>
      </c>
      <c r="AF564">
        <f t="shared" si="37"/>
        <v>1.4984625094229502E-2</v>
      </c>
      <c r="AR564">
        <v>39.719000000000001</v>
      </c>
      <c r="AS564">
        <f t="shared" si="38"/>
        <v>2.1790609809025134E-2</v>
      </c>
    </row>
    <row r="565" spans="6:45" x14ac:dyDescent="0.2">
      <c r="F565">
        <v>15.938000000000001</v>
      </c>
      <c r="AB565" s="29">
        <v>36336</v>
      </c>
      <c r="AC565">
        <v>15.938000000000001</v>
      </c>
      <c r="AD565">
        <v>1315.31</v>
      </c>
      <c r="AE565">
        <f t="shared" si="37"/>
        <v>-1.5810106081511285E-2</v>
      </c>
      <c r="AF565">
        <f t="shared" si="37"/>
        <v>1.2121085733375074E-2</v>
      </c>
      <c r="AR565">
        <v>38.5</v>
      </c>
      <c r="AS565">
        <f t="shared" si="38"/>
        <v>3.1171421332671225E-2</v>
      </c>
    </row>
    <row r="566" spans="6:45" x14ac:dyDescent="0.2">
      <c r="F566">
        <v>17.187999999999999</v>
      </c>
      <c r="AB566" s="29">
        <v>36335</v>
      </c>
      <c r="AC566">
        <v>17.187999999999999</v>
      </c>
      <c r="AD566">
        <v>1315.78</v>
      </c>
      <c r="AE566">
        <f t="shared" si="37"/>
        <v>-7.550527093719217E-2</v>
      </c>
      <c r="AF566">
        <f t="shared" si="37"/>
        <v>-3.5726638389356702E-4</v>
      </c>
      <c r="AR566">
        <v>38.625</v>
      </c>
      <c r="AS566">
        <f t="shared" si="38"/>
        <v>-3.2414939241709557E-3</v>
      </c>
    </row>
    <row r="567" spans="6:45" x14ac:dyDescent="0.2">
      <c r="F567">
        <v>16.875</v>
      </c>
      <c r="AB567" s="29">
        <v>36334</v>
      </c>
      <c r="AC567">
        <v>16.875</v>
      </c>
      <c r="AD567">
        <v>1333.06</v>
      </c>
      <c r="AE567">
        <f t="shared" si="37"/>
        <v>1.837822915415499E-2</v>
      </c>
      <c r="AF567">
        <f t="shared" si="37"/>
        <v>-1.3047405760568594E-2</v>
      </c>
      <c r="AR567">
        <v>38.655999999999999</v>
      </c>
      <c r="AS567">
        <f t="shared" si="38"/>
        <v>-8.0226709444019531E-4</v>
      </c>
    </row>
    <row r="568" spans="6:45" x14ac:dyDescent="0.2">
      <c r="F568">
        <v>15.5</v>
      </c>
      <c r="AB568" s="29">
        <v>36333</v>
      </c>
      <c r="AC568">
        <v>15.5</v>
      </c>
      <c r="AD568">
        <v>1335.88</v>
      </c>
      <c r="AE568">
        <f t="shared" si="37"/>
        <v>8.4993212833392506E-2</v>
      </c>
      <c r="AF568">
        <f t="shared" si="37"/>
        <v>-2.1131992846738085E-3</v>
      </c>
      <c r="AR568">
        <v>38.5</v>
      </c>
      <c r="AS568">
        <f t="shared" si="38"/>
        <v>4.0437610186112444E-3</v>
      </c>
    </row>
    <row r="569" spans="6:45" x14ac:dyDescent="0.2">
      <c r="F569">
        <v>15.531000000000001</v>
      </c>
      <c r="AB569" s="29">
        <v>36332</v>
      </c>
      <c r="AC569">
        <v>15.531000000000001</v>
      </c>
      <c r="AD569">
        <v>1349</v>
      </c>
      <c r="AE569">
        <f t="shared" si="37"/>
        <v>-1.9980026626731087E-3</v>
      </c>
      <c r="AF569">
        <f t="shared" si="37"/>
        <v>-9.7733265045361825E-3</v>
      </c>
      <c r="AR569">
        <v>38.313000000000002</v>
      </c>
      <c r="AS569">
        <f t="shared" si="38"/>
        <v>4.868977111503736E-3</v>
      </c>
    </row>
    <row r="570" spans="6:45" x14ac:dyDescent="0.2">
      <c r="F570">
        <v>15.25</v>
      </c>
      <c r="AB570" s="29">
        <v>36329</v>
      </c>
      <c r="AC570">
        <v>15.25</v>
      </c>
      <c r="AD570">
        <v>1342.84</v>
      </c>
      <c r="AE570">
        <f t="shared" si="37"/>
        <v>1.8258523534453366E-2</v>
      </c>
      <c r="AF570">
        <f t="shared" si="37"/>
        <v>4.5768030439062518E-3</v>
      </c>
      <c r="AR570">
        <v>38.938000000000002</v>
      </c>
      <c r="AS570">
        <f t="shared" si="38"/>
        <v>-1.6181373374483891E-2</v>
      </c>
    </row>
    <row r="571" spans="6:45" x14ac:dyDescent="0.2">
      <c r="F571">
        <v>15.313000000000001</v>
      </c>
      <c r="AB571" s="29">
        <v>36328</v>
      </c>
      <c r="AC571">
        <v>15.313000000000001</v>
      </c>
      <c r="AD571">
        <v>1339.9</v>
      </c>
      <c r="AE571">
        <f t="shared" si="37"/>
        <v>-4.1226377796500062E-3</v>
      </c>
      <c r="AF571">
        <f t="shared" si="37"/>
        <v>2.1917898692870716E-3</v>
      </c>
      <c r="AR571">
        <v>39.594000000000001</v>
      </c>
      <c r="AS571">
        <f t="shared" si="38"/>
        <v>-1.6706954072620944E-2</v>
      </c>
    </row>
    <row r="572" spans="6:45" x14ac:dyDescent="0.2">
      <c r="F572">
        <v>15.343999999999999</v>
      </c>
      <c r="AB572" s="29">
        <v>36327</v>
      </c>
      <c r="AC572">
        <v>15.343999999999999</v>
      </c>
      <c r="AD572">
        <v>1330.41</v>
      </c>
      <c r="AE572">
        <f t="shared" si="37"/>
        <v>-2.0223773080117308E-3</v>
      </c>
      <c r="AF572">
        <f t="shared" si="37"/>
        <v>7.1078189077134262E-3</v>
      </c>
      <c r="AR572">
        <v>39.188000000000002</v>
      </c>
      <c r="AS572">
        <f t="shared" si="38"/>
        <v>1.0307014146943801E-2</v>
      </c>
    </row>
    <row r="573" spans="6:45" x14ac:dyDescent="0.2">
      <c r="F573">
        <v>15.406000000000001</v>
      </c>
      <c r="AB573" s="29">
        <v>36326</v>
      </c>
      <c r="AC573">
        <v>15.406000000000001</v>
      </c>
      <c r="AD573">
        <v>1301.1600000000001</v>
      </c>
      <c r="AE573">
        <f t="shared" si="37"/>
        <v>-4.0325257896917724E-3</v>
      </c>
      <c r="AF573">
        <f t="shared" si="37"/>
        <v>2.2230991114758132E-2</v>
      </c>
      <c r="AR573">
        <v>39.719000000000001</v>
      </c>
      <c r="AS573">
        <f t="shared" si="38"/>
        <v>-1.3459085144013797E-2</v>
      </c>
    </row>
    <row r="574" spans="6:45" x14ac:dyDescent="0.2">
      <c r="F574">
        <v>14.813000000000001</v>
      </c>
      <c r="AB574" s="29">
        <v>36325</v>
      </c>
      <c r="AC574">
        <v>14.813000000000001</v>
      </c>
      <c r="AD574">
        <v>1294</v>
      </c>
      <c r="AE574">
        <f t="shared" si="37"/>
        <v>3.9251870330858848E-2</v>
      </c>
      <c r="AF574">
        <f t="shared" si="37"/>
        <v>5.5179782112449822E-3</v>
      </c>
      <c r="AR574">
        <v>41.094000000000001</v>
      </c>
      <c r="AS574">
        <f t="shared" si="38"/>
        <v>-3.4032462817413442E-2</v>
      </c>
    </row>
    <row r="575" spans="6:45" x14ac:dyDescent="0.2">
      <c r="F575">
        <v>14.218999999999999</v>
      </c>
      <c r="AB575" s="29">
        <v>36322</v>
      </c>
      <c r="AC575">
        <v>14.218999999999999</v>
      </c>
      <c r="AD575">
        <v>1293.6400000000001</v>
      </c>
      <c r="AE575">
        <f t="shared" si="37"/>
        <v>4.0926075185677833E-2</v>
      </c>
      <c r="AF575">
        <f t="shared" si="37"/>
        <v>2.7824581651428651E-4</v>
      </c>
      <c r="AR575">
        <v>40.438000000000002</v>
      </c>
      <c r="AS575">
        <f t="shared" si="38"/>
        <v>1.6092188498714036E-2</v>
      </c>
    </row>
    <row r="576" spans="6:45" x14ac:dyDescent="0.2">
      <c r="F576">
        <v>14.093999999999999</v>
      </c>
      <c r="AB576" s="29">
        <v>36321</v>
      </c>
      <c r="AC576">
        <v>14.093999999999999</v>
      </c>
      <c r="AD576">
        <v>1302.82</v>
      </c>
      <c r="AE576">
        <f t="shared" si="37"/>
        <v>8.8299235094066938E-3</v>
      </c>
      <c r="AF576">
        <f t="shared" si="37"/>
        <v>-7.0711955904195498E-3</v>
      </c>
      <c r="AR576">
        <v>39.280999999999999</v>
      </c>
      <c r="AS576">
        <f t="shared" si="38"/>
        <v>2.902899553442732E-2</v>
      </c>
    </row>
    <row r="577" spans="6:45" x14ac:dyDescent="0.2">
      <c r="F577">
        <v>14.343999999999999</v>
      </c>
      <c r="AB577" s="29">
        <v>36320</v>
      </c>
      <c r="AC577">
        <v>14.343999999999999</v>
      </c>
      <c r="AD577">
        <v>1318.64</v>
      </c>
      <c r="AE577">
        <f t="shared" si="37"/>
        <v>-1.7582561398001025E-2</v>
      </c>
      <c r="AF577">
        <f t="shared" si="37"/>
        <v>-1.2069756588349518E-2</v>
      </c>
      <c r="AR577">
        <v>39.155999999999999</v>
      </c>
      <c r="AS577">
        <f t="shared" si="38"/>
        <v>3.187274011498019E-3</v>
      </c>
    </row>
    <row r="578" spans="6:45" x14ac:dyDescent="0.2">
      <c r="F578">
        <v>14.218999999999999</v>
      </c>
      <c r="AB578" s="29">
        <v>36319</v>
      </c>
      <c r="AC578">
        <v>14.218999999999999</v>
      </c>
      <c r="AD578">
        <v>1317.33</v>
      </c>
      <c r="AE578">
        <f t="shared" si="37"/>
        <v>8.752637888594263E-3</v>
      </c>
      <c r="AF578">
        <f t="shared" si="37"/>
        <v>9.9394159102576124E-4</v>
      </c>
      <c r="AR578">
        <v>38.655999999999999</v>
      </c>
      <c r="AS578">
        <f t="shared" si="38"/>
        <v>1.2851665086834205E-2</v>
      </c>
    </row>
    <row r="579" spans="6:45" x14ac:dyDescent="0.2">
      <c r="F579">
        <v>14.25</v>
      </c>
      <c r="AB579" s="29">
        <v>36318</v>
      </c>
      <c r="AC579">
        <v>14.25</v>
      </c>
      <c r="AD579">
        <v>1334.52</v>
      </c>
      <c r="AE579">
        <f t="shared" si="37"/>
        <v>-2.1778083004221852E-3</v>
      </c>
      <c r="AF579">
        <f t="shared" si="37"/>
        <v>-1.2964715786676035E-2</v>
      </c>
      <c r="AR579">
        <v>38.969000000000001</v>
      </c>
      <c r="AS579">
        <f t="shared" si="38"/>
        <v>-8.0644559443343797E-3</v>
      </c>
    </row>
    <row r="580" spans="6:45" x14ac:dyDescent="0.2">
      <c r="F580">
        <v>14.343999999999999</v>
      </c>
      <c r="AB580" s="29">
        <v>36315</v>
      </c>
      <c r="AC580">
        <v>14.343999999999999</v>
      </c>
      <c r="AD580">
        <v>1327.75</v>
      </c>
      <c r="AE580">
        <f t="shared" si="37"/>
        <v>-6.5748295881721836E-3</v>
      </c>
      <c r="AF580">
        <f t="shared" si="37"/>
        <v>5.0858963162423339E-3</v>
      </c>
      <c r="AR580">
        <v>39.469000000000001</v>
      </c>
      <c r="AS580">
        <f t="shared" si="38"/>
        <v>-1.2749095399119047E-2</v>
      </c>
    </row>
    <row r="581" spans="6:45" x14ac:dyDescent="0.2">
      <c r="F581">
        <v>14.281000000000001</v>
      </c>
      <c r="AB581" s="29">
        <v>36314</v>
      </c>
      <c r="AC581">
        <v>14.281000000000001</v>
      </c>
      <c r="AD581">
        <v>1299.54</v>
      </c>
      <c r="AE581">
        <f t="shared" si="37"/>
        <v>4.4017538320354817E-3</v>
      </c>
      <c r="AF581">
        <f t="shared" si="37"/>
        <v>2.1475424625048825E-2</v>
      </c>
      <c r="AR581">
        <v>38.219000000000001</v>
      </c>
      <c r="AS581">
        <f t="shared" si="38"/>
        <v>3.2182779497846134E-2</v>
      </c>
    </row>
    <row r="582" spans="6:45" x14ac:dyDescent="0.2">
      <c r="F582">
        <v>13.438000000000001</v>
      </c>
      <c r="AB582" s="29">
        <v>36313</v>
      </c>
      <c r="AC582">
        <v>13.438000000000001</v>
      </c>
      <c r="AD582">
        <v>1294.81</v>
      </c>
      <c r="AE582">
        <f t="shared" si="37"/>
        <v>6.0843467972837871E-2</v>
      </c>
      <c r="AF582">
        <f t="shared" si="37"/>
        <v>3.6463894546999104E-3</v>
      </c>
      <c r="AR582">
        <v>37.438000000000002</v>
      </c>
      <c r="AS582">
        <f t="shared" si="38"/>
        <v>2.0646542778819416E-2</v>
      </c>
    </row>
    <row r="583" spans="6:45" x14ac:dyDescent="0.2">
      <c r="F583">
        <v>13.813000000000001</v>
      </c>
      <c r="AB583" s="29">
        <v>36312</v>
      </c>
      <c r="AC583">
        <v>13.813000000000001</v>
      </c>
      <c r="AD583">
        <v>1294.26</v>
      </c>
      <c r="AE583">
        <f t="shared" si="37"/>
        <v>-2.7523663219864603E-2</v>
      </c>
      <c r="AF583">
        <f t="shared" si="37"/>
        <v>4.2486298807933474E-4</v>
      </c>
      <c r="AR583">
        <v>36.25</v>
      </c>
      <c r="AS583">
        <f t="shared" si="38"/>
        <v>3.2246850078453751E-2</v>
      </c>
    </row>
    <row r="584" spans="6:45" x14ac:dyDescent="0.2">
      <c r="F584">
        <v>13.875</v>
      </c>
      <c r="AB584" s="29">
        <v>36308</v>
      </c>
      <c r="AC584">
        <v>13.875</v>
      </c>
      <c r="AD584">
        <v>1301.8399999999999</v>
      </c>
      <c r="AE584">
        <f t="shared" si="37"/>
        <v>-4.4784819146753436E-3</v>
      </c>
      <c r="AF584">
        <f t="shared" si="37"/>
        <v>-5.8395451176784085E-3</v>
      </c>
      <c r="AR584">
        <v>35.688000000000002</v>
      </c>
      <c r="AS584">
        <f t="shared" si="38"/>
        <v>1.5624883474720101E-2</v>
      </c>
    </row>
    <row r="585" spans="6:45" x14ac:dyDescent="0.2">
      <c r="F585">
        <v>13.938000000000001</v>
      </c>
      <c r="AB585" s="29">
        <v>36307</v>
      </c>
      <c r="AC585">
        <v>13.938000000000001</v>
      </c>
      <c r="AD585">
        <v>1281.4100000000001</v>
      </c>
      <c r="AE585">
        <f t="shared" si="37"/>
        <v>-4.5302633838288824E-3</v>
      </c>
      <c r="AF585">
        <f t="shared" si="37"/>
        <v>1.5817614213474381E-2</v>
      </c>
      <c r="AR585">
        <v>35.25</v>
      </c>
      <c r="AS585">
        <f t="shared" si="38"/>
        <v>1.2348968567685959E-2</v>
      </c>
    </row>
    <row r="586" spans="6:45" x14ac:dyDescent="0.2">
      <c r="F586">
        <v>14</v>
      </c>
      <c r="AB586" s="29">
        <v>36306</v>
      </c>
      <c r="AC586">
        <v>14</v>
      </c>
      <c r="AD586">
        <v>1304.76</v>
      </c>
      <c r="AE586">
        <f t="shared" si="37"/>
        <v>-4.4384065989314329E-3</v>
      </c>
      <c r="AF586">
        <f t="shared" si="37"/>
        <v>-1.8058081658773966E-2</v>
      </c>
      <c r="AR586">
        <v>36.5</v>
      </c>
      <c r="AS586">
        <f t="shared" si="38"/>
        <v>-3.484673133016819E-2</v>
      </c>
    </row>
    <row r="587" spans="6:45" x14ac:dyDescent="0.2">
      <c r="F587">
        <v>13.625</v>
      </c>
      <c r="AB587" s="29">
        <v>36305</v>
      </c>
      <c r="AC587">
        <v>13.625</v>
      </c>
      <c r="AD587">
        <v>1284.4000000000001</v>
      </c>
      <c r="AE587">
        <f t="shared" si="37"/>
        <v>2.7150989065950898E-2</v>
      </c>
      <c r="AF587">
        <f t="shared" si="37"/>
        <v>1.5727432582299406E-2</v>
      </c>
      <c r="AR587">
        <v>36.438000000000002</v>
      </c>
      <c r="AS587">
        <f t="shared" si="38"/>
        <v>1.7000744449525631E-3</v>
      </c>
    </row>
    <row r="588" spans="6:45" x14ac:dyDescent="0.2">
      <c r="F588">
        <v>13.688000000000001</v>
      </c>
      <c r="AB588" s="29">
        <v>36304</v>
      </c>
      <c r="AC588">
        <v>13.688000000000001</v>
      </c>
      <c r="AD588">
        <v>1306.6500000000001</v>
      </c>
      <c r="AE588">
        <f t="shared" si="37"/>
        <v>-4.6131960405846424E-3</v>
      </c>
      <c r="AF588">
        <f t="shared" si="37"/>
        <v>-1.7174926717651869E-2</v>
      </c>
      <c r="AR588">
        <v>36.063000000000002</v>
      </c>
      <c r="AS588">
        <f t="shared" si="38"/>
        <v>1.0344777153266337E-2</v>
      </c>
    </row>
    <row r="589" spans="6:45" x14ac:dyDescent="0.2">
      <c r="F589">
        <v>13.375</v>
      </c>
      <c r="AB589" s="29">
        <v>36301</v>
      </c>
      <c r="AC589">
        <v>13.375</v>
      </c>
      <c r="AD589">
        <v>1330.29</v>
      </c>
      <c r="AE589">
        <f t="shared" si="37"/>
        <v>2.3132243807822254E-2</v>
      </c>
      <c r="AF589">
        <f t="shared" si="37"/>
        <v>-1.7930353627189987E-2</v>
      </c>
      <c r="AR589">
        <v>36.655999999999999</v>
      </c>
      <c r="AS589">
        <f t="shared" si="38"/>
        <v>-1.6309716720912752E-2</v>
      </c>
    </row>
    <row r="590" spans="6:45" x14ac:dyDescent="0.2">
      <c r="F590">
        <v>14.218999999999999</v>
      </c>
      <c r="AB590" s="29">
        <v>36300</v>
      </c>
      <c r="AC590">
        <v>14.218999999999999</v>
      </c>
      <c r="AD590">
        <v>1338.83</v>
      </c>
      <c r="AE590">
        <f t="shared" si="37"/>
        <v>-6.1191805632167078E-2</v>
      </c>
      <c r="AF590">
        <f t="shared" si="37"/>
        <v>-6.3991346525930342E-3</v>
      </c>
      <c r="AR590">
        <v>37.030999999999999</v>
      </c>
      <c r="AS590">
        <f t="shared" si="38"/>
        <v>-1.0178273980724467E-2</v>
      </c>
    </row>
    <row r="591" spans="6:45" x14ac:dyDescent="0.2">
      <c r="F591">
        <v>13.875</v>
      </c>
      <c r="AB591" s="29">
        <v>36299</v>
      </c>
      <c r="AC591">
        <v>13.875</v>
      </c>
      <c r="AD591">
        <v>1344.23</v>
      </c>
      <c r="AE591">
        <f t="shared" si="37"/>
        <v>2.4490438781739069E-2</v>
      </c>
      <c r="AF591">
        <f t="shared" si="37"/>
        <v>-4.0252601814510175E-3</v>
      </c>
      <c r="AR591">
        <v>36.5</v>
      </c>
      <c r="AS591">
        <f t="shared" si="38"/>
        <v>1.4443139103418476E-2</v>
      </c>
    </row>
    <row r="592" spans="6:45" x14ac:dyDescent="0.2">
      <c r="F592">
        <v>13.375</v>
      </c>
      <c r="AB592" s="29">
        <v>36298</v>
      </c>
      <c r="AC592">
        <v>13.375</v>
      </c>
      <c r="AD592">
        <v>1333.32</v>
      </c>
      <c r="AE592">
        <f t="shared" si="37"/>
        <v>3.6701366850427963E-2</v>
      </c>
      <c r="AF592">
        <f t="shared" si="37"/>
        <v>8.1492860103271492E-3</v>
      </c>
      <c r="AR592">
        <v>36.280999999999999</v>
      </c>
      <c r="AS592">
        <f t="shared" si="38"/>
        <v>6.0180723255629448E-3</v>
      </c>
    </row>
    <row r="593" spans="6:45" x14ac:dyDescent="0.2">
      <c r="F593">
        <v>13.406000000000001</v>
      </c>
      <c r="AB593" s="29">
        <v>36297</v>
      </c>
      <c r="AC593">
        <v>13.406000000000001</v>
      </c>
      <c r="AD593">
        <v>1339.49</v>
      </c>
      <c r="AE593">
        <f t="shared" ref="AE593:AF656" si="39">LN(AC592/AC593)</f>
        <v>-2.3150751536957304E-3</v>
      </c>
      <c r="AF593">
        <f t="shared" si="39"/>
        <v>-4.616872100687933E-3</v>
      </c>
      <c r="AR593">
        <v>36.75</v>
      </c>
      <c r="AS593">
        <f t="shared" ref="AS593:AS656" si="40">LN(AR592/AR593)</f>
        <v>-1.2844037395962869E-2</v>
      </c>
    </row>
    <row r="594" spans="6:45" x14ac:dyDescent="0.2">
      <c r="F594">
        <v>13.75</v>
      </c>
      <c r="AB594" s="29">
        <v>36294</v>
      </c>
      <c r="AC594">
        <v>13.75</v>
      </c>
      <c r="AD594">
        <v>1337.8</v>
      </c>
      <c r="AE594">
        <f t="shared" si="39"/>
        <v>-2.5336456176814365E-2</v>
      </c>
      <c r="AF594">
        <f t="shared" si="39"/>
        <v>1.2624708002978563E-3</v>
      </c>
      <c r="AR594">
        <v>36.375</v>
      </c>
      <c r="AS594">
        <f t="shared" si="40"/>
        <v>1.0256500167189061E-2</v>
      </c>
    </row>
    <row r="595" spans="6:45" x14ac:dyDescent="0.2">
      <c r="F595">
        <v>13.563000000000001</v>
      </c>
      <c r="AB595" s="29">
        <v>36293</v>
      </c>
      <c r="AC595">
        <v>13.563000000000001</v>
      </c>
      <c r="AD595">
        <v>1367.56</v>
      </c>
      <c r="AE595">
        <f t="shared" si="39"/>
        <v>1.3693327132002456E-2</v>
      </c>
      <c r="AF595">
        <f t="shared" si="39"/>
        <v>-2.2001656334876409E-2</v>
      </c>
      <c r="AR595">
        <v>37.280999999999999</v>
      </c>
      <c r="AS595">
        <f t="shared" si="40"/>
        <v>-2.4602088000310572E-2</v>
      </c>
    </row>
    <row r="596" spans="6:45" x14ac:dyDescent="0.2">
      <c r="F596">
        <v>14.406000000000001</v>
      </c>
      <c r="AB596" s="29">
        <v>36292</v>
      </c>
      <c r="AC596">
        <v>14.406000000000001</v>
      </c>
      <c r="AD596">
        <v>1364</v>
      </c>
      <c r="AE596">
        <f t="shared" si="39"/>
        <v>-6.0299289486593355E-2</v>
      </c>
      <c r="AF596">
        <f t="shared" si="39"/>
        <v>2.6065706157767797E-3</v>
      </c>
      <c r="AR596">
        <v>37.25</v>
      </c>
      <c r="AS596">
        <f t="shared" si="40"/>
        <v>8.3186866639856636E-4</v>
      </c>
    </row>
    <row r="597" spans="6:45" x14ac:dyDescent="0.2">
      <c r="F597">
        <v>14.531000000000001</v>
      </c>
      <c r="AB597" s="29">
        <v>36291</v>
      </c>
      <c r="AC597">
        <v>14.531000000000001</v>
      </c>
      <c r="AD597">
        <v>1355.61</v>
      </c>
      <c r="AE597">
        <f t="shared" si="39"/>
        <v>-8.6395118713876971E-3</v>
      </c>
      <c r="AF597">
        <f t="shared" si="39"/>
        <v>6.170021890401921E-3</v>
      </c>
      <c r="AR597">
        <v>37.563000000000002</v>
      </c>
      <c r="AS597">
        <f t="shared" si="40"/>
        <v>-8.367578529351825E-3</v>
      </c>
    </row>
    <row r="598" spans="6:45" x14ac:dyDescent="0.2">
      <c r="F598">
        <v>14.5</v>
      </c>
      <c r="AB598" s="29">
        <v>36290</v>
      </c>
      <c r="AC598">
        <v>14.5</v>
      </c>
      <c r="AD598">
        <v>1340.3</v>
      </c>
      <c r="AE598">
        <f t="shared" si="39"/>
        <v>2.1356489120302326E-3</v>
      </c>
      <c r="AF598">
        <f t="shared" si="39"/>
        <v>1.1358068028554573E-2</v>
      </c>
      <c r="AR598">
        <v>37.594000000000001</v>
      </c>
      <c r="AS598">
        <f t="shared" si="40"/>
        <v>-8.2493983948334212E-4</v>
      </c>
    </row>
    <row r="599" spans="6:45" x14ac:dyDescent="0.2">
      <c r="F599">
        <v>14.438000000000001</v>
      </c>
      <c r="AB599" s="29">
        <v>36287</v>
      </c>
      <c r="AC599">
        <v>14.438000000000001</v>
      </c>
      <c r="AD599">
        <v>1345</v>
      </c>
      <c r="AE599">
        <f t="shared" si="39"/>
        <v>4.2850297095593064E-3</v>
      </c>
      <c r="AF599">
        <f t="shared" si="39"/>
        <v>-3.5005435514885749E-3</v>
      </c>
      <c r="AR599">
        <v>38.125</v>
      </c>
      <c r="AS599">
        <f t="shared" si="40"/>
        <v>-1.4025771733172019E-2</v>
      </c>
    </row>
    <row r="600" spans="6:45" x14ac:dyDescent="0.2">
      <c r="F600">
        <v>14.468999999999999</v>
      </c>
      <c r="AB600" s="29">
        <v>36286</v>
      </c>
      <c r="AC600">
        <v>14.468999999999999</v>
      </c>
      <c r="AD600">
        <v>1332.05</v>
      </c>
      <c r="AE600">
        <f t="shared" si="39"/>
        <v>-2.1448100379751179E-3</v>
      </c>
      <c r="AF600">
        <f t="shared" si="39"/>
        <v>9.6749041025832889E-3</v>
      </c>
      <c r="AR600">
        <v>38</v>
      </c>
      <c r="AS600">
        <f t="shared" si="40"/>
        <v>3.2840752011900187E-3</v>
      </c>
    </row>
    <row r="601" spans="6:45" x14ac:dyDescent="0.2">
      <c r="F601">
        <v>14.5</v>
      </c>
      <c r="AB601" s="29">
        <v>36285</v>
      </c>
      <c r="AC601">
        <v>14.5</v>
      </c>
      <c r="AD601">
        <v>1347.31</v>
      </c>
      <c r="AE601">
        <f t="shared" si="39"/>
        <v>-2.1402196715842319E-3</v>
      </c>
      <c r="AF601">
        <f t="shared" si="39"/>
        <v>-1.1390903052812283E-2</v>
      </c>
      <c r="AR601">
        <v>38.469000000000001</v>
      </c>
      <c r="AS601">
        <f t="shared" si="40"/>
        <v>-1.2266562418702665E-2</v>
      </c>
    </row>
    <row r="602" spans="6:45" x14ac:dyDescent="0.2">
      <c r="F602">
        <v>14.438000000000001</v>
      </c>
      <c r="AB602" s="29">
        <v>36284</v>
      </c>
      <c r="AC602">
        <v>14.438000000000001</v>
      </c>
      <c r="AD602">
        <v>1332</v>
      </c>
      <c r="AE602">
        <f t="shared" si="39"/>
        <v>4.2850297095593064E-3</v>
      </c>
      <c r="AF602">
        <f t="shared" si="39"/>
        <v>1.1428439885834049E-2</v>
      </c>
      <c r="AR602">
        <v>38.094000000000001</v>
      </c>
      <c r="AS602">
        <f t="shared" si="40"/>
        <v>9.7959327287206171E-3</v>
      </c>
    </row>
    <row r="603" spans="6:45" x14ac:dyDescent="0.2">
      <c r="F603">
        <v>14.375</v>
      </c>
      <c r="AB603" s="29">
        <v>36283</v>
      </c>
      <c r="AC603">
        <v>14.375</v>
      </c>
      <c r="AD603">
        <v>1354.63</v>
      </c>
      <c r="AE603">
        <f t="shared" si="39"/>
        <v>4.3730330335551727E-3</v>
      </c>
      <c r="AF603">
        <f t="shared" si="39"/>
        <v>-1.6846782194423992E-2</v>
      </c>
      <c r="AR603">
        <v>37.844000000000001</v>
      </c>
      <c r="AS603">
        <f t="shared" si="40"/>
        <v>6.5843425741699442E-3</v>
      </c>
    </row>
    <row r="604" spans="6:45" x14ac:dyDescent="0.2">
      <c r="F604">
        <v>14.343999999999999</v>
      </c>
      <c r="AB604" s="29">
        <v>36280</v>
      </c>
      <c r="AC604">
        <v>14.343999999999999</v>
      </c>
      <c r="AD604">
        <v>1335.18</v>
      </c>
      <c r="AE604">
        <f t="shared" si="39"/>
        <v>2.1588503805823151E-3</v>
      </c>
      <c r="AF604">
        <f t="shared" si="39"/>
        <v>1.4462240088678798E-2</v>
      </c>
      <c r="AR604">
        <v>37.625</v>
      </c>
      <c r="AS604">
        <f t="shared" si="40"/>
        <v>5.8037237731580708E-3</v>
      </c>
    </row>
    <row r="605" spans="6:45" x14ac:dyDescent="0.2">
      <c r="F605">
        <v>14.375</v>
      </c>
      <c r="AB605" s="29">
        <v>36279</v>
      </c>
      <c r="AC605">
        <v>14.375</v>
      </c>
      <c r="AD605">
        <v>1342.83</v>
      </c>
      <c r="AE605">
        <f t="shared" si="39"/>
        <v>-2.1588503805824496E-3</v>
      </c>
      <c r="AF605">
        <f t="shared" si="39"/>
        <v>-5.7132130264640982E-3</v>
      </c>
      <c r="AR605">
        <v>37</v>
      </c>
      <c r="AS605">
        <f t="shared" si="40"/>
        <v>1.6750810424815351E-2</v>
      </c>
    </row>
    <row r="606" spans="6:45" x14ac:dyDescent="0.2">
      <c r="F606">
        <v>14.438000000000001</v>
      </c>
      <c r="AB606" s="29">
        <v>36278</v>
      </c>
      <c r="AC606">
        <v>14.438000000000001</v>
      </c>
      <c r="AD606">
        <v>1350.91</v>
      </c>
      <c r="AE606">
        <f t="shared" si="39"/>
        <v>-4.3730330335551241E-3</v>
      </c>
      <c r="AF606">
        <f t="shared" si="39"/>
        <v>-5.9991121881196006E-3</v>
      </c>
      <c r="AR606">
        <v>36</v>
      </c>
      <c r="AS606">
        <f t="shared" si="40"/>
        <v>2.7398974188114347E-2</v>
      </c>
    </row>
    <row r="607" spans="6:45" x14ac:dyDescent="0.2">
      <c r="F607">
        <v>14.468999999999999</v>
      </c>
      <c r="AB607" s="29">
        <v>36277</v>
      </c>
      <c r="AC607">
        <v>14.468999999999999</v>
      </c>
      <c r="AD607">
        <v>1362.8</v>
      </c>
      <c r="AE607">
        <f t="shared" si="39"/>
        <v>-2.1448100379751179E-3</v>
      </c>
      <c r="AF607">
        <f t="shared" si="39"/>
        <v>-8.762967366148143E-3</v>
      </c>
      <c r="AR607">
        <v>35</v>
      </c>
      <c r="AS607">
        <f t="shared" si="40"/>
        <v>2.8170876966696224E-2</v>
      </c>
    </row>
    <row r="608" spans="6:45" x14ac:dyDescent="0.2">
      <c r="F608">
        <v>14.438000000000001</v>
      </c>
      <c r="AB608" s="29">
        <v>36276</v>
      </c>
      <c r="AC608">
        <v>14.438000000000001</v>
      </c>
      <c r="AD608">
        <v>1360.04</v>
      </c>
      <c r="AE608">
        <f t="shared" si="39"/>
        <v>2.1448100379751734E-3</v>
      </c>
      <c r="AF608">
        <f t="shared" si="39"/>
        <v>2.0272957245253539E-3</v>
      </c>
      <c r="AR608">
        <v>34.313000000000002</v>
      </c>
      <c r="AS608">
        <f t="shared" si="40"/>
        <v>1.9823770376835834E-2</v>
      </c>
    </row>
    <row r="609" spans="6:45" x14ac:dyDescent="0.2">
      <c r="F609">
        <v>14.688000000000001</v>
      </c>
      <c r="AB609" s="29">
        <v>36273</v>
      </c>
      <c r="AC609">
        <v>14.688000000000001</v>
      </c>
      <c r="AD609">
        <v>1356.85</v>
      </c>
      <c r="AE609">
        <f t="shared" si="39"/>
        <v>-1.716721416116539E-2</v>
      </c>
      <c r="AF609">
        <f t="shared" si="39"/>
        <v>2.3482742885498693E-3</v>
      </c>
      <c r="AR609">
        <v>34.5</v>
      </c>
      <c r="AS609">
        <f t="shared" si="40"/>
        <v>-5.4350329247362227E-3</v>
      </c>
    </row>
    <row r="610" spans="6:45" x14ac:dyDescent="0.2">
      <c r="F610">
        <v>14.468999999999999</v>
      </c>
      <c r="AB610" s="29">
        <v>36272</v>
      </c>
      <c r="AC610">
        <v>14.468999999999999</v>
      </c>
      <c r="AD610">
        <v>1358.82</v>
      </c>
      <c r="AE610">
        <f t="shared" si="39"/>
        <v>1.5022404123190218E-2</v>
      </c>
      <c r="AF610">
        <f t="shared" si="39"/>
        <v>-1.4508392739618885E-3</v>
      </c>
      <c r="AR610">
        <v>34.375</v>
      </c>
      <c r="AS610">
        <f t="shared" si="40"/>
        <v>3.6297680505787311E-3</v>
      </c>
    </row>
    <row r="611" spans="6:45" x14ac:dyDescent="0.2">
      <c r="F611">
        <v>14.218999999999999</v>
      </c>
      <c r="AB611" s="29">
        <v>36271</v>
      </c>
      <c r="AC611">
        <v>14.218999999999999</v>
      </c>
      <c r="AD611">
        <v>1336.12</v>
      </c>
      <c r="AE611">
        <f t="shared" si="39"/>
        <v>1.7429331340707146E-2</v>
      </c>
      <c r="AF611">
        <f t="shared" si="39"/>
        <v>1.6846784625432681E-2</v>
      </c>
      <c r="AR611">
        <v>33.344000000000001</v>
      </c>
      <c r="AS611">
        <f t="shared" si="40"/>
        <v>3.045170985583355E-2</v>
      </c>
    </row>
    <row r="612" spans="6:45" x14ac:dyDescent="0.2">
      <c r="F612">
        <v>14.218999999999999</v>
      </c>
      <c r="AB612" s="29">
        <v>36270</v>
      </c>
      <c r="AC612">
        <v>14.218999999999999</v>
      </c>
      <c r="AD612">
        <v>1306.17</v>
      </c>
      <c r="AE612">
        <f t="shared" si="39"/>
        <v>0</v>
      </c>
      <c r="AF612">
        <f t="shared" si="39"/>
        <v>2.2670700603774498E-2</v>
      </c>
      <c r="AR612">
        <v>33.313000000000002</v>
      </c>
      <c r="AS612">
        <f t="shared" si="40"/>
        <v>9.301349366148807E-4</v>
      </c>
    </row>
    <row r="613" spans="6:45" x14ac:dyDescent="0.2">
      <c r="F613">
        <v>14.281000000000001</v>
      </c>
      <c r="AB613" s="29">
        <v>36269</v>
      </c>
      <c r="AC613">
        <v>14.281000000000001</v>
      </c>
      <c r="AD613">
        <v>1289.48</v>
      </c>
      <c r="AE613">
        <f t="shared" si="39"/>
        <v>-4.3508840565587717E-3</v>
      </c>
      <c r="AF613">
        <f t="shared" si="39"/>
        <v>1.2860154504924223E-2</v>
      </c>
      <c r="AR613">
        <v>34</v>
      </c>
      <c r="AS613">
        <f t="shared" si="40"/>
        <v>-2.0412813421874572E-2</v>
      </c>
    </row>
    <row r="614" spans="6:45" x14ac:dyDescent="0.2">
      <c r="F614">
        <v>14.188000000000001</v>
      </c>
      <c r="AB614" s="29">
        <v>36266</v>
      </c>
      <c r="AC614">
        <v>14.188000000000001</v>
      </c>
      <c r="AD614">
        <v>1319</v>
      </c>
      <c r="AE614">
        <f t="shared" si="39"/>
        <v>6.5334455594207664E-3</v>
      </c>
      <c r="AF614">
        <f t="shared" si="39"/>
        <v>-2.2634837403747988E-2</v>
      </c>
      <c r="AR614">
        <v>34.75</v>
      </c>
      <c r="AS614">
        <f t="shared" si="40"/>
        <v>-2.1819047394639725E-2</v>
      </c>
    </row>
    <row r="615" spans="6:45" x14ac:dyDescent="0.2">
      <c r="F615">
        <v>14.218999999999999</v>
      </c>
      <c r="AB615" s="29">
        <v>36265</v>
      </c>
      <c r="AC615">
        <v>14.218999999999999</v>
      </c>
      <c r="AD615">
        <v>1322.85</v>
      </c>
      <c r="AE615">
        <f t="shared" si="39"/>
        <v>-2.1825615028619265E-3</v>
      </c>
      <c r="AF615">
        <f t="shared" si="39"/>
        <v>-2.9146262849847975E-3</v>
      </c>
      <c r="AR615">
        <v>34.5</v>
      </c>
      <c r="AS615">
        <f t="shared" si="40"/>
        <v>7.2202479734870973E-3</v>
      </c>
    </row>
    <row r="616" spans="6:45" x14ac:dyDescent="0.2">
      <c r="F616">
        <v>14.531000000000001</v>
      </c>
      <c r="AB616" s="29">
        <v>36264</v>
      </c>
      <c r="AC616">
        <v>14.531000000000001</v>
      </c>
      <c r="AD616">
        <v>1328.44</v>
      </c>
      <c r="AE616">
        <f t="shared" si="39"/>
        <v>-2.170519992432151E-2</v>
      </c>
      <c r="AF616">
        <f t="shared" si="39"/>
        <v>-4.2168214591779031E-3</v>
      </c>
      <c r="AR616">
        <v>33.688000000000002</v>
      </c>
      <c r="AS616">
        <f t="shared" si="40"/>
        <v>2.3817633177687259E-2</v>
      </c>
    </row>
    <row r="617" spans="6:45" x14ac:dyDescent="0.2">
      <c r="F617">
        <v>13.906000000000001</v>
      </c>
      <c r="AB617" s="29">
        <v>36263</v>
      </c>
      <c r="AC617">
        <v>13.906000000000001</v>
      </c>
      <c r="AD617">
        <v>1349.82</v>
      </c>
      <c r="AE617">
        <f t="shared" si="39"/>
        <v>4.396389666173281E-2</v>
      </c>
      <c r="AF617">
        <f t="shared" si="39"/>
        <v>-1.5965928747985351E-2</v>
      </c>
      <c r="AR617">
        <v>32.969000000000001</v>
      </c>
      <c r="AS617">
        <f t="shared" si="40"/>
        <v>2.1573964839548113E-2</v>
      </c>
    </row>
    <row r="618" spans="6:45" x14ac:dyDescent="0.2">
      <c r="F618">
        <v>14.188000000000001</v>
      </c>
      <c r="AB618" s="29">
        <v>36262</v>
      </c>
      <c r="AC618">
        <v>14.188000000000001</v>
      </c>
      <c r="AD618">
        <v>1358.63</v>
      </c>
      <c r="AE618">
        <f t="shared" si="39"/>
        <v>-2.0076135234549319E-2</v>
      </c>
      <c r="AF618">
        <f t="shared" si="39"/>
        <v>-6.5055888584864968E-3</v>
      </c>
      <c r="AR618">
        <v>31</v>
      </c>
      <c r="AS618">
        <f t="shared" si="40"/>
        <v>6.1580521534932424E-2</v>
      </c>
    </row>
    <row r="619" spans="6:45" x14ac:dyDescent="0.2">
      <c r="F619">
        <v>13.625</v>
      </c>
      <c r="AB619" s="29">
        <v>36259</v>
      </c>
      <c r="AC619">
        <v>13.625</v>
      </c>
      <c r="AD619">
        <v>1348.35</v>
      </c>
      <c r="AE619">
        <f t="shared" si="39"/>
        <v>4.0490196362067674E-2</v>
      </c>
      <c r="AF619">
        <f t="shared" si="39"/>
        <v>7.5952163804312457E-3</v>
      </c>
      <c r="AR619">
        <v>32.030999999999999</v>
      </c>
      <c r="AS619">
        <f t="shared" si="40"/>
        <v>-3.2716979379128708E-2</v>
      </c>
    </row>
    <row r="620" spans="6:45" x14ac:dyDescent="0.2">
      <c r="F620">
        <v>13.438000000000001</v>
      </c>
      <c r="AB620" s="29">
        <v>36258</v>
      </c>
      <c r="AC620">
        <v>13.438000000000001</v>
      </c>
      <c r="AD620">
        <v>1343.98</v>
      </c>
      <c r="AE620">
        <f t="shared" si="39"/>
        <v>1.3819826051349514E-2</v>
      </c>
      <c r="AF620">
        <f t="shared" si="39"/>
        <v>3.2462616675265014E-3</v>
      </c>
      <c r="AR620">
        <v>31.969000000000001</v>
      </c>
      <c r="AS620">
        <f t="shared" si="40"/>
        <v>1.93750060609977E-3</v>
      </c>
    </row>
    <row r="621" spans="6:45" x14ac:dyDescent="0.2">
      <c r="F621">
        <v>13.313000000000001</v>
      </c>
      <c r="AB621" s="29">
        <v>36257</v>
      </c>
      <c r="AC621">
        <v>13.313000000000001</v>
      </c>
      <c r="AD621">
        <v>1326.89</v>
      </c>
      <c r="AE621">
        <f t="shared" si="39"/>
        <v>9.3455130481781001E-3</v>
      </c>
      <c r="AF621">
        <f t="shared" si="39"/>
        <v>1.2797502868950279E-2</v>
      </c>
      <c r="AR621">
        <v>31.280999999999999</v>
      </c>
      <c r="AS621">
        <f t="shared" si="40"/>
        <v>2.1755798782609623E-2</v>
      </c>
    </row>
    <row r="622" spans="6:45" x14ac:dyDescent="0.2">
      <c r="F622">
        <v>13.438000000000001</v>
      </c>
      <c r="AB622" s="29">
        <v>36256</v>
      </c>
      <c r="AC622">
        <v>13.438000000000001</v>
      </c>
      <c r="AD622">
        <v>1317.89</v>
      </c>
      <c r="AE622">
        <f t="shared" si="39"/>
        <v>-9.3455130481781036E-3</v>
      </c>
      <c r="AF622">
        <f t="shared" si="39"/>
        <v>6.8058853591072008E-3</v>
      </c>
      <c r="AR622">
        <v>31.530999999999999</v>
      </c>
      <c r="AS622">
        <f t="shared" si="40"/>
        <v>-7.9603044046647319E-3</v>
      </c>
    </row>
    <row r="623" spans="6:45" x14ac:dyDescent="0.2">
      <c r="F623">
        <v>13.593999999999999</v>
      </c>
      <c r="AB623" s="29">
        <v>36255</v>
      </c>
      <c r="AC623">
        <v>13.593999999999999</v>
      </c>
      <c r="AD623">
        <v>1321.12</v>
      </c>
      <c r="AE623">
        <f t="shared" si="39"/>
        <v>-1.1542004426488121E-2</v>
      </c>
      <c r="AF623">
        <f t="shared" si="39"/>
        <v>-2.4478888771845113E-3</v>
      </c>
      <c r="AR623">
        <v>31.562999999999999</v>
      </c>
      <c r="AS623">
        <f t="shared" si="40"/>
        <v>-1.0143596140298528E-3</v>
      </c>
    </row>
    <row r="624" spans="6:45" x14ac:dyDescent="0.2">
      <c r="F624">
        <v>13.25</v>
      </c>
      <c r="AB624" s="29">
        <v>36251</v>
      </c>
      <c r="AC624">
        <v>13.25</v>
      </c>
      <c r="AD624">
        <v>1293.72</v>
      </c>
      <c r="AE624">
        <f t="shared" si="39"/>
        <v>2.5630966492215246E-2</v>
      </c>
      <c r="AF624">
        <f t="shared" si="39"/>
        <v>2.0958072330091386E-2</v>
      </c>
      <c r="AR624">
        <v>32.219000000000001</v>
      </c>
      <c r="AS624">
        <f t="shared" si="40"/>
        <v>-2.0570792149706665E-2</v>
      </c>
    </row>
    <row r="625" spans="6:45" x14ac:dyDescent="0.2">
      <c r="F625">
        <v>13.25</v>
      </c>
      <c r="AB625" s="29">
        <v>36250</v>
      </c>
      <c r="AC625">
        <v>13.25</v>
      </c>
      <c r="AD625">
        <v>1286.3699999999999</v>
      </c>
      <c r="AE625">
        <f t="shared" si="39"/>
        <v>0</v>
      </c>
      <c r="AF625">
        <f t="shared" si="39"/>
        <v>5.6974910817838382E-3</v>
      </c>
      <c r="AR625">
        <v>32.125</v>
      </c>
      <c r="AS625">
        <f t="shared" si="40"/>
        <v>2.9217974285830274E-3</v>
      </c>
    </row>
    <row r="626" spans="6:45" x14ac:dyDescent="0.2">
      <c r="F626">
        <v>13.593999999999999</v>
      </c>
      <c r="AB626" s="29">
        <v>36249</v>
      </c>
      <c r="AC626">
        <v>13.593999999999999</v>
      </c>
      <c r="AD626">
        <v>1300.75</v>
      </c>
      <c r="AE626">
        <f t="shared" si="39"/>
        <v>-2.5630966492215187E-2</v>
      </c>
      <c r="AF626">
        <f t="shared" si="39"/>
        <v>-1.1116722913169791E-2</v>
      </c>
      <c r="AR626">
        <v>32.5</v>
      </c>
      <c r="AS626">
        <f t="shared" si="40"/>
        <v>-1.160554612030789E-2</v>
      </c>
    </row>
    <row r="627" spans="6:45" x14ac:dyDescent="0.2">
      <c r="F627">
        <v>13.75</v>
      </c>
      <c r="AB627" s="29">
        <v>36248</v>
      </c>
      <c r="AC627">
        <v>13.75</v>
      </c>
      <c r="AD627">
        <v>1310.17</v>
      </c>
      <c r="AE627">
        <f t="shared" si="39"/>
        <v>-1.1410305188133829E-2</v>
      </c>
      <c r="AF627">
        <f t="shared" si="39"/>
        <v>-7.2158785976239297E-3</v>
      </c>
      <c r="AR627">
        <v>33.094000000000001</v>
      </c>
      <c r="AS627">
        <f t="shared" si="40"/>
        <v>-1.8111907733960729E-2</v>
      </c>
    </row>
    <row r="628" spans="6:45" x14ac:dyDescent="0.2">
      <c r="F628">
        <v>13.718999999999999</v>
      </c>
      <c r="AB628" s="29">
        <v>36245</v>
      </c>
      <c r="AC628">
        <v>13.718999999999999</v>
      </c>
      <c r="AD628">
        <v>1282.8</v>
      </c>
      <c r="AE628">
        <f t="shared" si="39"/>
        <v>2.2570907685524966E-3</v>
      </c>
      <c r="AF628">
        <f t="shared" si="39"/>
        <v>2.1111710949036997E-2</v>
      </c>
      <c r="AR628">
        <v>32.530999999999999</v>
      </c>
      <c r="AS628">
        <f t="shared" si="40"/>
        <v>1.7158516202287134E-2</v>
      </c>
    </row>
    <row r="629" spans="6:45" x14ac:dyDescent="0.2">
      <c r="F629">
        <v>13.593999999999999</v>
      </c>
      <c r="AB629" s="29">
        <v>36244</v>
      </c>
      <c r="AC629">
        <v>13.593999999999999</v>
      </c>
      <c r="AD629">
        <v>1289.99</v>
      </c>
      <c r="AE629">
        <f t="shared" si="39"/>
        <v>9.1532144195814406E-3</v>
      </c>
      <c r="AF629">
        <f t="shared" si="39"/>
        <v>-5.5892775686870316E-3</v>
      </c>
      <c r="AR629">
        <v>32.875</v>
      </c>
      <c r="AS629">
        <f t="shared" si="40"/>
        <v>-1.0519009630563214E-2</v>
      </c>
    </row>
    <row r="630" spans="6:45" x14ac:dyDescent="0.2">
      <c r="F630">
        <v>13.375</v>
      </c>
      <c r="AB630" s="29">
        <v>36243</v>
      </c>
      <c r="AC630">
        <v>13.375</v>
      </c>
      <c r="AD630">
        <v>1268.5899999999999</v>
      </c>
      <c r="AE630">
        <f t="shared" si="39"/>
        <v>1.6241226142376247E-2</v>
      </c>
      <c r="AF630">
        <f t="shared" si="39"/>
        <v>1.6728418924303337E-2</v>
      </c>
      <c r="AR630">
        <v>32.905999999999999</v>
      </c>
      <c r="AS630">
        <f t="shared" si="40"/>
        <v>-9.4252146652970721E-4</v>
      </c>
    </row>
    <row r="631" spans="6:45" x14ac:dyDescent="0.2">
      <c r="F631">
        <v>13.313000000000001</v>
      </c>
      <c r="AB631" s="29">
        <v>36242</v>
      </c>
      <c r="AC631">
        <v>13.313000000000001</v>
      </c>
      <c r="AD631">
        <v>1262.1400000000001</v>
      </c>
      <c r="AE631">
        <f t="shared" si="39"/>
        <v>4.6462913322900378E-3</v>
      </c>
      <c r="AF631">
        <f t="shared" si="39"/>
        <v>5.0973544912879315E-3</v>
      </c>
      <c r="AR631">
        <v>32.969000000000001</v>
      </c>
      <c r="AS631">
        <f t="shared" si="40"/>
        <v>-1.912714055620379E-3</v>
      </c>
    </row>
    <row r="632" spans="6:45" x14ac:dyDescent="0.2">
      <c r="F632">
        <v>12.843999999999999</v>
      </c>
      <c r="AB632" s="29">
        <v>36241</v>
      </c>
      <c r="AC632">
        <v>12.843999999999999</v>
      </c>
      <c r="AD632">
        <v>1297.01</v>
      </c>
      <c r="AE632">
        <f t="shared" si="39"/>
        <v>3.5864225222512723E-2</v>
      </c>
      <c r="AF632">
        <f t="shared" si="39"/>
        <v>-2.7252922414856925E-2</v>
      </c>
      <c r="AR632">
        <v>33.844000000000001</v>
      </c>
      <c r="AS632">
        <f t="shared" si="40"/>
        <v>-2.6194005042175856E-2</v>
      </c>
    </row>
    <row r="633" spans="6:45" x14ac:dyDescent="0.2">
      <c r="F633">
        <v>12.875</v>
      </c>
      <c r="AB633" s="29">
        <v>36238</v>
      </c>
      <c r="AC633">
        <v>12.875</v>
      </c>
      <c r="AD633">
        <v>1299.29</v>
      </c>
      <c r="AE633">
        <f t="shared" si="39"/>
        <v>-2.4106703225324085E-3</v>
      </c>
      <c r="AF633">
        <f t="shared" si="39"/>
        <v>-1.7563460201846202E-3</v>
      </c>
      <c r="AR633">
        <v>34.625</v>
      </c>
      <c r="AS633">
        <f t="shared" si="40"/>
        <v>-2.2814233445248119E-2</v>
      </c>
    </row>
    <row r="634" spans="6:45" x14ac:dyDescent="0.2">
      <c r="F634">
        <v>12.875</v>
      </c>
      <c r="AB634" s="29">
        <v>36237</v>
      </c>
      <c r="AC634">
        <v>12.875</v>
      </c>
      <c r="AD634">
        <v>1316.55</v>
      </c>
      <c r="AE634">
        <f t="shared" si="39"/>
        <v>0</v>
      </c>
      <c r="AF634">
        <f t="shared" si="39"/>
        <v>-1.3196717299099121E-2</v>
      </c>
      <c r="AR634">
        <v>34.813000000000002</v>
      </c>
      <c r="AS634">
        <f t="shared" si="40"/>
        <v>-5.4149157339498854E-3</v>
      </c>
    </row>
    <row r="635" spans="6:45" x14ac:dyDescent="0.2">
      <c r="F635">
        <v>12.813000000000001</v>
      </c>
      <c r="AB635" s="29">
        <v>36236</v>
      </c>
      <c r="AC635">
        <v>12.813000000000001</v>
      </c>
      <c r="AD635">
        <v>1297.82</v>
      </c>
      <c r="AE635">
        <f t="shared" si="39"/>
        <v>4.8271660223606879E-3</v>
      </c>
      <c r="AF635">
        <f t="shared" si="39"/>
        <v>1.4328744942889418E-2</v>
      </c>
      <c r="AR635">
        <v>33.813000000000002</v>
      </c>
      <c r="AS635">
        <f t="shared" si="40"/>
        <v>2.9145536313401249E-2</v>
      </c>
    </row>
    <row r="636" spans="6:45" x14ac:dyDescent="0.2">
      <c r="F636">
        <v>12.625</v>
      </c>
      <c r="AB636" s="29">
        <v>36235</v>
      </c>
      <c r="AC636">
        <v>12.625</v>
      </c>
      <c r="AD636">
        <v>1306.3800000000001</v>
      </c>
      <c r="AE636">
        <f t="shared" si="39"/>
        <v>1.4781305366015626E-2</v>
      </c>
      <c r="AF636">
        <f t="shared" si="39"/>
        <v>-6.5740195289357931E-3</v>
      </c>
      <c r="AR636">
        <v>33.469000000000001</v>
      </c>
      <c r="AS636">
        <f t="shared" si="40"/>
        <v>1.0225706653398201E-2</v>
      </c>
    </row>
    <row r="637" spans="6:45" x14ac:dyDescent="0.2">
      <c r="F637">
        <v>13.031000000000001</v>
      </c>
      <c r="AB637" s="29">
        <v>36234</v>
      </c>
      <c r="AC637">
        <v>13.031000000000001</v>
      </c>
      <c r="AD637">
        <v>1307.26</v>
      </c>
      <c r="AE637">
        <f t="shared" si="39"/>
        <v>-3.1652159001345444E-2</v>
      </c>
      <c r="AF637">
        <f t="shared" si="39"/>
        <v>-6.7339039290282893E-4</v>
      </c>
      <c r="AR637">
        <v>34</v>
      </c>
      <c r="AS637">
        <f t="shared" si="40"/>
        <v>-1.5740887341508407E-2</v>
      </c>
    </row>
    <row r="638" spans="6:45" x14ac:dyDescent="0.2">
      <c r="F638">
        <v>13.125</v>
      </c>
      <c r="AB638" s="29">
        <v>36231</v>
      </c>
      <c r="AC638">
        <v>13.125</v>
      </c>
      <c r="AD638">
        <v>1294.5899999999999</v>
      </c>
      <c r="AE638">
        <f t="shared" si="39"/>
        <v>-7.187674314918454E-3</v>
      </c>
      <c r="AF638">
        <f t="shared" si="39"/>
        <v>9.739300997244035E-3</v>
      </c>
      <c r="AR638">
        <v>34.438000000000002</v>
      </c>
      <c r="AS638">
        <f t="shared" si="40"/>
        <v>-1.2800081247832848E-2</v>
      </c>
    </row>
    <row r="639" spans="6:45" x14ac:dyDescent="0.2">
      <c r="F639">
        <v>12.468999999999999</v>
      </c>
      <c r="AB639" s="29">
        <v>36230</v>
      </c>
      <c r="AC639">
        <v>12.468999999999999</v>
      </c>
      <c r="AD639">
        <v>1297.68</v>
      </c>
      <c r="AE639">
        <f t="shared" si="39"/>
        <v>5.1273244463238339E-2</v>
      </c>
      <c r="AF639">
        <f t="shared" si="39"/>
        <v>-2.3840120539177743E-3</v>
      </c>
      <c r="AR639">
        <v>35.280999999999999</v>
      </c>
      <c r="AS639">
        <f t="shared" si="40"/>
        <v>-2.4183969544095501E-2</v>
      </c>
    </row>
    <row r="640" spans="6:45" x14ac:dyDescent="0.2">
      <c r="F640">
        <v>12.938000000000001</v>
      </c>
      <c r="AB640" s="29">
        <v>36229</v>
      </c>
      <c r="AC640">
        <v>12.938000000000001</v>
      </c>
      <c r="AD640">
        <v>1286.8399999999999</v>
      </c>
      <c r="AE640">
        <f t="shared" si="39"/>
        <v>-3.6923153607344709E-2</v>
      </c>
      <c r="AF640">
        <f t="shared" si="39"/>
        <v>8.3884539984399112E-3</v>
      </c>
      <c r="AR640">
        <v>35</v>
      </c>
      <c r="AS640">
        <f t="shared" si="40"/>
        <v>7.9965139186761527E-3</v>
      </c>
    </row>
    <row r="641" spans="6:45" x14ac:dyDescent="0.2">
      <c r="F641">
        <v>12.063000000000001</v>
      </c>
      <c r="AB641" s="29">
        <v>36228</v>
      </c>
      <c r="AC641">
        <v>12.063000000000001</v>
      </c>
      <c r="AD641">
        <v>1279.8399999999999</v>
      </c>
      <c r="AE641">
        <f t="shared" si="39"/>
        <v>7.0025801038546928E-2</v>
      </c>
      <c r="AF641">
        <f t="shared" si="39"/>
        <v>5.4545306429075223E-3</v>
      </c>
      <c r="AR641">
        <v>33.875</v>
      </c>
      <c r="AS641">
        <f t="shared" si="40"/>
        <v>3.26707822895487E-2</v>
      </c>
    </row>
    <row r="642" spans="6:45" x14ac:dyDescent="0.2">
      <c r="F642">
        <v>11.468999999999999</v>
      </c>
      <c r="AB642" s="29">
        <v>36227</v>
      </c>
      <c r="AC642">
        <v>11.468999999999999</v>
      </c>
      <c r="AD642">
        <v>1282.73</v>
      </c>
      <c r="AE642">
        <f t="shared" si="39"/>
        <v>5.0495173200861415E-2</v>
      </c>
      <c r="AF642">
        <f t="shared" si="39"/>
        <v>-2.2555490973827277E-3</v>
      </c>
      <c r="AR642">
        <v>33.344000000000001</v>
      </c>
      <c r="AS642">
        <f t="shared" si="40"/>
        <v>1.5799433068963194E-2</v>
      </c>
    </row>
    <row r="643" spans="6:45" x14ac:dyDescent="0.2">
      <c r="F643">
        <v>11.968999999999999</v>
      </c>
      <c r="AB643" s="29">
        <v>36224</v>
      </c>
      <c r="AC643">
        <v>11.968999999999999</v>
      </c>
      <c r="AD643">
        <v>1275.47</v>
      </c>
      <c r="AE643">
        <f t="shared" si="39"/>
        <v>-4.2672230508848025E-2</v>
      </c>
      <c r="AF643">
        <f t="shared" si="39"/>
        <v>5.6758810807937725E-3</v>
      </c>
      <c r="AR643">
        <v>32.938000000000002</v>
      </c>
      <c r="AS643">
        <f t="shared" si="40"/>
        <v>1.2250839678885111E-2</v>
      </c>
    </row>
    <row r="644" spans="6:45" x14ac:dyDescent="0.2">
      <c r="F644">
        <v>11.625</v>
      </c>
      <c r="AB644" s="29">
        <v>36223</v>
      </c>
      <c r="AC644">
        <v>11.625</v>
      </c>
      <c r="AD644">
        <v>1246.6400000000001</v>
      </c>
      <c r="AE644">
        <f t="shared" si="39"/>
        <v>2.9162022417813443E-2</v>
      </c>
      <c r="AF644">
        <f t="shared" si="39"/>
        <v>2.286280597974143E-2</v>
      </c>
      <c r="AR644">
        <v>32.5</v>
      </c>
      <c r="AS644">
        <f t="shared" si="40"/>
        <v>1.3386917116324955E-2</v>
      </c>
    </row>
    <row r="645" spans="6:45" x14ac:dyDescent="0.2">
      <c r="F645">
        <v>11.843999999999999</v>
      </c>
      <c r="AB645" s="29">
        <v>36222</v>
      </c>
      <c r="AC645">
        <v>11.843999999999999</v>
      </c>
      <c r="AD645">
        <v>1227.7</v>
      </c>
      <c r="AE645">
        <f t="shared" si="39"/>
        <v>-1.8663458765924824E-2</v>
      </c>
      <c r="AF645">
        <f t="shared" si="39"/>
        <v>1.5309431950564877E-2</v>
      </c>
      <c r="AR645">
        <v>31.687999999999999</v>
      </c>
      <c r="AS645">
        <f t="shared" si="40"/>
        <v>2.5302029016076345E-2</v>
      </c>
    </row>
    <row r="646" spans="6:45" x14ac:dyDescent="0.2">
      <c r="F646">
        <v>11.968999999999999</v>
      </c>
      <c r="AB646" s="29">
        <v>36221</v>
      </c>
      <c r="AC646">
        <v>11.968999999999999</v>
      </c>
      <c r="AD646">
        <v>1225.5</v>
      </c>
      <c r="AE646">
        <f t="shared" si="39"/>
        <v>-1.049856365188858E-2</v>
      </c>
      <c r="AF646">
        <f t="shared" si="39"/>
        <v>1.7935762186270707E-3</v>
      </c>
      <c r="AR646">
        <v>31.312999999999999</v>
      </c>
      <c r="AS646">
        <f t="shared" si="40"/>
        <v>1.1904713538147859E-2</v>
      </c>
    </row>
    <row r="647" spans="6:45" x14ac:dyDescent="0.2">
      <c r="F647">
        <v>11.968999999999999</v>
      </c>
      <c r="AB647" s="29">
        <v>36220</v>
      </c>
      <c r="AC647">
        <v>11.968999999999999</v>
      </c>
      <c r="AD647">
        <v>1236.1600000000001</v>
      </c>
      <c r="AE647">
        <f t="shared" si="39"/>
        <v>0</v>
      </c>
      <c r="AF647">
        <f t="shared" si="39"/>
        <v>-8.6608765097493049E-3</v>
      </c>
      <c r="AR647">
        <v>31.75</v>
      </c>
      <c r="AS647">
        <f t="shared" si="40"/>
        <v>-1.3859378557233097E-2</v>
      </c>
    </row>
    <row r="648" spans="6:45" x14ac:dyDescent="0.2">
      <c r="F648">
        <v>10.938000000000001</v>
      </c>
      <c r="AB648" s="29">
        <v>36217</v>
      </c>
      <c r="AC648">
        <v>10.938000000000001</v>
      </c>
      <c r="AD648">
        <v>1238.33</v>
      </c>
      <c r="AE648">
        <f t="shared" si="39"/>
        <v>9.0077008966652217E-2</v>
      </c>
      <c r="AF648">
        <f t="shared" si="39"/>
        <v>-1.7538972121700046E-3</v>
      </c>
      <c r="AR648">
        <v>32.5</v>
      </c>
      <c r="AS648">
        <f t="shared" si="40"/>
        <v>-2.3347363996991177E-2</v>
      </c>
    </row>
    <row r="649" spans="6:45" x14ac:dyDescent="0.2">
      <c r="F649">
        <v>9.7810000000000006</v>
      </c>
      <c r="AB649" s="29">
        <v>36216</v>
      </c>
      <c r="AC649">
        <v>9.7810000000000006</v>
      </c>
      <c r="AD649">
        <v>1245.02</v>
      </c>
      <c r="AE649">
        <f t="shared" si="39"/>
        <v>0.11180123661622512</v>
      </c>
      <c r="AF649">
        <f t="shared" si="39"/>
        <v>-5.3878963367207464E-3</v>
      </c>
      <c r="AR649">
        <v>33</v>
      </c>
      <c r="AS649">
        <f t="shared" si="40"/>
        <v>-1.5267472130788421E-2</v>
      </c>
    </row>
    <row r="650" spans="6:45" x14ac:dyDescent="0.2">
      <c r="F650">
        <v>10.25</v>
      </c>
      <c r="AB650" s="29">
        <v>36215</v>
      </c>
      <c r="AC650">
        <v>10.25</v>
      </c>
      <c r="AD650">
        <v>1253.4100000000001</v>
      </c>
      <c r="AE650">
        <f t="shared" si="39"/>
        <v>-4.6835977276061251E-2</v>
      </c>
      <c r="AF650">
        <f t="shared" si="39"/>
        <v>-6.7162430309681068E-3</v>
      </c>
      <c r="AR650">
        <v>34.125</v>
      </c>
      <c r="AS650">
        <f t="shared" si="40"/>
        <v>-3.352269203864356E-2</v>
      </c>
    </row>
    <row r="651" spans="6:45" x14ac:dyDescent="0.2">
      <c r="F651">
        <v>10.156000000000001</v>
      </c>
      <c r="AB651" s="29">
        <v>36214</v>
      </c>
      <c r="AC651">
        <v>10.156000000000001</v>
      </c>
      <c r="AD651">
        <v>1271.18</v>
      </c>
      <c r="AE651">
        <f t="shared" si="39"/>
        <v>9.2130417419850827E-3</v>
      </c>
      <c r="AF651">
        <f t="shared" si="39"/>
        <v>-1.4077765875450425E-2</v>
      </c>
      <c r="AR651">
        <v>32.655999999999999</v>
      </c>
      <c r="AS651">
        <f t="shared" si="40"/>
        <v>4.4001647437634885E-2</v>
      </c>
    </row>
    <row r="652" spans="6:45" x14ac:dyDescent="0.2">
      <c r="F652">
        <v>10</v>
      </c>
      <c r="AB652" s="29">
        <v>36213</v>
      </c>
      <c r="AC652">
        <v>10</v>
      </c>
      <c r="AD652">
        <v>1272.1400000000001</v>
      </c>
      <c r="AE652">
        <f t="shared" si="39"/>
        <v>1.5479570848386375E-2</v>
      </c>
      <c r="AF652">
        <f t="shared" si="39"/>
        <v>-7.54918803447687E-4</v>
      </c>
      <c r="AR652">
        <v>32</v>
      </c>
      <c r="AS652">
        <f t="shared" si="40"/>
        <v>2.0292703267762394E-2</v>
      </c>
    </row>
    <row r="653" spans="6:45" x14ac:dyDescent="0.2">
      <c r="F653">
        <v>10</v>
      </c>
      <c r="AB653" s="29">
        <v>36210</v>
      </c>
      <c r="AC653">
        <v>10</v>
      </c>
      <c r="AD653">
        <v>1239.22</v>
      </c>
      <c r="AE653">
        <f t="shared" si="39"/>
        <v>0</v>
      </c>
      <c r="AF653">
        <f t="shared" si="39"/>
        <v>2.6218372319450817E-2</v>
      </c>
      <c r="AR653">
        <v>31.25</v>
      </c>
      <c r="AS653">
        <f t="shared" si="40"/>
        <v>2.3716526617316065E-2</v>
      </c>
    </row>
    <row r="654" spans="6:45" x14ac:dyDescent="0.2">
      <c r="F654">
        <v>9.9689999999999994</v>
      </c>
      <c r="AB654" s="29">
        <v>36209</v>
      </c>
      <c r="AC654">
        <v>9.9689999999999994</v>
      </c>
      <c r="AD654">
        <v>1237.28</v>
      </c>
      <c r="AE654">
        <f t="shared" si="39"/>
        <v>3.1048149534789195E-3</v>
      </c>
      <c r="AF654">
        <f t="shared" si="39"/>
        <v>1.5667275564973525E-3</v>
      </c>
      <c r="AR654">
        <v>30.655999999999999</v>
      </c>
      <c r="AS654">
        <f t="shared" si="40"/>
        <v>1.9190974393960503E-2</v>
      </c>
    </row>
    <row r="655" spans="6:45" x14ac:dyDescent="0.2">
      <c r="F655">
        <v>9.9380000000000006</v>
      </c>
      <c r="AB655" s="29">
        <v>36208</v>
      </c>
      <c r="AC655">
        <v>9.9380000000000006</v>
      </c>
      <c r="AD655">
        <v>1224.03</v>
      </c>
      <c r="AE655">
        <f t="shared" si="39"/>
        <v>3.1144848604378991E-3</v>
      </c>
      <c r="AF655">
        <f t="shared" si="39"/>
        <v>1.0766728284892731E-2</v>
      </c>
      <c r="AR655">
        <v>30.969000000000001</v>
      </c>
      <c r="AS655">
        <f t="shared" si="40"/>
        <v>-1.0158302363112761E-2</v>
      </c>
    </row>
    <row r="656" spans="6:45" x14ac:dyDescent="0.2">
      <c r="F656">
        <v>9.8130000000000006</v>
      </c>
      <c r="AB656" s="29">
        <v>36207</v>
      </c>
      <c r="AC656">
        <v>9.8130000000000006</v>
      </c>
      <c r="AD656">
        <v>1241.8699999999999</v>
      </c>
      <c r="AE656">
        <f t="shared" si="39"/>
        <v>1.2657755955772388E-2</v>
      </c>
      <c r="AF656">
        <f t="shared" si="39"/>
        <v>-1.4469614552037838E-2</v>
      </c>
      <c r="AR656">
        <v>31.562999999999999</v>
      </c>
      <c r="AS656">
        <f t="shared" si="40"/>
        <v>-1.8998844342697614E-2</v>
      </c>
    </row>
    <row r="657" spans="6:45" x14ac:dyDescent="0.2">
      <c r="F657">
        <v>10</v>
      </c>
      <c r="AB657" s="29">
        <v>36203</v>
      </c>
      <c r="AC657">
        <v>10</v>
      </c>
      <c r="AD657">
        <v>1230.1300000000001</v>
      </c>
      <c r="AE657">
        <f t="shared" ref="AE657:AF720" si="41">LN(AC656/AC657)</f>
        <v>-1.8877055769689073E-2</v>
      </c>
      <c r="AF657">
        <f t="shared" si="41"/>
        <v>9.4984532894029586E-3</v>
      </c>
      <c r="AR657">
        <v>31.344000000000001</v>
      </c>
      <c r="AS657">
        <f t="shared" ref="AS657:AS720" si="42">LN(AR656/AR657)</f>
        <v>6.9626872920754684E-3</v>
      </c>
    </row>
    <row r="658" spans="6:45" x14ac:dyDescent="0.2">
      <c r="F658">
        <v>10.5</v>
      </c>
      <c r="AB658" s="29">
        <v>36202</v>
      </c>
      <c r="AC658">
        <v>10.5</v>
      </c>
      <c r="AD658">
        <v>1254.04</v>
      </c>
      <c r="AE658">
        <f t="shared" si="41"/>
        <v>-4.8790164169432056E-2</v>
      </c>
      <c r="AF658">
        <f t="shared" si="41"/>
        <v>-1.9250484772305072E-2</v>
      </c>
      <c r="AR658">
        <v>31.344000000000001</v>
      </c>
      <c r="AS658">
        <f t="shared" si="42"/>
        <v>0</v>
      </c>
    </row>
    <row r="659" spans="6:45" x14ac:dyDescent="0.2">
      <c r="F659">
        <v>10.468999999999999</v>
      </c>
      <c r="AB659" s="29">
        <v>36201</v>
      </c>
      <c r="AC659">
        <v>10.468999999999999</v>
      </c>
      <c r="AD659">
        <v>1223.55</v>
      </c>
      <c r="AE659">
        <f t="shared" si="41"/>
        <v>2.9567478262598249E-3</v>
      </c>
      <c r="AF659">
        <f t="shared" si="41"/>
        <v>2.4613870196073705E-2</v>
      </c>
      <c r="AR659">
        <v>31.530999999999999</v>
      </c>
      <c r="AS659">
        <f t="shared" si="42"/>
        <v>-5.9483276780454876E-3</v>
      </c>
    </row>
    <row r="660" spans="6:45" x14ac:dyDescent="0.2">
      <c r="F660">
        <v>11.188000000000001</v>
      </c>
      <c r="AB660" s="29">
        <v>36200</v>
      </c>
      <c r="AC660">
        <v>11.188000000000001</v>
      </c>
      <c r="AD660">
        <v>1216.1400000000001</v>
      </c>
      <c r="AE660">
        <f t="shared" si="41"/>
        <v>-6.6423266002495457E-2</v>
      </c>
      <c r="AF660">
        <f t="shared" si="41"/>
        <v>6.0745609367708966E-3</v>
      </c>
      <c r="AR660">
        <v>31.937999999999999</v>
      </c>
      <c r="AS660">
        <f t="shared" si="42"/>
        <v>-1.2825334538444838E-2</v>
      </c>
    </row>
    <row r="661" spans="6:45" x14ac:dyDescent="0.2">
      <c r="F661">
        <v>11.593999999999999</v>
      </c>
      <c r="AB661" s="29">
        <v>36199</v>
      </c>
      <c r="AC661">
        <v>11.593999999999999</v>
      </c>
      <c r="AD661">
        <v>1243.77</v>
      </c>
      <c r="AE661">
        <f t="shared" si="41"/>
        <v>-3.5645947577827734E-2</v>
      </c>
      <c r="AF661">
        <f t="shared" si="41"/>
        <v>-2.2465181267596106E-2</v>
      </c>
      <c r="AR661">
        <v>32.344000000000001</v>
      </c>
      <c r="AS661">
        <f t="shared" si="42"/>
        <v>-1.2632008919794458E-2</v>
      </c>
    </row>
    <row r="662" spans="6:45" x14ac:dyDescent="0.2">
      <c r="F662">
        <v>11.031000000000001</v>
      </c>
      <c r="AB662" s="29">
        <v>36196</v>
      </c>
      <c r="AC662">
        <v>11.031000000000001</v>
      </c>
      <c r="AD662">
        <v>1239.4000000000001</v>
      </c>
      <c r="AE662">
        <f t="shared" si="41"/>
        <v>4.9778231930296291E-2</v>
      </c>
      <c r="AF662">
        <f t="shared" si="41"/>
        <v>3.5196982175170429E-3</v>
      </c>
      <c r="AR662">
        <v>31.469000000000001</v>
      </c>
      <c r="AS662">
        <f t="shared" si="42"/>
        <v>2.7425598061915364E-2</v>
      </c>
    </row>
    <row r="663" spans="6:45" x14ac:dyDescent="0.2">
      <c r="F663">
        <v>11.313000000000001</v>
      </c>
      <c r="AB663" s="29">
        <v>36195</v>
      </c>
      <c r="AC663">
        <v>11.313000000000001</v>
      </c>
      <c r="AD663">
        <v>1248.49</v>
      </c>
      <c r="AE663">
        <f t="shared" si="41"/>
        <v>-2.5243015957085106E-2</v>
      </c>
      <c r="AF663">
        <f t="shared" si="41"/>
        <v>-7.30742954820973E-3</v>
      </c>
      <c r="AR663">
        <v>30.875</v>
      </c>
      <c r="AS663">
        <f t="shared" si="42"/>
        <v>1.9056139328413019E-2</v>
      </c>
    </row>
    <row r="664" spans="6:45" x14ac:dyDescent="0.2">
      <c r="F664">
        <v>11.093999999999999</v>
      </c>
      <c r="AB664" s="29">
        <v>36194</v>
      </c>
      <c r="AC664">
        <v>11.093999999999999</v>
      </c>
      <c r="AD664">
        <v>1272.07</v>
      </c>
      <c r="AE664">
        <f t="shared" si="41"/>
        <v>1.9548085311287079E-2</v>
      </c>
      <c r="AF664">
        <f t="shared" si="41"/>
        <v>-1.8710673756216774E-2</v>
      </c>
      <c r="AR664">
        <v>32.030999999999999</v>
      </c>
      <c r="AS664">
        <f t="shared" si="42"/>
        <v>-3.6757388916133726E-2</v>
      </c>
    </row>
    <row r="665" spans="6:45" x14ac:dyDescent="0.2">
      <c r="F665">
        <v>11.468999999999999</v>
      </c>
      <c r="AB665" s="29">
        <v>36193</v>
      </c>
      <c r="AC665">
        <v>11.468999999999999</v>
      </c>
      <c r="AD665">
        <v>1261.99</v>
      </c>
      <c r="AE665">
        <f t="shared" si="41"/>
        <v>-3.324332174934265E-2</v>
      </c>
      <c r="AF665">
        <f t="shared" si="41"/>
        <v>7.9556546929392818E-3</v>
      </c>
      <c r="AR665">
        <v>32.405999999999999</v>
      </c>
      <c r="AS665">
        <f t="shared" si="42"/>
        <v>-1.163940697453401E-2</v>
      </c>
    </row>
    <row r="666" spans="6:45" x14ac:dyDescent="0.2">
      <c r="F666">
        <v>11.75</v>
      </c>
      <c r="AB666" s="29">
        <v>36192</v>
      </c>
      <c r="AC666">
        <v>11.75</v>
      </c>
      <c r="AD666">
        <v>1273</v>
      </c>
      <c r="AE666">
        <f t="shared" si="41"/>
        <v>-2.4205497207782634E-2</v>
      </c>
      <c r="AF666">
        <f t="shared" si="41"/>
        <v>-8.6864794179119364E-3</v>
      </c>
      <c r="AR666">
        <v>32.969000000000001</v>
      </c>
      <c r="AS666">
        <f t="shared" si="42"/>
        <v>-1.7224135181269612E-2</v>
      </c>
    </row>
    <row r="667" spans="6:45" x14ac:dyDescent="0.2">
      <c r="F667">
        <v>11.968999999999999</v>
      </c>
      <c r="AB667" s="29">
        <v>36189</v>
      </c>
      <c r="AC667">
        <v>11.968999999999999</v>
      </c>
      <c r="AD667">
        <v>1279.6400000000001</v>
      </c>
      <c r="AE667">
        <f t="shared" si="41"/>
        <v>-1.8466733301065359E-2</v>
      </c>
      <c r="AF667">
        <f t="shared" si="41"/>
        <v>-5.2024687980578325E-3</v>
      </c>
      <c r="AR667">
        <v>33</v>
      </c>
      <c r="AS667">
        <f t="shared" si="42"/>
        <v>-9.398354464015857E-4</v>
      </c>
    </row>
    <row r="668" spans="6:45" x14ac:dyDescent="0.2">
      <c r="F668">
        <v>12.063000000000001</v>
      </c>
      <c r="AB668" s="29">
        <v>36188</v>
      </c>
      <c r="AC668">
        <v>12.063000000000001</v>
      </c>
      <c r="AD668">
        <v>1265.3699999999999</v>
      </c>
      <c r="AE668">
        <f t="shared" si="41"/>
        <v>-7.822942692013354E-3</v>
      </c>
      <c r="AF668">
        <f t="shared" si="41"/>
        <v>1.1214218842162478E-2</v>
      </c>
      <c r="AR668">
        <v>32.594000000000001</v>
      </c>
      <c r="AS668">
        <f t="shared" si="42"/>
        <v>1.237933911268323E-2</v>
      </c>
    </row>
    <row r="669" spans="6:45" x14ac:dyDescent="0.2">
      <c r="F669">
        <v>12.375</v>
      </c>
      <c r="AB669" s="29">
        <v>36187</v>
      </c>
      <c r="AC669">
        <v>12.375</v>
      </c>
      <c r="AD669">
        <v>1243.17</v>
      </c>
      <c r="AE669">
        <f t="shared" si="41"/>
        <v>-2.5535391871507253E-2</v>
      </c>
      <c r="AF669">
        <f t="shared" si="41"/>
        <v>1.7700000465214038E-2</v>
      </c>
      <c r="AR669">
        <v>32.094000000000001</v>
      </c>
      <c r="AS669">
        <f t="shared" si="42"/>
        <v>1.5459125576628945E-2</v>
      </c>
    </row>
    <row r="670" spans="6:45" x14ac:dyDescent="0.2">
      <c r="F670">
        <v>12.531000000000001</v>
      </c>
      <c r="AB670" s="29">
        <v>36186</v>
      </c>
      <c r="AC670">
        <v>12.531000000000001</v>
      </c>
      <c r="AD670">
        <v>1252.31</v>
      </c>
      <c r="AE670">
        <f t="shared" si="41"/>
        <v>-1.2527265728393983E-2</v>
      </c>
      <c r="AF670">
        <f t="shared" si="41"/>
        <v>-7.3252767970515484E-3</v>
      </c>
      <c r="AR670">
        <v>32.188000000000002</v>
      </c>
      <c r="AS670">
        <f t="shared" si="42"/>
        <v>-2.9246155067183697E-3</v>
      </c>
    </row>
    <row r="671" spans="6:45" x14ac:dyDescent="0.2">
      <c r="F671">
        <v>12.718999999999999</v>
      </c>
      <c r="AB671" s="29">
        <v>36185</v>
      </c>
      <c r="AC671">
        <v>12.718999999999999</v>
      </c>
      <c r="AD671">
        <v>1233.98</v>
      </c>
      <c r="AE671">
        <f t="shared" si="41"/>
        <v>-1.489136428619937E-2</v>
      </c>
      <c r="AF671">
        <f t="shared" si="41"/>
        <v>1.4745127966577955E-2</v>
      </c>
      <c r="AR671">
        <v>32.688000000000002</v>
      </c>
      <c r="AS671">
        <f t="shared" si="42"/>
        <v>-1.5414325791379866E-2</v>
      </c>
    </row>
    <row r="672" spans="6:45" x14ac:dyDescent="0.2">
      <c r="F672">
        <v>12.531000000000001</v>
      </c>
      <c r="AB672" s="29">
        <v>36182</v>
      </c>
      <c r="AC672">
        <v>12.531000000000001</v>
      </c>
      <c r="AD672">
        <v>1225.19</v>
      </c>
      <c r="AE672">
        <f t="shared" si="41"/>
        <v>1.4891364286199369E-2</v>
      </c>
      <c r="AF672">
        <f t="shared" si="41"/>
        <v>7.1487838859956984E-3</v>
      </c>
      <c r="AR672">
        <v>33.155999999999999</v>
      </c>
      <c r="AS672">
        <f t="shared" si="42"/>
        <v>-1.4215657654013445E-2</v>
      </c>
    </row>
    <row r="673" spans="6:45" x14ac:dyDescent="0.2">
      <c r="F673">
        <v>11.938000000000001</v>
      </c>
      <c r="AB673" s="29">
        <v>36181</v>
      </c>
      <c r="AC673">
        <v>11.938000000000001</v>
      </c>
      <c r="AD673">
        <v>1235.1600000000001</v>
      </c>
      <c r="AE673">
        <f t="shared" si="41"/>
        <v>4.8478984436689826E-2</v>
      </c>
      <c r="AF673">
        <f t="shared" si="41"/>
        <v>-8.1045823339025852E-3</v>
      </c>
      <c r="AR673">
        <v>33</v>
      </c>
      <c r="AS673">
        <f t="shared" si="42"/>
        <v>4.7161342627995229E-3</v>
      </c>
    </row>
    <row r="674" spans="6:45" x14ac:dyDescent="0.2">
      <c r="F674">
        <v>11.688000000000001</v>
      </c>
      <c r="AB674" s="29">
        <v>36180</v>
      </c>
      <c r="AC674">
        <v>11.688000000000001</v>
      </c>
      <c r="AD674">
        <v>1256.6199999999999</v>
      </c>
      <c r="AE674">
        <f t="shared" si="41"/>
        <v>2.1163915298059666E-2</v>
      </c>
      <c r="AF674">
        <f t="shared" si="41"/>
        <v>-1.7225060479432095E-2</v>
      </c>
      <c r="AR674">
        <v>32.530999999999999</v>
      </c>
      <c r="AS674">
        <f t="shared" si="42"/>
        <v>1.4314080599114749E-2</v>
      </c>
    </row>
    <row r="675" spans="6:45" x14ac:dyDescent="0.2">
      <c r="F675">
        <v>11.563000000000001</v>
      </c>
      <c r="AB675" s="29">
        <v>36179</v>
      </c>
      <c r="AC675">
        <v>11.563000000000001</v>
      </c>
      <c r="AD675">
        <v>1252</v>
      </c>
      <c r="AE675">
        <f t="shared" si="41"/>
        <v>1.075232930157358E-2</v>
      </c>
      <c r="AF675">
        <f t="shared" si="41"/>
        <v>3.683304145856697E-3</v>
      </c>
      <c r="AR675">
        <v>32.5</v>
      </c>
      <c r="AS675">
        <f t="shared" si="42"/>
        <v>9.5339153167358574E-4</v>
      </c>
    </row>
    <row r="676" spans="6:45" x14ac:dyDescent="0.2">
      <c r="F676">
        <v>11.968999999999999</v>
      </c>
      <c r="AB676" s="29">
        <v>36175</v>
      </c>
      <c r="AC676">
        <v>11.968999999999999</v>
      </c>
      <c r="AD676">
        <v>1243.26</v>
      </c>
      <c r="AE676">
        <f t="shared" si="41"/>
        <v>-3.4509628744408591E-2</v>
      </c>
      <c r="AF676">
        <f t="shared" si="41"/>
        <v>7.0053106629976254E-3</v>
      </c>
      <c r="AR676">
        <v>31.905999999999999</v>
      </c>
      <c r="AS676">
        <f t="shared" si="42"/>
        <v>1.8446009456886073E-2</v>
      </c>
    </row>
    <row r="677" spans="6:45" x14ac:dyDescent="0.2">
      <c r="F677">
        <v>11.688000000000001</v>
      </c>
      <c r="AB677" s="29">
        <v>36174</v>
      </c>
      <c r="AC677">
        <v>11.688000000000001</v>
      </c>
      <c r="AD677">
        <v>1212.19</v>
      </c>
      <c r="AE677">
        <f t="shared" si="41"/>
        <v>2.3757299442834848E-2</v>
      </c>
      <c r="AF677">
        <f t="shared" si="41"/>
        <v>2.5308320977673323E-2</v>
      </c>
      <c r="AR677">
        <v>30.25</v>
      </c>
      <c r="AS677">
        <f t="shared" si="42"/>
        <v>5.3297895401955293E-2</v>
      </c>
    </row>
    <row r="678" spans="6:45" x14ac:dyDescent="0.2">
      <c r="F678">
        <v>12.125</v>
      </c>
      <c r="AB678" s="29">
        <v>36173</v>
      </c>
      <c r="AC678">
        <v>12.125</v>
      </c>
      <c r="AD678">
        <v>1234.4000000000001</v>
      </c>
      <c r="AE678">
        <f t="shared" si="41"/>
        <v>-3.6706762375148486E-2</v>
      </c>
      <c r="AF678">
        <f t="shared" si="41"/>
        <v>-1.8156381029578336E-2</v>
      </c>
      <c r="AR678">
        <v>31.812999999999999</v>
      </c>
      <c r="AS678">
        <f t="shared" si="42"/>
        <v>-5.0378826802716693E-2</v>
      </c>
    </row>
    <row r="679" spans="6:45" x14ac:dyDescent="0.2">
      <c r="F679">
        <v>12.468999999999999</v>
      </c>
      <c r="AB679" s="29">
        <v>36172</v>
      </c>
      <c r="AC679">
        <v>12.468999999999999</v>
      </c>
      <c r="AD679">
        <v>1239.51</v>
      </c>
      <c r="AE679">
        <f t="shared" si="41"/>
        <v>-2.7976127190902211E-2</v>
      </c>
      <c r="AF679">
        <f t="shared" si="41"/>
        <v>-4.1311181630115778E-3</v>
      </c>
      <c r="AR679">
        <v>33.438000000000002</v>
      </c>
      <c r="AS679">
        <f t="shared" si="42"/>
        <v>-4.9817966535887145E-2</v>
      </c>
    </row>
    <row r="680" spans="6:45" x14ac:dyDescent="0.2">
      <c r="F680">
        <v>12.656000000000001</v>
      </c>
      <c r="AB680" s="29">
        <v>36171</v>
      </c>
      <c r="AC680">
        <v>12.656000000000001</v>
      </c>
      <c r="AD680">
        <v>1263.8800000000001</v>
      </c>
      <c r="AE680">
        <f t="shared" si="41"/>
        <v>-1.4885847010848987E-2</v>
      </c>
      <c r="AF680">
        <f t="shared" si="41"/>
        <v>-1.9470214279204773E-2</v>
      </c>
      <c r="AR680">
        <v>32.219000000000001</v>
      </c>
      <c r="AS680">
        <f t="shared" si="42"/>
        <v>3.713663717148738E-2</v>
      </c>
    </row>
    <row r="681" spans="6:45" x14ac:dyDescent="0.2">
      <c r="F681">
        <v>12.593999999999999</v>
      </c>
      <c r="AB681" s="29">
        <v>36168</v>
      </c>
      <c r="AC681">
        <v>12.593999999999999</v>
      </c>
      <c r="AD681">
        <v>1275.0899999999999</v>
      </c>
      <c r="AE681">
        <f t="shared" si="41"/>
        <v>4.9109009587472822E-3</v>
      </c>
      <c r="AF681">
        <f t="shared" si="41"/>
        <v>-8.830409845420906E-3</v>
      </c>
      <c r="AR681">
        <v>32.563000000000002</v>
      </c>
      <c r="AS681">
        <f t="shared" si="42"/>
        <v>-1.0620333838102959E-2</v>
      </c>
    </row>
    <row r="682" spans="6:45" x14ac:dyDescent="0.2">
      <c r="F682">
        <v>12.625</v>
      </c>
      <c r="AB682" s="29">
        <v>36167</v>
      </c>
      <c r="AC682">
        <v>12.625</v>
      </c>
      <c r="AD682">
        <v>1269.73</v>
      </c>
      <c r="AE682">
        <f t="shared" si="41"/>
        <v>-2.458465094872588E-3</v>
      </c>
      <c r="AF682">
        <f t="shared" si="41"/>
        <v>4.2124849113970332E-3</v>
      </c>
      <c r="AR682">
        <v>31</v>
      </c>
      <c r="AS682">
        <f t="shared" si="42"/>
        <v>4.9189469996923724E-2</v>
      </c>
    </row>
    <row r="683" spans="6:45" x14ac:dyDescent="0.2">
      <c r="F683">
        <v>12.563000000000001</v>
      </c>
      <c r="AB683" s="29">
        <v>36166</v>
      </c>
      <c r="AC683">
        <v>12.563000000000001</v>
      </c>
      <c r="AD683">
        <v>1272.3399999999999</v>
      </c>
      <c r="AE683">
        <f t="shared" si="41"/>
        <v>4.9229891391427243E-3</v>
      </c>
      <c r="AF683">
        <f t="shared" si="41"/>
        <v>-2.0534453552565695E-3</v>
      </c>
      <c r="AR683">
        <v>29.719000000000001</v>
      </c>
      <c r="AS683">
        <f t="shared" si="42"/>
        <v>4.2200632577178085E-2</v>
      </c>
    </row>
    <row r="684" spans="6:45" x14ac:dyDescent="0.2">
      <c r="F684">
        <v>12.343999999999999</v>
      </c>
      <c r="AB684" s="29">
        <v>36165</v>
      </c>
      <c r="AC684">
        <v>12.343999999999999</v>
      </c>
      <c r="AD684">
        <v>1244.78</v>
      </c>
      <c r="AE684">
        <f t="shared" si="41"/>
        <v>1.7585870961421276E-2</v>
      </c>
      <c r="AF684">
        <f t="shared" si="41"/>
        <v>2.189891732344024E-2</v>
      </c>
      <c r="AR684">
        <v>29.5</v>
      </c>
      <c r="AS684">
        <f t="shared" si="42"/>
        <v>7.3963085621940637E-3</v>
      </c>
    </row>
    <row r="685" spans="6:45" x14ac:dyDescent="0.2">
      <c r="F685">
        <v>12.718999999999999</v>
      </c>
      <c r="AB685" s="29">
        <v>36164</v>
      </c>
      <c r="AC685">
        <v>12.718999999999999</v>
      </c>
      <c r="AD685">
        <v>1228.0999999999999</v>
      </c>
      <c r="AE685">
        <f t="shared" si="41"/>
        <v>-2.9926823408487672E-2</v>
      </c>
      <c r="AF685">
        <f t="shared" si="41"/>
        <v>1.3490547840669578E-2</v>
      </c>
      <c r="AR685">
        <v>29.625</v>
      </c>
      <c r="AS685">
        <f t="shared" si="42"/>
        <v>-4.2283361095210642E-3</v>
      </c>
    </row>
    <row r="686" spans="6:45" x14ac:dyDescent="0.2">
      <c r="F686">
        <v>12.843999999999999</v>
      </c>
      <c r="AB686" s="29">
        <v>36160</v>
      </c>
      <c r="AC686">
        <v>12.843999999999999</v>
      </c>
      <c r="AD686">
        <v>1229.23</v>
      </c>
      <c r="AE686">
        <f t="shared" si="41"/>
        <v>-9.7798377579200613E-3</v>
      </c>
      <c r="AF686">
        <f t="shared" si="41"/>
        <v>-9.1969745996695268E-4</v>
      </c>
      <c r="AR686">
        <v>28.530999999999999</v>
      </c>
      <c r="AS686">
        <f t="shared" si="42"/>
        <v>3.7627384020457982E-2</v>
      </c>
    </row>
    <row r="687" spans="6:45" x14ac:dyDescent="0.2">
      <c r="F687">
        <v>12.781000000000001</v>
      </c>
      <c r="AB687" s="29">
        <v>36159</v>
      </c>
      <c r="AC687">
        <v>12.781000000000001</v>
      </c>
      <c r="AD687">
        <v>1231.93</v>
      </c>
      <c r="AE687">
        <f t="shared" si="41"/>
        <v>4.9170830776901842E-3</v>
      </c>
      <c r="AF687">
        <f t="shared" si="41"/>
        <v>-2.1940882211275207E-3</v>
      </c>
      <c r="AR687">
        <v>28.312999999999999</v>
      </c>
      <c r="AS687">
        <f t="shared" si="42"/>
        <v>7.6701523033710908E-3</v>
      </c>
    </row>
    <row r="688" spans="6:45" x14ac:dyDescent="0.2">
      <c r="F688">
        <v>12.968999999999999</v>
      </c>
      <c r="AB688" s="29">
        <v>36158</v>
      </c>
      <c r="AC688">
        <v>12.968999999999999</v>
      </c>
      <c r="AD688">
        <v>1241.81</v>
      </c>
      <c r="AE688">
        <f t="shared" si="41"/>
        <v>-1.4602201204026966E-2</v>
      </c>
      <c r="AF688">
        <f t="shared" si="41"/>
        <v>-7.9879474274777654E-3</v>
      </c>
      <c r="AR688">
        <v>28.655999999999999</v>
      </c>
      <c r="AS688">
        <f t="shared" si="42"/>
        <v>-1.2041782186889812E-2</v>
      </c>
    </row>
    <row r="689" spans="6:45" x14ac:dyDescent="0.2">
      <c r="F689">
        <v>11.968999999999999</v>
      </c>
      <c r="AB689" s="29">
        <v>36157</v>
      </c>
      <c r="AC689">
        <v>11.968999999999999</v>
      </c>
      <c r="AD689">
        <v>1225.49</v>
      </c>
      <c r="AE689">
        <f t="shared" si="41"/>
        <v>8.0241920462371094E-2</v>
      </c>
      <c r="AF689">
        <f t="shared" si="41"/>
        <v>1.3229228724756412E-2</v>
      </c>
      <c r="AR689">
        <v>28.562999999999999</v>
      </c>
      <c r="AS689">
        <f t="shared" si="42"/>
        <v>3.2506713466919556E-3</v>
      </c>
    </row>
    <row r="690" spans="6:45" x14ac:dyDescent="0.2">
      <c r="F690">
        <v>11.781000000000001</v>
      </c>
      <c r="AB690" s="29">
        <v>36153</v>
      </c>
      <c r="AC690">
        <v>11.781000000000001</v>
      </c>
      <c r="AD690">
        <v>1226.27</v>
      </c>
      <c r="AE690">
        <f t="shared" si="41"/>
        <v>1.5831909627251155E-2</v>
      </c>
      <c r="AF690">
        <f t="shared" si="41"/>
        <v>-6.3627763428325773E-4</v>
      </c>
      <c r="AR690">
        <v>29.155999999999999</v>
      </c>
      <c r="AS690">
        <f t="shared" si="42"/>
        <v>-2.0548549548302493E-2</v>
      </c>
    </row>
    <row r="691" spans="6:45" x14ac:dyDescent="0.2">
      <c r="F691">
        <v>11.25</v>
      </c>
      <c r="AB691" s="29">
        <v>36152</v>
      </c>
      <c r="AC691">
        <v>11.25</v>
      </c>
      <c r="AD691">
        <v>1228.54</v>
      </c>
      <c r="AE691">
        <f t="shared" si="41"/>
        <v>4.6119935613553244E-2</v>
      </c>
      <c r="AF691">
        <f t="shared" si="41"/>
        <v>-1.8494308292898315E-3</v>
      </c>
      <c r="AR691">
        <v>29.344000000000001</v>
      </c>
      <c r="AS691">
        <f t="shared" si="42"/>
        <v>-6.4273725540879107E-3</v>
      </c>
    </row>
    <row r="692" spans="6:45" x14ac:dyDescent="0.2">
      <c r="F692">
        <v>11.5</v>
      </c>
      <c r="AB692" s="29">
        <v>36151</v>
      </c>
      <c r="AC692">
        <v>11.5</v>
      </c>
      <c r="AD692">
        <v>1203.57</v>
      </c>
      <c r="AE692">
        <f t="shared" si="41"/>
        <v>-2.197890671877523E-2</v>
      </c>
      <c r="AF692">
        <f t="shared" si="41"/>
        <v>2.0534332242802881E-2</v>
      </c>
      <c r="AR692">
        <v>28.687999999999999</v>
      </c>
      <c r="AS692">
        <f t="shared" si="42"/>
        <v>2.2609179211277367E-2</v>
      </c>
    </row>
    <row r="693" spans="6:45" x14ac:dyDescent="0.2">
      <c r="F693">
        <v>11.281000000000001</v>
      </c>
      <c r="AB693" s="29">
        <v>36150</v>
      </c>
      <c r="AC693">
        <v>11.281000000000001</v>
      </c>
      <c r="AD693">
        <v>1202.8399999999999</v>
      </c>
      <c r="AE693">
        <f t="shared" si="41"/>
        <v>1.9227140746420981E-2</v>
      </c>
      <c r="AF693">
        <f t="shared" si="41"/>
        <v>6.0671292289577827E-4</v>
      </c>
      <c r="AR693">
        <v>28.437999999999999</v>
      </c>
      <c r="AS693">
        <f t="shared" si="42"/>
        <v>8.752637888594263E-3</v>
      </c>
    </row>
    <row r="694" spans="6:45" x14ac:dyDescent="0.2">
      <c r="F694">
        <v>11.25</v>
      </c>
      <c r="AB694" s="29">
        <v>36147</v>
      </c>
      <c r="AC694">
        <v>11.25</v>
      </c>
      <c r="AD694">
        <v>1188.03</v>
      </c>
      <c r="AE694">
        <f t="shared" si="41"/>
        <v>2.7517659723541956E-3</v>
      </c>
      <c r="AF694">
        <f t="shared" si="41"/>
        <v>1.2388954169025758E-2</v>
      </c>
      <c r="AR694">
        <v>28.062999999999999</v>
      </c>
      <c r="AS694">
        <f t="shared" si="42"/>
        <v>1.3274296258499444E-2</v>
      </c>
    </row>
    <row r="695" spans="6:45" x14ac:dyDescent="0.2">
      <c r="F695">
        <v>11.093999999999999</v>
      </c>
      <c r="AB695" s="29">
        <v>36146</v>
      </c>
      <c r="AC695">
        <v>11.093999999999999</v>
      </c>
      <c r="AD695">
        <v>1179.98</v>
      </c>
      <c r="AE695">
        <f t="shared" si="41"/>
        <v>1.3963707017386459E-2</v>
      </c>
      <c r="AF695">
        <f t="shared" si="41"/>
        <v>6.7989839654735724E-3</v>
      </c>
      <c r="AR695">
        <v>27.937999999999999</v>
      </c>
      <c r="AS695">
        <f t="shared" si="42"/>
        <v>4.4642134103241105E-3</v>
      </c>
    </row>
    <row r="696" spans="6:45" x14ac:dyDescent="0.2">
      <c r="F696">
        <v>11.125</v>
      </c>
      <c r="AB696" s="29">
        <v>36145</v>
      </c>
      <c r="AC696">
        <v>11.125</v>
      </c>
      <c r="AD696">
        <v>1161.94</v>
      </c>
      <c r="AE696">
        <f t="shared" si="41"/>
        <v>-2.790406419261138E-3</v>
      </c>
      <c r="AF696">
        <f t="shared" si="41"/>
        <v>1.5406467196687272E-2</v>
      </c>
      <c r="AR696">
        <v>27.562999999999999</v>
      </c>
      <c r="AS696">
        <f t="shared" si="42"/>
        <v>1.3513475673263782E-2</v>
      </c>
    </row>
    <row r="697" spans="6:45" x14ac:dyDescent="0.2">
      <c r="F697">
        <v>10.625</v>
      </c>
      <c r="AB697" s="29">
        <v>36144</v>
      </c>
      <c r="AC697">
        <v>10.625</v>
      </c>
      <c r="AD697">
        <v>1162.83</v>
      </c>
      <c r="AE697">
        <f t="shared" si="41"/>
        <v>4.5985113241823437E-2</v>
      </c>
      <c r="AF697">
        <f t="shared" si="41"/>
        <v>-7.6566717867125079E-4</v>
      </c>
      <c r="AR697">
        <v>26.719000000000001</v>
      </c>
      <c r="AS697">
        <f t="shared" si="42"/>
        <v>3.1099370813689322E-2</v>
      </c>
    </row>
    <row r="698" spans="6:45" x14ac:dyDescent="0.2">
      <c r="F698">
        <v>9.4060000000000006</v>
      </c>
      <c r="AB698" s="29">
        <v>36143</v>
      </c>
      <c r="AC698">
        <v>9.4060000000000006</v>
      </c>
      <c r="AD698">
        <v>1141.2</v>
      </c>
      <c r="AE698">
        <f t="shared" si="41"/>
        <v>0.12186193128762424</v>
      </c>
      <c r="AF698">
        <f t="shared" si="41"/>
        <v>1.8776348806168575E-2</v>
      </c>
      <c r="AR698">
        <v>26.937999999999999</v>
      </c>
      <c r="AS698">
        <f t="shared" si="42"/>
        <v>-8.163006358217045E-3</v>
      </c>
    </row>
    <row r="699" spans="6:45" x14ac:dyDescent="0.2">
      <c r="F699">
        <v>9.625</v>
      </c>
      <c r="AB699" s="29">
        <v>36140</v>
      </c>
      <c r="AC699">
        <v>9.625</v>
      </c>
      <c r="AD699">
        <v>1166.46</v>
      </c>
      <c r="AE699">
        <f t="shared" si="41"/>
        <v>-2.3016096650991677E-2</v>
      </c>
      <c r="AF699">
        <f t="shared" si="41"/>
        <v>-2.1893180921258488E-2</v>
      </c>
      <c r="AR699">
        <v>27</v>
      </c>
      <c r="AS699">
        <f t="shared" si="42"/>
        <v>-2.2989368277060158E-3</v>
      </c>
    </row>
    <row r="700" spans="6:45" x14ac:dyDescent="0.2">
      <c r="F700">
        <v>9.8439999999999994</v>
      </c>
      <c r="AB700" s="29">
        <v>36139</v>
      </c>
      <c r="AC700">
        <v>9.8439999999999994</v>
      </c>
      <c r="AD700">
        <v>1165.02</v>
      </c>
      <c r="AE700">
        <f t="shared" si="41"/>
        <v>-2.2498252354961397E-2</v>
      </c>
      <c r="AF700">
        <f t="shared" si="41"/>
        <v>1.2352670261860284E-3</v>
      </c>
      <c r="AR700">
        <v>27.094000000000001</v>
      </c>
      <c r="AS700">
        <f t="shared" si="42"/>
        <v>-3.475435154215637E-3</v>
      </c>
    </row>
    <row r="701" spans="6:45" x14ac:dyDescent="0.2">
      <c r="F701">
        <v>9.6560000000000006</v>
      </c>
      <c r="AB701" s="29">
        <v>36138</v>
      </c>
      <c r="AC701">
        <v>9.6560000000000006</v>
      </c>
      <c r="AD701">
        <v>1183.49</v>
      </c>
      <c r="AE701">
        <f t="shared" si="41"/>
        <v>1.9282648733579041E-2</v>
      </c>
      <c r="AF701">
        <f t="shared" si="41"/>
        <v>-1.5729446169770962E-2</v>
      </c>
      <c r="AR701">
        <v>27.219000000000001</v>
      </c>
      <c r="AS701">
        <f t="shared" si="42"/>
        <v>-4.602957697056923E-3</v>
      </c>
    </row>
    <row r="702" spans="6:45" x14ac:dyDescent="0.2">
      <c r="F702">
        <v>9.8439999999999994</v>
      </c>
      <c r="AB702" s="29">
        <v>36137</v>
      </c>
      <c r="AC702">
        <v>9.8439999999999994</v>
      </c>
      <c r="AD702">
        <v>1181.3800000000001</v>
      </c>
      <c r="AE702">
        <f t="shared" si="41"/>
        <v>-1.9282648733578933E-2</v>
      </c>
      <c r="AF702">
        <f t="shared" si="41"/>
        <v>1.7844537415599758E-3</v>
      </c>
      <c r="AR702">
        <v>27.155999999999999</v>
      </c>
      <c r="AS702">
        <f t="shared" si="42"/>
        <v>2.3172424162010812E-3</v>
      </c>
    </row>
    <row r="703" spans="6:45" x14ac:dyDescent="0.2">
      <c r="F703">
        <v>9.7189999999999994</v>
      </c>
      <c r="AB703" s="29">
        <v>36136</v>
      </c>
      <c r="AC703">
        <v>9.7189999999999994</v>
      </c>
      <c r="AD703">
        <v>1187.7</v>
      </c>
      <c r="AE703">
        <f t="shared" si="41"/>
        <v>1.2779400007475974E-2</v>
      </c>
      <c r="AF703">
        <f t="shared" si="41"/>
        <v>-5.3354171175663337E-3</v>
      </c>
      <c r="AR703">
        <v>27.030999999999999</v>
      </c>
      <c r="AS703">
        <f t="shared" si="42"/>
        <v>4.6136609049293462E-3</v>
      </c>
    </row>
    <row r="704" spans="6:45" x14ac:dyDescent="0.2">
      <c r="F704">
        <v>10</v>
      </c>
      <c r="AB704" s="29">
        <v>36133</v>
      </c>
      <c r="AC704">
        <v>10</v>
      </c>
      <c r="AD704">
        <v>1176.74</v>
      </c>
      <c r="AE704">
        <f t="shared" si="41"/>
        <v>-2.8502360472712152E-2</v>
      </c>
      <c r="AF704">
        <f t="shared" si="41"/>
        <v>9.2707605167804547E-3</v>
      </c>
      <c r="AR704">
        <v>27.375</v>
      </c>
      <c r="AS704">
        <f t="shared" si="42"/>
        <v>-1.2645832602193624E-2</v>
      </c>
    </row>
    <row r="705" spans="6:45" x14ac:dyDescent="0.2">
      <c r="F705">
        <v>10.188000000000001</v>
      </c>
      <c r="AB705" s="29">
        <v>36132</v>
      </c>
      <c r="AC705">
        <v>10.188000000000001</v>
      </c>
      <c r="AD705">
        <v>1150.1400000000001</v>
      </c>
      <c r="AE705">
        <f t="shared" si="41"/>
        <v>-1.8625464123164986E-2</v>
      </c>
      <c r="AF705">
        <f t="shared" si="41"/>
        <v>2.2864229185290248E-2</v>
      </c>
      <c r="AR705">
        <v>25.937999999999999</v>
      </c>
      <c r="AS705">
        <f t="shared" si="42"/>
        <v>5.3921113223115137E-2</v>
      </c>
    </row>
    <row r="706" spans="6:45" x14ac:dyDescent="0.2">
      <c r="F706">
        <v>10.688000000000001</v>
      </c>
      <c r="AB706" s="29">
        <v>36131</v>
      </c>
      <c r="AC706">
        <v>10.688000000000001</v>
      </c>
      <c r="AD706">
        <v>1171.25</v>
      </c>
      <c r="AE706">
        <f t="shared" si="41"/>
        <v>-4.791105967707928E-2</v>
      </c>
      <c r="AF706">
        <f t="shared" si="41"/>
        <v>-1.8187880474507933E-2</v>
      </c>
      <c r="AR706">
        <v>25.905999999999999</v>
      </c>
      <c r="AS706">
        <f t="shared" si="42"/>
        <v>1.2344728054855536E-3</v>
      </c>
    </row>
    <row r="707" spans="6:45" x14ac:dyDescent="0.2">
      <c r="F707">
        <v>10.593999999999999</v>
      </c>
      <c r="AB707" s="29">
        <v>36130</v>
      </c>
      <c r="AC707">
        <v>10.593999999999999</v>
      </c>
      <c r="AD707">
        <v>1175.28</v>
      </c>
      <c r="AE707">
        <f t="shared" si="41"/>
        <v>8.8338136719549858E-3</v>
      </c>
      <c r="AF707">
        <f t="shared" si="41"/>
        <v>-3.4348625095396209E-3</v>
      </c>
      <c r="AR707">
        <v>26.344000000000001</v>
      </c>
      <c r="AS707">
        <f t="shared" si="42"/>
        <v>-1.6765942965999023E-2</v>
      </c>
    </row>
    <row r="708" spans="6:45" x14ac:dyDescent="0.2">
      <c r="F708">
        <v>11.313000000000001</v>
      </c>
      <c r="AB708" s="29">
        <v>36129</v>
      </c>
      <c r="AC708">
        <v>11.313000000000001</v>
      </c>
      <c r="AD708">
        <v>1163.6300000000001</v>
      </c>
      <c r="AE708">
        <f t="shared" si="41"/>
        <v>-6.5664703821994908E-2</v>
      </c>
      <c r="AF708">
        <f t="shared" si="41"/>
        <v>9.9619877177872778E-3</v>
      </c>
      <c r="AR708">
        <v>26.25</v>
      </c>
      <c r="AS708">
        <f t="shared" si="42"/>
        <v>3.574556036430488E-3</v>
      </c>
    </row>
    <row r="709" spans="6:45" x14ac:dyDescent="0.2">
      <c r="F709">
        <v>11.5</v>
      </c>
      <c r="AB709" s="29">
        <v>36126</v>
      </c>
      <c r="AC709">
        <v>11.5</v>
      </c>
      <c r="AD709">
        <v>1192.33</v>
      </c>
      <c r="AE709">
        <f t="shared" si="41"/>
        <v>-1.6394528424874565E-2</v>
      </c>
      <c r="AF709">
        <f t="shared" si="41"/>
        <v>-2.436494660381228E-2</v>
      </c>
      <c r="AR709">
        <v>27.094000000000001</v>
      </c>
      <c r="AS709">
        <f t="shared" si="42"/>
        <v>-3.1646312120911943E-2</v>
      </c>
    </row>
    <row r="710" spans="6:45" x14ac:dyDescent="0.2">
      <c r="F710">
        <v>11.468999999999999</v>
      </c>
      <c r="AB710" s="29">
        <v>36124</v>
      </c>
      <c r="AC710">
        <v>11.468999999999999</v>
      </c>
      <c r="AD710">
        <v>1186.8699999999999</v>
      </c>
      <c r="AE710">
        <f t="shared" si="41"/>
        <v>2.6992919868189988E-3</v>
      </c>
      <c r="AF710">
        <f t="shared" si="41"/>
        <v>4.5897861340694016E-3</v>
      </c>
      <c r="AR710">
        <v>27.469000000000001</v>
      </c>
      <c r="AS710">
        <f t="shared" si="42"/>
        <v>-1.3745794936911766E-2</v>
      </c>
    </row>
    <row r="711" spans="6:45" x14ac:dyDescent="0.2">
      <c r="F711">
        <v>11.593999999999999</v>
      </c>
      <c r="AB711" s="29">
        <v>36123</v>
      </c>
      <c r="AC711">
        <v>11.593999999999999</v>
      </c>
      <c r="AD711">
        <v>1182.99</v>
      </c>
      <c r="AE711">
        <f t="shared" si="41"/>
        <v>-1.0839979535155659E-2</v>
      </c>
      <c r="AF711">
        <f t="shared" si="41"/>
        <v>3.2744579568442268E-3</v>
      </c>
      <c r="AR711">
        <v>28</v>
      </c>
      <c r="AS711">
        <f t="shared" si="42"/>
        <v>-1.914641407974748E-2</v>
      </c>
    </row>
    <row r="712" spans="6:45" x14ac:dyDescent="0.2">
      <c r="F712">
        <v>12.218999999999999</v>
      </c>
      <c r="AB712" s="29">
        <v>36122</v>
      </c>
      <c r="AC712">
        <v>12.218999999999999</v>
      </c>
      <c r="AD712">
        <v>1188.21</v>
      </c>
      <c r="AE712">
        <f t="shared" si="41"/>
        <v>-5.2504394416844048E-2</v>
      </c>
      <c r="AF712">
        <f t="shared" si="41"/>
        <v>-4.4028411205099659E-3</v>
      </c>
      <c r="AR712">
        <v>28.155999999999999</v>
      </c>
      <c r="AS712">
        <f t="shared" si="42"/>
        <v>-5.5559655706812518E-3</v>
      </c>
    </row>
    <row r="713" spans="6:45" x14ac:dyDescent="0.2">
      <c r="F713">
        <v>12.563000000000001</v>
      </c>
      <c r="AB713" s="29">
        <v>36119</v>
      </c>
      <c r="AC713">
        <v>12.563000000000001</v>
      </c>
      <c r="AD713">
        <v>1163.55</v>
      </c>
      <c r="AE713">
        <f t="shared" si="41"/>
        <v>-2.7763868687895678E-2</v>
      </c>
      <c r="AF713">
        <f t="shared" si="41"/>
        <v>2.0972296372802894E-2</v>
      </c>
      <c r="AR713">
        <v>27.812999999999999</v>
      </c>
      <c r="AS713">
        <f t="shared" si="42"/>
        <v>1.2256938452930237E-2</v>
      </c>
    </row>
    <row r="714" spans="6:45" x14ac:dyDescent="0.2">
      <c r="F714">
        <v>12.531000000000001</v>
      </c>
      <c r="AB714" s="29">
        <v>36118</v>
      </c>
      <c r="AC714">
        <v>12.531000000000001</v>
      </c>
      <c r="AD714">
        <v>1152.6099999999999</v>
      </c>
      <c r="AE714">
        <f t="shared" si="41"/>
        <v>2.5504118391327262E-3</v>
      </c>
      <c r="AF714">
        <f t="shared" si="41"/>
        <v>9.4467406032745019E-3</v>
      </c>
      <c r="AR714">
        <v>27.562999999999999</v>
      </c>
      <c r="AS714">
        <f t="shared" si="42"/>
        <v>9.0292436608596562E-3</v>
      </c>
    </row>
    <row r="715" spans="6:45" x14ac:dyDescent="0.2">
      <c r="F715">
        <v>12.813000000000001</v>
      </c>
      <c r="AB715" s="29">
        <v>36117</v>
      </c>
      <c r="AC715">
        <v>12.813000000000001</v>
      </c>
      <c r="AD715">
        <v>1144.48</v>
      </c>
      <c r="AE715">
        <f t="shared" si="41"/>
        <v>-2.2254706344291202E-2</v>
      </c>
      <c r="AF715">
        <f t="shared" si="41"/>
        <v>7.0785506416418719E-3</v>
      </c>
      <c r="AR715">
        <v>27.5</v>
      </c>
      <c r="AS715">
        <f t="shared" si="42"/>
        <v>2.2882889595698323E-3</v>
      </c>
    </row>
    <row r="716" spans="6:45" x14ac:dyDescent="0.2">
      <c r="F716">
        <v>13.093999999999999</v>
      </c>
      <c r="AB716" s="29">
        <v>36116</v>
      </c>
      <c r="AC716">
        <v>13.093999999999999</v>
      </c>
      <c r="AD716">
        <v>1139.32</v>
      </c>
      <c r="AE716">
        <f t="shared" si="41"/>
        <v>-2.1693829491460353E-2</v>
      </c>
      <c r="AF716">
        <f t="shared" si="41"/>
        <v>4.518792171271299E-3</v>
      </c>
      <c r="AR716">
        <v>26.969000000000001</v>
      </c>
      <c r="AS716">
        <f t="shared" si="42"/>
        <v>1.9497946443377715E-2</v>
      </c>
    </row>
    <row r="717" spans="6:45" x14ac:dyDescent="0.2">
      <c r="F717">
        <v>13.156000000000001</v>
      </c>
      <c r="AB717" s="29">
        <v>36115</v>
      </c>
      <c r="AC717">
        <v>13.156000000000001</v>
      </c>
      <c r="AD717">
        <v>1135.8699999999999</v>
      </c>
      <c r="AE717">
        <f t="shared" si="41"/>
        <v>-4.7238183079110303E-3</v>
      </c>
      <c r="AF717">
        <f t="shared" si="41"/>
        <v>3.0327160757938313E-3</v>
      </c>
      <c r="AR717">
        <v>27.405999999999999</v>
      </c>
      <c r="AS717">
        <f t="shared" si="42"/>
        <v>-1.6073909294861348E-2</v>
      </c>
    </row>
    <row r="718" spans="6:45" x14ac:dyDescent="0.2">
      <c r="F718">
        <v>13.156000000000001</v>
      </c>
      <c r="AB718" s="29">
        <v>36112</v>
      </c>
      <c r="AC718">
        <v>13.156000000000001</v>
      </c>
      <c r="AD718">
        <v>1125.72</v>
      </c>
      <c r="AE718">
        <f t="shared" si="41"/>
        <v>0</v>
      </c>
      <c r="AF718">
        <f t="shared" si="41"/>
        <v>8.9760461871488464E-3</v>
      </c>
      <c r="AR718">
        <v>27.030999999999999</v>
      </c>
      <c r="AS718">
        <f t="shared" si="42"/>
        <v>1.3777611989537813E-2</v>
      </c>
    </row>
    <row r="719" spans="6:45" x14ac:dyDescent="0.2">
      <c r="F719">
        <v>13.281000000000001</v>
      </c>
      <c r="AB719" s="29">
        <v>36111</v>
      </c>
      <c r="AC719">
        <v>13.281000000000001</v>
      </c>
      <c r="AD719">
        <v>1117.69</v>
      </c>
      <c r="AE719">
        <f t="shared" si="41"/>
        <v>-9.4565140913031465E-3</v>
      </c>
      <c r="AF719">
        <f t="shared" si="41"/>
        <v>7.1587755189366116E-3</v>
      </c>
      <c r="AR719">
        <v>27.437999999999999</v>
      </c>
      <c r="AS719">
        <f t="shared" si="42"/>
        <v>-1.4944558369501804E-2</v>
      </c>
    </row>
    <row r="720" spans="6:45" x14ac:dyDescent="0.2">
      <c r="F720">
        <v>13.25</v>
      </c>
      <c r="AB720" s="29">
        <v>36110</v>
      </c>
      <c r="AC720">
        <v>13.25</v>
      </c>
      <c r="AD720">
        <v>1120.97</v>
      </c>
      <c r="AE720">
        <f t="shared" si="41"/>
        <v>2.3368899858825683E-3</v>
      </c>
      <c r="AF720">
        <f t="shared" si="41"/>
        <v>-2.9303264873289897E-3</v>
      </c>
      <c r="AR720">
        <v>27.5</v>
      </c>
      <c r="AS720">
        <f t="shared" si="42"/>
        <v>-2.2570907685525287E-3</v>
      </c>
    </row>
    <row r="721" spans="6:45" x14ac:dyDescent="0.2">
      <c r="F721">
        <v>13.188000000000001</v>
      </c>
      <c r="AB721" s="29">
        <v>36109</v>
      </c>
      <c r="AC721">
        <v>13.188000000000001</v>
      </c>
      <c r="AD721">
        <v>1128.26</v>
      </c>
      <c r="AE721">
        <f t="shared" ref="AE721:AF784" si="43">LN(AC720/AC721)</f>
        <v>4.6902272227465147E-3</v>
      </c>
      <c r="AF721">
        <f t="shared" si="43"/>
        <v>-6.4822410574262466E-3</v>
      </c>
      <c r="AR721">
        <v>28.219000000000001</v>
      </c>
      <c r="AS721">
        <f t="shared" ref="AS721:AS771" si="44">LN(AR720/AR721)</f>
        <v>-2.5809505263185994E-2</v>
      </c>
    </row>
    <row r="722" spans="6:45" x14ac:dyDescent="0.2">
      <c r="F722">
        <v>13.218999999999999</v>
      </c>
      <c r="AB722" s="29">
        <v>36108</v>
      </c>
      <c r="AC722">
        <v>13.218999999999999</v>
      </c>
      <c r="AD722">
        <v>1130.2</v>
      </c>
      <c r="AE722">
        <f t="shared" si="43"/>
        <v>-2.3478633877778879E-3</v>
      </c>
      <c r="AF722">
        <f t="shared" si="43"/>
        <v>-1.7179852440644709E-3</v>
      </c>
      <c r="AR722">
        <v>29.155999999999999</v>
      </c>
      <c r="AS722">
        <f t="shared" si="44"/>
        <v>-3.2665213584254851E-2</v>
      </c>
    </row>
    <row r="723" spans="6:45" x14ac:dyDescent="0.2">
      <c r="F723">
        <v>13.375</v>
      </c>
      <c r="AB723" s="29">
        <v>36105</v>
      </c>
      <c r="AC723">
        <v>13.375</v>
      </c>
      <c r="AD723">
        <v>1141.01</v>
      </c>
      <c r="AE723">
        <f t="shared" si="43"/>
        <v>-1.1732104184807723E-2</v>
      </c>
      <c r="AF723">
        <f t="shared" si="43"/>
        <v>-9.519226869819937E-3</v>
      </c>
      <c r="AR723">
        <v>27.905999999999999</v>
      </c>
      <c r="AS723">
        <f t="shared" si="44"/>
        <v>4.3819004049951656E-2</v>
      </c>
    </row>
    <row r="724" spans="6:45" x14ac:dyDescent="0.2">
      <c r="F724">
        <v>13.531000000000001</v>
      </c>
      <c r="AB724" s="29">
        <v>36104</v>
      </c>
      <c r="AC724">
        <v>13.531000000000001</v>
      </c>
      <c r="AD724">
        <v>1133.8499999999999</v>
      </c>
      <c r="AE724">
        <f t="shared" si="43"/>
        <v>-1.1596056499436909E-2</v>
      </c>
      <c r="AF724">
        <f t="shared" si="43"/>
        <v>6.2949136592676857E-3</v>
      </c>
      <c r="AR724">
        <v>28</v>
      </c>
      <c r="AS724">
        <f t="shared" si="44"/>
        <v>-3.3627907051890517E-3</v>
      </c>
    </row>
    <row r="725" spans="6:45" x14ac:dyDescent="0.2">
      <c r="F725">
        <v>13.093999999999999</v>
      </c>
      <c r="AB725" s="29">
        <v>36103</v>
      </c>
      <c r="AC725">
        <v>13.093999999999999</v>
      </c>
      <c r="AD725">
        <v>1118.67</v>
      </c>
      <c r="AE725">
        <f t="shared" si="43"/>
        <v>3.2829239262607619E-2</v>
      </c>
      <c r="AF725">
        <f t="shared" si="43"/>
        <v>1.3478441753964411E-2</v>
      </c>
      <c r="AR725">
        <v>28.062999999999999</v>
      </c>
      <c r="AS725">
        <f t="shared" si="44"/>
        <v>-2.2474725404792086E-3</v>
      </c>
    </row>
    <row r="726" spans="6:45" x14ac:dyDescent="0.2">
      <c r="F726">
        <v>12.718999999999999</v>
      </c>
      <c r="AB726" s="29">
        <v>36102</v>
      </c>
      <c r="AC726">
        <v>12.718999999999999</v>
      </c>
      <c r="AD726">
        <v>1110.8399999999999</v>
      </c>
      <c r="AE726">
        <f t="shared" si="43"/>
        <v>2.905717154955214E-2</v>
      </c>
      <c r="AF726">
        <f t="shared" si="43"/>
        <v>7.0239937852107411E-3</v>
      </c>
      <c r="AR726">
        <v>27.530999999999999</v>
      </c>
      <c r="AS726">
        <f t="shared" si="44"/>
        <v>1.9139340210697506E-2</v>
      </c>
    </row>
    <row r="727" spans="6:45" x14ac:dyDescent="0.2">
      <c r="F727">
        <v>12.625</v>
      </c>
      <c r="AB727" s="29">
        <v>36101</v>
      </c>
      <c r="AC727">
        <v>12.625</v>
      </c>
      <c r="AD727">
        <v>1111.5999999999999</v>
      </c>
      <c r="AE727">
        <f t="shared" si="43"/>
        <v>7.4179633079239221E-3</v>
      </c>
      <c r="AF727">
        <f t="shared" si="43"/>
        <v>-6.8393300122839256E-4</v>
      </c>
      <c r="AR727">
        <v>26.844000000000001</v>
      </c>
      <c r="AS727">
        <f t="shared" si="44"/>
        <v>2.5270310208992754E-2</v>
      </c>
    </row>
    <row r="728" spans="6:45" x14ac:dyDescent="0.2">
      <c r="F728">
        <v>12.625</v>
      </c>
      <c r="AB728" s="29">
        <v>36098</v>
      </c>
      <c r="AC728">
        <v>12.625</v>
      </c>
      <c r="AD728">
        <v>1098.67</v>
      </c>
      <c r="AE728">
        <f t="shared" si="43"/>
        <v>0</v>
      </c>
      <c r="AF728">
        <f t="shared" si="43"/>
        <v>1.1700061531115918E-2</v>
      </c>
      <c r="AR728">
        <v>26.375</v>
      </c>
      <c r="AS728">
        <f t="shared" si="44"/>
        <v>1.7625740499762291E-2</v>
      </c>
    </row>
    <row r="729" spans="6:45" x14ac:dyDescent="0.2">
      <c r="F729">
        <v>11.968999999999999</v>
      </c>
      <c r="AB729" s="29">
        <v>36097</v>
      </c>
      <c r="AC729">
        <v>11.968999999999999</v>
      </c>
      <c r="AD729">
        <v>1085.93</v>
      </c>
      <c r="AE729">
        <f t="shared" si="43"/>
        <v>5.3359001270190054E-2</v>
      </c>
      <c r="AF729">
        <f t="shared" si="43"/>
        <v>1.1663594642690903E-2</v>
      </c>
      <c r="AR729">
        <v>26.062999999999999</v>
      </c>
      <c r="AS729">
        <f t="shared" si="44"/>
        <v>1.1899907768955227E-2</v>
      </c>
    </row>
    <row r="730" spans="6:45" x14ac:dyDescent="0.2">
      <c r="F730">
        <v>12.125</v>
      </c>
      <c r="AB730" s="29">
        <v>36096</v>
      </c>
      <c r="AC730">
        <v>12.125</v>
      </c>
      <c r="AD730">
        <v>1068.0899999999999</v>
      </c>
      <c r="AE730">
        <f t="shared" si="43"/>
        <v>-1.2949462932313478E-2</v>
      </c>
      <c r="AF730">
        <f t="shared" si="43"/>
        <v>1.6564756061968819E-2</v>
      </c>
      <c r="AR730">
        <v>25.812999999999999</v>
      </c>
      <c r="AS730">
        <f t="shared" si="44"/>
        <v>9.6384430335802289E-3</v>
      </c>
    </row>
    <row r="731" spans="6:45" x14ac:dyDescent="0.2">
      <c r="F731">
        <v>12.125</v>
      </c>
      <c r="AB731" s="29">
        <v>36095</v>
      </c>
      <c r="AC731">
        <v>12.125</v>
      </c>
      <c r="AD731">
        <v>1065.3399999999999</v>
      </c>
      <c r="AE731">
        <f t="shared" si="43"/>
        <v>0</v>
      </c>
      <c r="AF731">
        <f t="shared" si="43"/>
        <v>2.5780096118196648E-3</v>
      </c>
      <c r="AR731">
        <v>26.094000000000001</v>
      </c>
      <c r="AS731">
        <f t="shared" si="44"/>
        <v>-1.0827161849861409E-2</v>
      </c>
    </row>
    <row r="732" spans="6:45" x14ac:dyDescent="0.2">
      <c r="F732">
        <v>11.938000000000001</v>
      </c>
      <c r="AB732" s="29">
        <v>36094</v>
      </c>
      <c r="AC732">
        <v>11.938000000000001</v>
      </c>
      <c r="AD732">
        <v>1072.32</v>
      </c>
      <c r="AE732">
        <f t="shared" si="43"/>
        <v>1.554284707708874E-2</v>
      </c>
      <c r="AF732">
        <f t="shared" si="43"/>
        <v>-6.5305285281922519E-3</v>
      </c>
      <c r="AR732">
        <v>26</v>
      </c>
      <c r="AS732">
        <f t="shared" si="44"/>
        <v>3.6088648220742648E-3</v>
      </c>
    </row>
    <row r="733" spans="6:45" x14ac:dyDescent="0.2">
      <c r="F733">
        <v>11.343999999999999</v>
      </c>
      <c r="AB733" s="29">
        <v>36091</v>
      </c>
      <c r="AC733">
        <v>11.343999999999999</v>
      </c>
      <c r="AD733">
        <v>1070.67</v>
      </c>
      <c r="AE733">
        <f t="shared" si="43"/>
        <v>5.1037619956686431E-2</v>
      </c>
      <c r="AF733">
        <f t="shared" si="43"/>
        <v>1.5399048302180871E-3</v>
      </c>
      <c r="AR733">
        <v>26.25</v>
      </c>
      <c r="AS733">
        <f t="shared" si="44"/>
        <v>-9.5694510161506725E-3</v>
      </c>
    </row>
    <row r="734" spans="6:45" x14ac:dyDescent="0.2">
      <c r="F734">
        <v>11.125</v>
      </c>
      <c r="AB734" s="29">
        <v>36090</v>
      </c>
      <c r="AC734">
        <v>11.125</v>
      </c>
      <c r="AD734">
        <v>1078.48</v>
      </c>
      <c r="AE734">
        <f t="shared" si="43"/>
        <v>1.9494141737467698E-2</v>
      </c>
      <c r="AF734">
        <f t="shared" si="43"/>
        <v>-7.2680216640812808E-3</v>
      </c>
      <c r="AR734">
        <v>26.062999999999999</v>
      </c>
      <c r="AS734">
        <f t="shared" si="44"/>
        <v>7.1493050103574023E-3</v>
      </c>
    </row>
    <row r="735" spans="6:45" x14ac:dyDescent="0.2">
      <c r="F735">
        <v>10.718999999999999</v>
      </c>
      <c r="AB735" s="29">
        <v>36089</v>
      </c>
      <c r="AC735">
        <v>10.718999999999999</v>
      </c>
      <c r="AD735">
        <v>1069.92</v>
      </c>
      <c r="AE735">
        <f t="shared" si="43"/>
        <v>3.7176960342921589E-2</v>
      </c>
      <c r="AF735">
        <f t="shared" si="43"/>
        <v>7.9687630771401018E-3</v>
      </c>
      <c r="AR735">
        <v>26.375</v>
      </c>
      <c r="AS735">
        <f t="shared" si="44"/>
        <v>-1.1899907768955328E-2</v>
      </c>
    </row>
    <row r="736" spans="6:45" x14ac:dyDescent="0.2">
      <c r="F736">
        <v>10.688000000000001</v>
      </c>
      <c r="AB736" s="29">
        <v>36088</v>
      </c>
      <c r="AC736">
        <v>10.688000000000001</v>
      </c>
      <c r="AD736">
        <v>1063.93</v>
      </c>
      <c r="AE736">
        <f t="shared" si="43"/>
        <v>2.8962509150924375E-3</v>
      </c>
      <c r="AF736">
        <f t="shared" si="43"/>
        <v>5.6142800419852427E-3</v>
      </c>
      <c r="AR736">
        <v>26.469000000000001</v>
      </c>
      <c r="AS736">
        <f t="shared" si="44"/>
        <v>-3.5576451118468338E-3</v>
      </c>
    </row>
    <row r="737" spans="6:45" x14ac:dyDescent="0.2">
      <c r="F737">
        <v>10.75</v>
      </c>
      <c r="AB737" s="29">
        <v>36087</v>
      </c>
      <c r="AC737">
        <v>10.75</v>
      </c>
      <c r="AD737">
        <v>1062.3900000000001</v>
      </c>
      <c r="AE737">
        <f t="shared" si="43"/>
        <v>-5.7841377793818489E-3</v>
      </c>
      <c r="AF737">
        <f t="shared" si="43"/>
        <v>1.4485122364153084E-3</v>
      </c>
      <c r="AR737">
        <v>26.280999999999999</v>
      </c>
      <c r="AS737">
        <f t="shared" si="44"/>
        <v>7.1279922652367047E-3</v>
      </c>
    </row>
    <row r="738" spans="6:45" x14ac:dyDescent="0.2">
      <c r="F738">
        <v>10.968999999999999</v>
      </c>
      <c r="AB738" s="29">
        <v>36084</v>
      </c>
      <c r="AC738">
        <v>10.968999999999999</v>
      </c>
      <c r="AD738">
        <v>1056.42</v>
      </c>
      <c r="AE738">
        <f t="shared" si="43"/>
        <v>-2.016735785552522E-2</v>
      </c>
      <c r="AF738">
        <f t="shared" si="43"/>
        <v>5.6352535608599503E-3</v>
      </c>
      <c r="AR738">
        <v>26.562999999999999</v>
      </c>
      <c r="AS738">
        <f t="shared" si="44"/>
        <v>-1.0673025394046179E-2</v>
      </c>
    </row>
    <row r="739" spans="6:45" x14ac:dyDescent="0.2">
      <c r="F739">
        <v>10.343999999999999</v>
      </c>
      <c r="AB739" s="29">
        <v>36083</v>
      </c>
      <c r="AC739">
        <v>10.343999999999999</v>
      </c>
      <c r="AD739">
        <v>1047.49</v>
      </c>
      <c r="AE739">
        <f t="shared" si="43"/>
        <v>5.866647095964081E-2</v>
      </c>
      <c r="AF739">
        <f t="shared" si="43"/>
        <v>8.4890072550630712E-3</v>
      </c>
      <c r="AR739">
        <v>26.094000000000001</v>
      </c>
      <c r="AS739">
        <f t="shared" si="44"/>
        <v>1.7813867193330574E-2</v>
      </c>
    </row>
    <row r="740" spans="6:45" x14ac:dyDescent="0.2">
      <c r="F740">
        <v>9.8130000000000006</v>
      </c>
      <c r="AB740" s="29">
        <v>36082</v>
      </c>
      <c r="AC740">
        <v>9.8130000000000006</v>
      </c>
      <c r="AD740">
        <v>1005.53</v>
      </c>
      <c r="AE740">
        <f t="shared" si="43"/>
        <v>5.2698604245199683E-2</v>
      </c>
      <c r="AF740">
        <f t="shared" si="43"/>
        <v>4.0882060541183686E-2</v>
      </c>
      <c r="AR740">
        <v>25.655999999999999</v>
      </c>
      <c r="AS740">
        <f t="shared" si="44"/>
        <v>1.6927940452702708E-2</v>
      </c>
    </row>
    <row r="741" spans="6:45" x14ac:dyDescent="0.2">
      <c r="F741">
        <v>9.625</v>
      </c>
      <c r="AB741" s="29">
        <v>36081</v>
      </c>
      <c r="AC741">
        <v>9.625</v>
      </c>
      <c r="AD741">
        <v>994.8</v>
      </c>
      <c r="AE741">
        <f t="shared" si="43"/>
        <v>1.9344157050508608E-2</v>
      </c>
      <c r="AF741">
        <f t="shared" si="43"/>
        <v>1.0728332740911417E-2</v>
      </c>
      <c r="AR741">
        <v>25.594000000000001</v>
      </c>
      <c r="AS741">
        <f t="shared" si="44"/>
        <v>2.4195133754494049E-3</v>
      </c>
    </row>
    <row r="742" spans="6:45" x14ac:dyDescent="0.2">
      <c r="F742">
        <v>9.5310000000000006</v>
      </c>
      <c r="AB742" s="29">
        <v>36080</v>
      </c>
      <c r="AC742">
        <v>9.5310000000000006</v>
      </c>
      <c r="AD742">
        <v>997.71</v>
      </c>
      <c r="AE742">
        <f t="shared" si="43"/>
        <v>9.8142362183590674E-3</v>
      </c>
      <c r="AF742">
        <f t="shared" si="43"/>
        <v>-2.9209409930034142E-3</v>
      </c>
      <c r="AR742">
        <v>25.469000000000001</v>
      </c>
      <c r="AS742">
        <f t="shared" si="44"/>
        <v>4.8959226715240157E-3</v>
      </c>
    </row>
    <row r="743" spans="6:45" x14ac:dyDescent="0.2">
      <c r="F743">
        <v>8.9060000000000006</v>
      </c>
      <c r="AB743" s="29">
        <v>36077</v>
      </c>
      <c r="AC743">
        <v>8.9060000000000006</v>
      </c>
      <c r="AD743">
        <v>984.39</v>
      </c>
      <c r="AE743">
        <f t="shared" si="43"/>
        <v>6.7824437055978098E-2</v>
      </c>
      <c r="AF743">
        <f t="shared" si="43"/>
        <v>1.3440492929115607E-2</v>
      </c>
      <c r="AR743">
        <v>25.687999999999999</v>
      </c>
      <c r="AS743">
        <f t="shared" si="44"/>
        <v>-8.5619304433324737E-3</v>
      </c>
    </row>
    <row r="744" spans="6:45" x14ac:dyDescent="0.2">
      <c r="F744">
        <v>9.375</v>
      </c>
      <c r="AB744" s="29">
        <v>36076</v>
      </c>
      <c r="AC744">
        <v>9.375</v>
      </c>
      <c r="AD744">
        <v>959.44</v>
      </c>
      <c r="AE744">
        <f t="shared" si="43"/>
        <v>-5.1321364956963759E-2</v>
      </c>
      <c r="AF744">
        <f t="shared" si="43"/>
        <v>2.5672379069671687E-2</v>
      </c>
      <c r="AR744">
        <v>25.687999999999999</v>
      </c>
      <c r="AS744">
        <f t="shared" si="44"/>
        <v>0</v>
      </c>
    </row>
    <row r="745" spans="6:45" x14ac:dyDescent="0.2">
      <c r="F745">
        <v>10.063000000000001</v>
      </c>
      <c r="AB745" s="29">
        <v>36075</v>
      </c>
      <c r="AC745">
        <v>10.063000000000001</v>
      </c>
      <c r="AD745">
        <v>970.68</v>
      </c>
      <c r="AE745">
        <f t="shared" si="43"/>
        <v>-7.081875909472167E-2</v>
      </c>
      <c r="AF745">
        <f t="shared" si="43"/>
        <v>-1.1647075894395781E-2</v>
      </c>
      <c r="AR745">
        <v>26</v>
      </c>
      <c r="AS745">
        <f t="shared" si="44"/>
        <v>-1.2072581234269249E-2</v>
      </c>
    </row>
    <row r="746" spans="6:45" x14ac:dyDescent="0.2">
      <c r="F746">
        <v>10.688000000000001</v>
      </c>
      <c r="AB746" s="29">
        <v>36074</v>
      </c>
      <c r="AC746">
        <v>10.688000000000001</v>
      </c>
      <c r="AD746">
        <v>984.59</v>
      </c>
      <c r="AE746">
        <f t="shared" si="43"/>
        <v>-6.0256285843093733E-2</v>
      </c>
      <c r="AF746">
        <f t="shared" si="43"/>
        <v>-1.4228454045968175E-2</v>
      </c>
      <c r="AR746">
        <v>26</v>
      </c>
      <c r="AS746">
        <f t="shared" si="44"/>
        <v>0</v>
      </c>
    </row>
    <row r="747" spans="6:45" x14ac:dyDescent="0.2">
      <c r="F747">
        <v>11.5</v>
      </c>
      <c r="AB747" s="29">
        <v>36073</v>
      </c>
      <c r="AC747">
        <v>11.5</v>
      </c>
      <c r="AD747">
        <v>988.56</v>
      </c>
      <c r="AE747">
        <f t="shared" si="43"/>
        <v>-7.3225418574914422E-2</v>
      </c>
      <c r="AF747">
        <f t="shared" si="43"/>
        <v>-4.0240279321052492E-3</v>
      </c>
      <c r="AR747">
        <v>26.5</v>
      </c>
      <c r="AS747">
        <f t="shared" si="44"/>
        <v>-1.9048194970694474E-2</v>
      </c>
    </row>
    <row r="748" spans="6:45" x14ac:dyDescent="0.2">
      <c r="F748">
        <v>11.938000000000001</v>
      </c>
      <c r="AB748" s="29">
        <v>36070</v>
      </c>
      <c r="AC748">
        <v>11.938000000000001</v>
      </c>
      <c r="AD748">
        <v>1002.6</v>
      </c>
      <c r="AE748">
        <f t="shared" si="43"/>
        <v>-3.7379554377253814E-2</v>
      </c>
      <c r="AF748">
        <f t="shared" si="43"/>
        <v>-1.4102566033468072E-2</v>
      </c>
      <c r="AR748">
        <v>26.062999999999999</v>
      </c>
      <c r="AS748">
        <f t="shared" si="44"/>
        <v>1.6628048964901193E-2</v>
      </c>
    </row>
    <row r="749" spans="6:45" x14ac:dyDescent="0.2">
      <c r="F749">
        <v>12</v>
      </c>
      <c r="AB749" s="29">
        <v>36069</v>
      </c>
      <c r="AC749">
        <v>12</v>
      </c>
      <c r="AD749">
        <v>986.39</v>
      </c>
      <c r="AE749">
        <f t="shared" si="43"/>
        <v>-5.1800600415421788E-3</v>
      </c>
      <c r="AF749">
        <f t="shared" si="43"/>
        <v>1.630009090575861E-2</v>
      </c>
      <c r="AR749">
        <v>25.687999999999999</v>
      </c>
      <c r="AS749">
        <f t="shared" si="44"/>
        <v>1.4492727240062437E-2</v>
      </c>
    </row>
    <row r="750" spans="6:45" x14ac:dyDescent="0.2">
      <c r="F750">
        <v>12.093999999999999</v>
      </c>
      <c r="AB750" s="29">
        <v>36068</v>
      </c>
      <c r="AC750">
        <v>12.093999999999999</v>
      </c>
      <c r="AD750">
        <v>1017.01</v>
      </c>
      <c r="AE750">
        <f t="shared" si="43"/>
        <v>-7.8028120630207918E-3</v>
      </c>
      <c r="AF750">
        <f t="shared" si="43"/>
        <v>-3.0570414918264587E-2</v>
      </c>
      <c r="AR750">
        <v>26.75</v>
      </c>
      <c r="AS750">
        <f t="shared" si="44"/>
        <v>-4.0510516554802846E-2</v>
      </c>
    </row>
    <row r="751" spans="6:45" x14ac:dyDescent="0.2">
      <c r="F751">
        <v>11.281000000000001</v>
      </c>
      <c r="AB751" s="29">
        <v>36067</v>
      </c>
      <c r="AC751">
        <v>11.281000000000001</v>
      </c>
      <c r="AD751">
        <v>1049.02</v>
      </c>
      <c r="AE751">
        <f t="shared" si="43"/>
        <v>6.9589567228237767E-2</v>
      </c>
      <c r="AF751">
        <f t="shared" si="43"/>
        <v>-3.098944514956882E-2</v>
      </c>
      <c r="AR751">
        <v>26</v>
      </c>
      <c r="AS751">
        <f t="shared" si="44"/>
        <v>2.843793532053341E-2</v>
      </c>
    </row>
    <row r="752" spans="6:45" x14ac:dyDescent="0.2">
      <c r="F752">
        <v>11.25</v>
      </c>
      <c r="AB752" s="29">
        <v>36066</v>
      </c>
      <c r="AC752">
        <v>11.25</v>
      </c>
      <c r="AD752">
        <v>1048.69</v>
      </c>
      <c r="AE752">
        <f t="shared" si="43"/>
        <v>2.7517659723541956E-3</v>
      </c>
      <c r="AF752">
        <f t="shared" si="43"/>
        <v>3.1462881210682017E-4</v>
      </c>
      <c r="AR752">
        <v>25.562999999999999</v>
      </c>
      <c r="AS752">
        <f t="shared" si="44"/>
        <v>1.6950544507553386E-2</v>
      </c>
    </row>
    <row r="753" spans="6:45" x14ac:dyDescent="0.2">
      <c r="F753">
        <v>11.031000000000001</v>
      </c>
      <c r="AB753" s="29">
        <v>36063</v>
      </c>
      <c r="AC753">
        <v>11.031000000000001</v>
      </c>
      <c r="AD753">
        <v>1044.75</v>
      </c>
      <c r="AE753">
        <f t="shared" si="43"/>
        <v>1.9658637663184538E-2</v>
      </c>
      <c r="AF753">
        <f t="shared" si="43"/>
        <v>3.7641438513464748E-3</v>
      </c>
      <c r="AR753">
        <v>26</v>
      </c>
      <c r="AS753">
        <f t="shared" si="44"/>
        <v>-1.6950544507553435E-2</v>
      </c>
    </row>
    <row r="754" spans="6:45" x14ac:dyDescent="0.2">
      <c r="F754">
        <v>11.343999999999999</v>
      </c>
      <c r="AB754" s="29">
        <v>36062</v>
      </c>
      <c r="AC754">
        <v>11.343999999999999</v>
      </c>
      <c r="AD754">
        <v>1042.72</v>
      </c>
      <c r="AE754">
        <f t="shared" si="43"/>
        <v>-2.7979478802526922E-2</v>
      </c>
      <c r="AF754">
        <f t="shared" si="43"/>
        <v>1.9449387439545878E-3</v>
      </c>
      <c r="AR754">
        <v>26.5</v>
      </c>
      <c r="AS754">
        <f t="shared" si="44"/>
        <v>-1.9048194970694474E-2</v>
      </c>
    </row>
    <row r="755" spans="6:45" x14ac:dyDescent="0.2">
      <c r="F755">
        <v>11.343999999999999</v>
      </c>
      <c r="AB755" s="29">
        <v>36061</v>
      </c>
      <c r="AC755">
        <v>11.343999999999999</v>
      </c>
      <c r="AD755">
        <v>1066.0899999999999</v>
      </c>
      <c r="AE755">
        <f t="shared" si="43"/>
        <v>0</v>
      </c>
      <c r="AF755">
        <f t="shared" si="43"/>
        <v>-2.2165066345250794E-2</v>
      </c>
      <c r="AR755">
        <v>26.875</v>
      </c>
      <c r="AS755">
        <f t="shared" si="44"/>
        <v>-1.4051753455650302E-2</v>
      </c>
    </row>
    <row r="756" spans="6:45" x14ac:dyDescent="0.2">
      <c r="F756">
        <v>10.875</v>
      </c>
      <c r="AB756" s="29">
        <v>36060</v>
      </c>
      <c r="AC756">
        <v>10.875</v>
      </c>
      <c r="AD756">
        <v>1029.6300000000001</v>
      </c>
      <c r="AE756">
        <f t="shared" si="43"/>
        <v>4.2222392815023803E-2</v>
      </c>
      <c r="AF756">
        <f t="shared" si="43"/>
        <v>3.4798235542756045E-2</v>
      </c>
      <c r="AR756">
        <v>25.344000000000001</v>
      </c>
      <c r="AS756">
        <f t="shared" si="44"/>
        <v>5.8654470815811571E-2</v>
      </c>
    </row>
    <row r="757" spans="6:45" x14ac:dyDescent="0.2">
      <c r="F757">
        <v>11</v>
      </c>
      <c r="AB757" s="29">
        <v>36059</v>
      </c>
      <c r="AC757">
        <v>11</v>
      </c>
      <c r="AD757">
        <v>1023.89</v>
      </c>
      <c r="AE757">
        <f t="shared" si="43"/>
        <v>-1.1428695823622744E-2</v>
      </c>
      <c r="AF757">
        <f t="shared" si="43"/>
        <v>5.5904154322548201E-3</v>
      </c>
      <c r="AR757">
        <v>25.375</v>
      </c>
      <c r="AS757">
        <f t="shared" si="44"/>
        <v>-1.222421729935975E-3</v>
      </c>
    </row>
    <row r="758" spans="6:45" x14ac:dyDescent="0.2">
      <c r="F758">
        <v>11.188000000000001</v>
      </c>
      <c r="AB758" s="29">
        <v>36056</v>
      </c>
      <c r="AC758">
        <v>11.188000000000001</v>
      </c>
      <c r="AD758">
        <v>1020.09</v>
      </c>
      <c r="AE758">
        <f t="shared" si="43"/>
        <v>-1.6946502541342813E-2</v>
      </c>
      <c r="AF758">
        <f t="shared" si="43"/>
        <v>3.7182402743803507E-3</v>
      </c>
      <c r="AR758">
        <v>25</v>
      </c>
      <c r="AS758">
        <f t="shared" si="44"/>
        <v>1.4888612493750559E-2</v>
      </c>
    </row>
    <row r="759" spans="6:45" x14ac:dyDescent="0.2">
      <c r="F759">
        <v>10.781000000000001</v>
      </c>
      <c r="AB759" s="29">
        <v>36055</v>
      </c>
      <c r="AC759">
        <v>10.781000000000001</v>
      </c>
      <c r="AD759">
        <v>1018.87</v>
      </c>
      <c r="AE759">
        <f t="shared" si="43"/>
        <v>3.7056449782732433E-2</v>
      </c>
      <c r="AF759">
        <f t="shared" si="43"/>
        <v>1.1966886506780685E-3</v>
      </c>
      <c r="AR759">
        <v>25</v>
      </c>
      <c r="AS759">
        <f t="shared" si="44"/>
        <v>0</v>
      </c>
    </row>
    <row r="760" spans="6:45" x14ac:dyDescent="0.2">
      <c r="F760">
        <v>10.718999999999999</v>
      </c>
      <c r="AB760" s="29">
        <v>36054</v>
      </c>
      <c r="AC760">
        <v>10.718999999999999</v>
      </c>
      <c r="AD760">
        <v>1045.48</v>
      </c>
      <c r="AE760">
        <f t="shared" si="43"/>
        <v>5.7674578475985011E-3</v>
      </c>
      <c r="AF760">
        <f t="shared" si="43"/>
        <v>-2.5781940053402421E-2</v>
      </c>
      <c r="AR760">
        <v>25.844000000000001</v>
      </c>
      <c r="AS760">
        <f t="shared" si="44"/>
        <v>-3.3202640827718274E-2</v>
      </c>
    </row>
    <row r="761" spans="6:45" x14ac:dyDescent="0.2">
      <c r="F761">
        <v>10.563000000000001</v>
      </c>
      <c r="AB761" s="29">
        <v>36053</v>
      </c>
      <c r="AC761">
        <v>10.563000000000001</v>
      </c>
      <c r="AD761">
        <v>1037.68</v>
      </c>
      <c r="AE761">
        <f t="shared" si="43"/>
        <v>1.4660538868357251E-2</v>
      </c>
      <c r="AF761">
        <f t="shared" si="43"/>
        <v>7.4886580502367258E-3</v>
      </c>
      <c r="AR761">
        <v>25.312999999999999</v>
      </c>
      <c r="AS761">
        <f t="shared" si="44"/>
        <v>2.076036793783112E-2</v>
      </c>
    </row>
    <row r="762" spans="6:45" x14ac:dyDescent="0.2">
      <c r="F762">
        <v>10.313000000000001</v>
      </c>
      <c r="AB762" s="29">
        <v>36052</v>
      </c>
      <c r="AC762">
        <v>10.313000000000001</v>
      </c>
      <c r="AD762">
        <v>1029.72</v>
      </c>
      <c r="AE762">
        <f t="shared" si="43"/>
        <v>2.3952093507093108E-2</v>
      </c>
      <c r="AF762">
        <f t="shared" si="43"/>
        <v>7.7005314253878387E-3</v>
      </c>
      <c r="AR762">
        <v>24.875</v>
      </c>
      <c r="AS762">
        <f t="shared" si="44"/>
        <v>1.7454814713431559E-2</v>
      </c>
    </row>
    <row r="763" spans="6:45" x14ac:dyDescent="0.2">
      <c r="F763">
        <v>10.125</v>
      </c>
      <c r="AB763" s="29">
        <v>36049</v>
      </c>
      <c r="AC763">
        <v>10.125</v>
      </c>
      <c r="AD763">
        <v>1009.06</v>
      </c>
      <c r="AE763">
        <f t="shared" si="43"/>
        <v>1.8397622341329072E-2</v>
      </c>
      <c r="AF763">
        <f t="shared" si="43"/>
        <v>2.026771620473301E-2</v>
      </c>
      <c r="AR763">
        <v>22.969000000000001</v>
      </c>
      <c r="AS763">
        <f t="shared" si="44"/>
        <v>7.9717802337038887E-2</v>
      </c>
    </row>
    <row r="764" spans="6:45" x14ac:dyDescent="0.2">
      <c r="F764">
        <v>9.8130000000000006</v>
      </c>
      <c r="AB764" s="29">
        <v>36048</v>
      </c>
      <c r="AC764">
        <v>9.8130000000000006</v>
      </c>
      <c r="AD764">
        <v>980.19</v>
      </c>
      <c r="AE764">
        <f t="shared" si="43"/>
        <v>3.1299575768246289E-2</v>
      </c>
      <c r="AF764">
        <f t="shared" si="43"/>
        <v>2.9028052978482318E-2</v>
      </c>
      <c r="AR764">
        <v>22.094000000000001</v>
      </c>
      <c r="AS764">
        <f t="shared" si="44"/>
        <v>3.883940225753401E-2</v>
      </c>
    </row>
    <row r="765" spans="6:45" x14ac:dyDescent="0.2">
      <c r="F765">
        <v>10.281000000000001</v>
      </c>
      <c r="AB765" s="29">
        <v>36047</v>
      </c>
      <c r="AC765">
        <v>10.281000000000001</v>
      </c>
      <c r="AD765">
        <v>1006.2</v>
      </c>
      <c r="AE765">
        <f t="shared" si="43"/>
        <v>-4.6589494336224974E-2</v>
      </c>
      <c r="AF765">
        <f t="shared" si="43"/>
        <v>-2.6189707633403655E-2</v>
      </c>
      <c r="AR765">
        <v>22.375</v>
      </c>
      <c r="AS765">
        <f t="shared" si="44"/>
        <v>-1.2638185710835624E-2</v>
      </c>
    </row>
    <row r="766" spans="6:45" x14ac:dyDescent="0.2">
      <c r="F766">
        <v>10.625</v>
      </c>
      <c r="AB766" s="29">
        <v>36046</v>
      </c>
      <c r="AC766">
        <v>10.625</v>
      </c>
      <c r="AD766">
        <v>1023.46</v>
      </c>
      <c r="AE766">
        <f t="shared" si="43"/>
        <v>-3.2912183249898988E-2</v>
      </c>
      <c r="AF766">
        <f t="shared" si="43"/>
        <v>-1.7008184697617012E-2</v>
      </c>
      <c r="AR766">
        <v>22.5</v>
      </c>
      <c r="AS766">
        <f t="shared" si="44"/>
        <v>-5.5710450494553601E-3</v>
      </c>
    </row>
    <row r="767" spans="6:45" x14ac:dyDescent="0.2">
      <c r="F767">
        <v>9.75</v>
      </c>
      <c r="AB767" s="29">
        <v>36042</v>
      </c>
      <c r="AC767">
        <v>9.75</v>
      </c>
      <c r="AD767">
        <v>973.89</v>
      </c>
      <c r="AE767">
        <f t="shared" si="43"/>
        <v>8.5942429800724626E-2</v>
      </c>
      <c r="AF767">
        <f t="shared" si="43"/>
        <v>4.9645961835058545E-2</v>
      </c>
      <c r="AR767">
        <v>21.719000000000001</v>
      </c>
      <c r="AS767">
        <f t="shared" si="44"/>
        <v>3.5327855720190586E-2</v>
      </c>
    </row>
    <row r="768" spans="6:45" x14ac:dyDescent="0.2">
      <c r="F768">
        <v>9.375</v>
      </c>
      <c r="AB768" s="29">
        <v>36041</v>
      </c>
      <c r="AC768">
        <v>9.375</v>
      </c>
      <c r="AD768">
        <v>982.26</v>
      </c>
      <c r="AE768">
        <f t="shared" si="43"/>
        <v>3.9220713153281329E-2</v>
      </c>
      <c r="AF768">
        <f t="shared" si="43"/>
        <v>-8.5576781745286129E-3</v>
      </c>
      <c r="AR768">
        <v>21.844000000000001</v>
      </c>
      <c r="AS768">
        <f t="shared" si="44"/>
        <v>-5.7388307997234536E-3</v>
      </c>
    </row>
    <row r="769" spans="6:45" x14ac:dyDescent="0.2">
      <c r="F769">
        <v>9.4380000000000006</v>
      </c>
      <c r="AB769" s="29">
        <v>36040</v>
      </c>
      <c r="AC769">
        <v>9.4380000000000006</v>
      </c>
      <c r="AD769">
        <v>990.48</v>
      </c>
      <c r="AE769">
        <f t="shared" si="43"/>
        <v>-6.6975214477213328E-3</v>
      </c>
      <c r="AF769">
        <f t="shared" si="43"/>
        <v>-8.3336350181308187E-3</v>
      </c>
      <c r="AR769">
        <v>22.25</v>
      </c>
      <c r="AS769">
        <f t="shared" si="44"/>
        <v>-1.8415724322341953E-2</v>
      </c>
    </row>
    <row r="770" spans="6:45" x14ac:dyDescent="0.2">
      <c r="F770">
        <v>9.3130000000000006</v>
      </c>
      <c r="AB770" s="29">
        <v>36039</v>
      </c>
      <c r="AC770">
        <v>9.3130000000000006</v>
      </c>
      <c r="AD770">
        <v>994.26</v>
      </c>
      <c r="AE770">
        <f t="shared" si="43"/>
        <v>1.3332819764674991E-2</v>
      </c>
      <c r="AF770">
        <f t="shared" si="43"/>
        <v>-3.8090677573212957E-3</v>
      </c>
      <c r="AR770">
        <v>21.562999999999999</v>
      </c>
      <c r="AS770">
        <f t="shared" si="44"/>
        <v>3.1363125683720676E-2</v>
      </c>
    </row>
    <row r="771" spans="6:45" x14ac:dyDescent="0.2">
      <c r="F771">
        <v>9.2810000000000006</v>
      </c>
      <c r="AB771" s="29">
        <v>36038</v>
      </c>
      <c r="AC771">
        <v>9.2810000000000006</v>
      </c>
      <c r="AD771">
        <v>957.28</v>
      </c>
      <c r="AE771">
        <f t="shared" si="43"/>
        <v>3.4419739262649116E-3</v>
      </c>
      <c r="AF771">
        <f t="shared" si="43"/>
        <v>3.7902812228035793E-2</v>
      </c>
      <c r="AR771">
        <v>21.155999999999999</v>
      </c>
      <c r="AS771">
        <f t="shared" si="44"/>
        <v>1.9055329724795136E-2</v>
      </c>
    </row>
    <row r="772" spans="6:45" x14ac:dyDescent="0.2">
      <c r="F772">
        <v>9.5310000000000006</v>
      </c>
      <c r="AB772" s="29">
        <v>36035</v>
      </c>
      <c r="AC772">
        <v>9.5310000000000006</v>
      </c>
      <c r="AD772">
        <v>1027.1400000000001</v>
      </c>
      <c r="AE772">
        <f t="shared" si="43"/>
        <v>-2.658034434223306E-2</v>
      </c>
      <c r="AF772">
        <f t="shared" si="43"/>
        <v>-7.0437590373020428E-2</v>
      </c>
    </row>
    <row r="773" spans="6:45" x14ac:dyDescent="0.2">
      <c r="F773">
        <v>10</v>
      </c>
      <c r="AB773" s="29">
        <v>36034</v>
      </c>
      <c r="AC773">
        <v>10</v>
      </c>
      <c r="AD773">
        <v>1042.5899999999999</v>
      </c>
      <c r="AE773">
        <f t="shared" si="43"/>
        <v>-4.8035449038556832E-2</v>
      </c>
      <c r="AF773">
        <f t="shared" si="43"/>
        <v>-1.4929760867165345E-2</v>
      </c>
      <c r="AS773">
        <f>AVERAGE(AS16:AS771)*252</f>
        <v>0.18902325781534515</v>
      </c>
    </row>
    <row r="774" spans="6:45" x14ac:dyDescent="0.2">
      <c r="F774">
        <v>10.5</v>
      </c>
      <c r="AB774" s="29">
        <v>36033</v>
      </c>
      <c r="AC774">
        <v>10.5</v>
      </c>
      <c r="AD774">
        <v>1084.19</v>
      </c>
      <c r="AE774">
        <f t="shared" si="43"/>
        <v>-4.8790164169432056E-2</v>
      </c>
      <c r="AF774">
        <f t="shared" si="43"/>
        <v>-3.9125162511276221E-2</v>
      </c>
    </row>
    <row r="775" spans="6:45" x14ac:dyDescent="0.2">
      <c r="F775">
        <v>10.938000000000001</v>
      </c>
      <c r="AB775" s="29">
        <v>36032</v>
      </c>
      <c r="AC775">
        <v>10.938000000000001</v>
      </c>
      <c r="AD775">
        <v>1092.8499999999999</v>
      </c>
      <c r="AE775">
        <f t="shared" si="43"/>
        <v>-4.0867707761103315E-2</v>
      </c>
      <c r="AF775">
        <f t="shared" si="43"/>
        <v>-7.9557984030125418E-3</v>
      </c>
    </row>
    <row r="776" spans="6:45" x14ac:dyDescent="0.2">
      <c r="F776">
        <v>11.063000000000001</v>
      </c>
      <c r="AB776" s="29">
        <v>36031</v>
      </c>
      <c r="AC776">
        <v>11.063000000000001</v>
      </c>
      <c r="AD776">
        <v>1088.1400000000001</v>
      </c>
      <c r="AE776">
        <f t="shared" si="43"/>
        <v>-1.1363242128192879E-2</v>
      </c>
      <c r="AF776">
        <f t="shared" si="43"/>
        <v>4.3191461878269938E-3</v>
      </c>
    </row>
    <row r="777" spans="6:45" x14ac:dyDescent="0.2">
      <c r="F777">
        <v>11.313000000000001</v>
      </c>
      <c r="AB777" s="29">
        <v>36028</v>
      </c>
      <c r="AC777">
        <v>11.313000000000001</v>
      </c>
      <c r="AD777">
        <v>1081.24</v>
      </c>
      <c r="AE777">
        <f t="shared" si="43"/>
        <v>-2.2346299891555923E-2</v>
      </c>
      <c r="AF777">
        <f t="shared" si="43"/>
        <v>6.3612859599617389E-3</v>
      </c>
    </row>
    <row r="778" spans="6:45" x14ac:dyDescent="0.2">
      <c r="F778">
        <v>11.718999999999999</v>
      </c>
      <c r="AB778" s="29">
        <v>36027</v>
      </c>
      <c r="AC778">
        <v>11.718999999999999</v>
      </c>
      <c r="AD778">
        <v>1091.5999999999999</v>
      </c>
      <c r="AE778">
        <f t="shared" si="43"/>
        <v>-3.5258949332135456E-2</v>
      </c>
      <c r="AF778">
        <f t="shared" si="43"/>
        <v>-9.5359791857756518E-3</v>
      </c>
    </row>
    <row r="779" spans="6:45" x14ac:dyDescent="0.2">
      <c r="F779">
        <v>11.625</v>
      </c>
      <c r="AB779" s="29">
        <v>36026</v>
      </c>
      <c r="AC779">
        <v>11.625</v>
      </c>
      <c r="AD779">
        <v>1098.06</v>
      </c>
      <c r="AE779">
        <f t="shared" si="43"/>
        <v>8.0535048030451143E-3</v>
      </c>
      <c r="AF779">
        <f t="shared" si="43"/>
        <v>-5.9004765510625758E-3</v>
      </c>
    </row>
    <row r="780" spans="6:45" x14ac:dyDescent="0.2">
      <c r="F780">
        <v>11.031000000000001</v>
      </c>
      <c r="AB780" s="29">
        <v>36025</v>
      </c>
      <c r="AC780">
        <v>11.031000000000001</v>
      </c>
      <c r="AD780">
        <v>1101.2</v>
      </c>
      <c r="AE780">
        <f t="shared" si="43"/>
        <v>5.2448460486175214E-2</v>
      </c>
      <c r="AF780">
        <f t="shared" si="43"/>
        <v>-2.8555078832064543E-3</v>
      </c>
    </row>
    <row r="781" spans="6:45" x14ac:dyDescent="0.2">
      <c r="F781">
        <v>10.25</v>
      </c>
      <c r="AB781" s="29">
        <v>36024</v>
      </c>
      <c r="AC781">
        <v>10.25</v>
      </c>
      <c r="AD781">
        <v>1083.67</v>
      </c>
      <c r="AE781">
        <f t="shared" si="43"/>
        <v>7.3431785402827521E-2</v>
      </c>
      <c r="AF781">
        <f t="shared" si="43"/>
        <v>1.6047065660764786E-2</v>
      </c>
    </row>
    <row r="782" spans="6:45" x14ac:dyDescent="0.2">
      <c r="F782">
        <v>10.593999999999999</v>
      </c>
      <c r="AB782" s="29">
        <v>36021</v>
      </c>
      <c r="AC782">
        <v>10.593999999999999</v>
      </c>
      <c r="AD782">
        <v>1062.75</v>
      </c>
      <c r="AE782">
        <f t="shared" si="43"/>
        <v>-3.3010097537917671E-2</v>
      </c>
      <c r="AF782">
        <f t="shared" si="43"/>
        <v>1.9493540368787941E-2</v>
      </c>
    </row>
    <row r="783" spans="6:45" x14ac:dyDescent="0.2">
      <c r="F783">
        <v>10.625</v>
      </c>
      <c r="AB783" s="29">
        <v>36020</v>
      </c>
      <c r="AC783">
        <v>10.625</v>
      </c>
      <c r="AD783">
        <v>1074.9100000000001</v>
      </c>
      <c r="AE783">
        <f t="shared" si="43"/>
        <v>-2.9219116881456413E-3</v>
      </c>
      <c r="AF783">
        <f t="shared" si="43"/>
        <v>-1.1377048887838505E-2</v>
      </c>
    </row>
    <row r="784" spans="6:45" x14ac:dyDescent="0.2">
      <c r="F784">
        <v>10.625</v>
      </c>
      <c r="AB784" s="29">
        <v>36019</v>
      </c>
      <c r="AC784">
        <v>10.625</v>
      </c>
      <c r="AD784">
        <v>1084.22</v>
      </c>
      <c r="AE784">
        <f t="shared" si="43"/>
        <v>0</v>
      </c>
      <c r="AF784">
        <f t="shared" si="43"/>
        <v>-8.623897310396823E-3</v>
      </c>
    </row>
    <row r="785" spans="6:32" x14ac:dyDescent="0.2">
      <c r="F785">
        <v>10.968999999999999</v>
      </c>
      <c r="AB785" s="29">
        <v>36018</v>
      </c>
      <c r="AC785">
        <v>10.968999999999999</v>
      </c>
      <c r="AD785">
        <v>1068.98</v>
      </c>
      <c r="AE785">
        <f t="shared" ref="AE785:AF848" si="45">LN(AC784/AC785)</f>
        <v>-3.1863397618716462E-2</v>
      </c>
      <c r="AF785">
        <f t="shared" si="45"/>
        <v>1.4155911661007306E-2</v>
      </c>
    </row>
    <row r="786" spans="6:32" x14ac:dyDescent="0.2">
      <c r="F786">
        <v>11.593999999999999</v>
      </c>
      <c r="AB786" s="29">
        <v>36017</v>
      </c>
      <c r="AC786">
        <v>11.593999999999999</v>
      </c>
      <c r="AD786">
        <v>1083.1400000000001</v>
      </c>
      <c r="AE786">
        <f t="shared" si="45"/>
        <v>-5.541461048834409E-2</v>
      </c>
      <c r="AF786">
        <f t="shared" si="45"/>
        <v>-1.3159307414929378E-2</v>
      </c>
    </row>
    <row r="787" spans="6:32" x14ac:dyDescent="0.2">
      <c r="F787">
        <v>11.593999999999999</v>
      </c>
      <c r="AB787" s="29">
        <v>36014</v>
      </c>
      <c r="AC787">
        <v>11.593999999999999</v>
      </c>
      <c r="AD787">
        <v>1089.45</v>
      </c>
      <c r="AE787">
        <f t="shared" si="45"/>
        <v>0</v>
      </c>
      <c r="AF787">
        <f t="shared" si="45"/>
        <v>-5.8087515292300253E-3</v>
      </c>
    </row>
    <row r="788" spans="6:32" x14ac:dyDescent="0.2">
      <c r="F788">
        <v>11.406000000000001</v>
      </c>
      <c r="AB788" s="29">
        <v>36013</v>
      </c>
      <c r="AC788">
        <v>11.406000000000001</v>
      </c>
      <c r="AD788">
        <v>1089.6300000000001</v>
      </c>
      <c r="AE788">
        <f t="shared" si="45"/>
        <v>1.6348190183193879E-2</v>
      </c>
      <c r="AF788">
        <f t="shared" si="45"/>
        <v>-1.6520733558148895E-4</v>
      </c>
    </row>
    <row r="789" spans="6:32" x14ac:dyDescent="0.2">
      <c r="F789">
        <v>10.843999999999999</v>
      </c>
      <c r="AB789" s="29">
        <v>36012</v>
      </c>
      <c r="AC789">
        <v>10.843999999999999</v>
      </c>
      <c r="AD789">
        <v>1081.43</v>
      </c>
      <c r="AE789">
        <f t="shared" si="45"/>
        <v>5.0527601097928108E-2</v>
      </c>
      <c r="AF789">
        <f t="shared" si="45"/>
        <v>7.5539496765966146E-3</v>
      </c>
    </row>
    <row r="790" spans="6:32" x14ac:dyDescent="0.2">
      <c r="F790">
        <v>10.813000000000001</v>
      </c>
      <c r="AB790" s="29">
        <v>36011</v>
      </c>
      <c r="AC790">
        <v>10.813000000000001</v>
      </c>
      <c r="AD790">
        <v>1072.1199999999999</v>
      </c>
      <c r="AE790">
        <f t="shared" si="45"/>
        <v>2.8628176730189996E-3</v>
      </c>
      <c r="AF790">
        <f t="shared" si="45"/>
        <v>8.6462427148646277E-3</v>
      </c>
    </row>
    <row r="791" spans="6:32" x14ac:dyDescent="0.2">
      <c r="F791">
        <v>11.375</v>
      </c>
      <c r="AB791" s="29">
        <v>36010</v>
      </c>
      <c r="AC791">
        <v>11.375</v>
      </c>
      <c r="AD791">
        <v>1112.44</v>
      </c>
      <c r="AE791">
        <f t="shared" si="45"/>
        <v>-5.066885087361403E-2</v>
      </c>
      <c r="AF791">
        <f t="shared" si="45"/>
        <v>-3.6917804337304613E-2</v>
      </c>
    </row>
    <row r="792" spans="6:32" x14ac:dyDescent="0.2">
      <c r="F792">
        <v>11.5</v>
      </c>
      <c r="AB792" s="29">
        <v>36007</v>
      </c>
      <c r="AC792">
        <v>11.5</v>
      </c>
      <c r="AD792">
        <v>1120.67</v>
      </c>
      <c r="AE792">
        <f t="shared" si="45"/>
        <v>-1.0929070532190317E-2</v>
      </c>
      <c r="AF792">
        <f t="shared" si="45"/>
        <v>-7.3709197143042816E-3</v>
      </c>
    </row>
    <row r="793" spans="6:32" x14ac:dyDescent="0.2">
      <c r="F793">
        <v>11.781000000000001</v>
      </c>
      <c r="AB793" s="29">
        <v>36006</v>
      </c>
      <c r="AC793">
        <v>11.781000000000001</v>
      </c>
      <c r="AD793">
        <v>1142.95</v>
      </c>
      <c r="AE793">
        <f t="shared" si="45"/>
        <v>-2.4141028894777938E-2</v>
      </c>
      <c r="AF793">
        <f t="shared" si="45"/>
        <v>-1.9685918590041387E-2</v>
      </c>
    </row>
    <row r="794" spans="6:32" x14ac:dyDescent="0.2">
      <c r="F794">
        <v>11.813000000000001</v>
      </c>
      <c r="AB794" s="29">
        <v>36005</v>
      </c>
      <c r="AC794">
        <v>11.813000000000001</v>
      </c>
      <c r="AD794">
        <v>1125.21</v>
      </c>
      <c r="AE794">
        <f t="shared" si="45"/>
        <v>-2.7125557024006552E-3</v>
      </c>
      <c r="AF794">
        <f t="shared" si="45"/>
        <v>1.5642954420924376E-2</v>
      </c>
    </row>
    <row r="795" spans="6:32" x14ac:dyDescent="0.2">
      <c r="F795">
        <v>12</v>
      </c>
      <c r="AB795" s="29">
        <v>36004</v>
      </c>
      <c r="AC795">
        <v>12</v>
      </c>
      <c r="AD795">
        <v>1130.24</v>
      </c>
      <c r="AE795">
        <f t="shared" si="45"/>
        <v>-1.5706029821617378E-2</v>
      </c>
      <c r="AF795">
        <f t="shared" si="45"/>
        <v>-4.4603146503530222E-3</v>
      </c>
    </row>
    <row r="796" spans="6:32" x14ac:dyDescent="0.2">
      <c r="F796">
        <v>11.843999999999999</v>
      </c>
      <c r="AB796" s="29">
        <v>36003</v>
      </c>
      <c r="AC796">
        <v>11.843999999999999</v>
      </c>
      <c r="AD796">
        <v>1147.27</v>
      </c>
      <c r="AE796">
        <f t="shared" si="45"/>
        <v>1.3085239548655534E-2</v>
      </c>
      <c r="AF796">
        <f t="shared" si="45"/>
        <v>-1.4955207579441507E-2</v>
      </c>
    </row>
    <row r="797" spans="6:32" x14ac:dyDescent="0.2">
      <c r="F797">
        <v>11.718999999999999</v>
      </c>
      <c r="AB797" s="29">
        <v>36000</v>
      </c>
      <c r="AC797">
        <v>11.718999999999999</v>
      </c>
      <c r="AD797">
        <v>1140.8</v>
      </c>
      <c r="AE797">
        <f t="shared" si="45"/>
        <v>1.0609953962879465E-2</v>
      </c>
      <c r="AF797">
        <f t="shared" si="45"/>
        <v>5.6554364548958335E-3</v>
      </c>
    </row>
    <row r="798" spans="6:32" x14ac:dyDescent="0.2">
      <c r="F798">
        <v>11.843999999999999</v>
      </c>
      <c r="AB798" s="29">
        <v>35999</v>
      </c>
      <c r="AC798">
        <v>11.843999999999999</v>
      </c>
      <c r="AD798">
        <v>1139.75</v>
      </c>
      <c r="AE798">
        <f t="shared" si="45"/>
        <v>-1.0609953962879578E-2</v>
      </c>
      <c r="AF798">
        <f t="shared" si="45"/>
        <v>9.208305664807348E-4</v>
      </c>
    </row>
    <row r="799" spans="6:32" x14ac:dyDescent="0.2">
      <c r="F799">
        <v>12.625</v>
      </c>
      <c r="AB799" s="29">
        <v>35998</v>
      </c>
      <c r="AC799">
        <v>12.625</v>
      </c>
      <c r="AD799">
        <v>1164.08</v>
      </c>
      <c r="AE799">
        <f t="shared" si="45"/>
        <v>-6.3857564922078738E-2</v>
      </c>
      <c r="AF799">
        <f t="shared" si="45"/>
        <v>-2.1122135358472398E-2</v>
      </c>
    </row>
    <row r="800" spans="6:32" x14ac:dyDescent="0.2">
      <c r="F800">
        <v>13.093999999999999</v>
      </c>
      <c r="AB800" s="29">
        <v>35997</v>
      </c>
      <c r="AC800">
        <v>13.093999999999999</v>
      </c>
      <c r="AD800">
        <v>1165.07</v>
      </c>
      <c r="AE800">
        <f t="shared" si="45"/>
        <v>-3.6475134857476062E-2</v>
      </c>
      <c r="AF800">
        <f t="shared" si="45"/>
        <v>-8.5009557960595203E-4</v>
      </c>
    </row>
    <row r="801" spans="6:32" x14ac:dyDescent="0.2">
      <c r="F801">
        <v>13.531000000000001</v>
      </c>
      <c r="AB801" s="29">
        <v>35996</v>
      </c>
      <c r="AC801">
        <v>13.531000000000001</v>
      </c>
      <c r="AD801">
        <v>1184.0999999999999</v>
      </c>
      <c r="AE801">
        <f t="shared" si="45"/>
        <v>-3.2829239262607647E-2</v>
      </c>
      <c r="AF801">
        <f t="shared" si="45"/>
        <v>-1.6201821305281829E-2</v>
      </c>
    </row>
    <row r="802" spans="6:32" x14ac:dyDescent="0.2">
      <c r="F802">
        <v>13.656000000000001</v>
      </c>
      <c r="AB802" s="29">
        <v>35993</v>
      </c>
      <c r="AC802">
        <v>13.656000000000001</v>
      </c>
      <c r="AD802">
        <v>1186.75</v>
      </c>
      <c r="AE802">
        <f t="shared" si="45"/>
        <v>-9.1956362106323693E-3</v>
      </c>
      <c r="AF802">
        <f t="shared" si="45"/>
        <v>-2.235486094516351E-3</v>
      </c>
    </row>
    <row r="803" spans="6:32" x14ac:dyDescent="0.2">
      <c r="F803">
        <v>13.875</v>
      </c>
      <c r="AB803" s="29">
        <v>35992</v>
      </c>
      <c r="AC803">
        <v>13.875</v>
      </c>
      <c r="AD803">
        <v>1183.99</v>
      </c>
      <c r="AE803">
        <f t="shared" si="45"/>
        <v>-1.5909674140358692E-2</v>
      </c>
      <c r="AF803">
        <f t="shared" si="45"/>
        <v>2.3283879690896162E-3</v>
      </c>
    </row>
    <row r="804" spans="6:32" x14ac:dyDescent="0.2">
      <c r="F804">
        <v>14</v>
      </c>
      <c r="AB804" s="29">
        <v>35991</v>
      </c>
      <c r="AC804">
        <v>14</v>
      </c>
      <c r="AD804">
        <v>1174.81</v>
      </c>
      <c r="AE804">
        <f t="shared" si="45"/>
        <v>-8.9686699827603751E-3</v>
      </c>
      <c r="AF804">
        <f t="shared" si="45"/>
        <v>7.7836580869366729E-3</v>
      </c>
    </row>
    <row r="805" spans="6:32" x14ac:dyDescent="0.2">
      <c r="F805">
        <v>14</v>
      </c>
      <c r="AB805" s="29">
        <v>35990</v>
      </c>
      <c r="AC805">
        <v>14</v>
      </c>
      <c r="AD805">
        <v>1177.58</v>
      </c>
      <c r="AE805">
        <f t="shared" si="45"/>
        <v>0</v>
      </c>
      <c r="AF805">
        <f t="shared" si="45"/>
        <v>-2.3550527593338044E-3</v>
      </c>
    </row>
    <row r="806" spans="6:32" x14ac:dyDescent="0.2">
      <c r="F806">
        <v>14.25</v>
      </c>
      <c r="AB806" s="29">
        <v>35989</v>
      </c>
      <c r="AC806">
        <v>14.25</v>
      </c>
      <c r="AD806">
        <v>1165.19</v>
      </c>
      <c r="AE806">
        <f t="shared" si="45"/>
        <v>-1.7699577099400975E-2</v>
      </c>
      <c r="AF806">
        <f t="shared" si="45"/>
        <v>1.0577321303927816E-2</v>
      </c>
    </row>
    <row r="807" spans="6:32" x14ac:dyDescent="0.2">
      <c r="F807">
        <v>14.156000000000001</v>
      </c>
      <c r="AB807" s="29">
        <v>35986</v>
      </c>
      <c r="AC807">
        <v>14.156000000000001</v>
      </c>
      <c r="AD807">
        <v>1164.33</v>
      </c>
      <c r="AE807">
        <f t="shared" si="45"/>
        <v>6.6183442314425214E-3</v>
      </c>
      <c r="AF807">
        <f t="shared" si="45"/>
        <v>7.3834956477715616E-4</v>
      </c>
    </row>
    <row r="808" spans="6:32" x14ac:dyDescent="0.2">
      <c r="F808">
        <v>14.218999999999999</v>
      </c>
      <c r="AB808" s="29">
        <v>35985</v>
      </c>
      <c r="AC808">
        <v>14.218999999999999</v>
      </c>
      <c r="AD808">
        <v>1158.56</v>
      </c>
      <c r="AE808">
        <f t="shared" si="45"/>
        <v>-4.440535931020376E-3</v>
      </c>
      <c r="AF808">
        <f t="shared" si="45"/>
        <v>4.9679596255191791E-3</v>
      </c>
    </row>
    <row r="809" spans="6:32" x14ac:dyDescent="0.2">
      <c r="F809">
        <v>14.063000000000001</v>
      </c>
      <c r="AB809" s="29">
        <v>35984</v>
      </c>
      <c r="AC809">
        <v>14.063000000000001</v>
      </c>
      <c r="AD809">
        <v>1166.3800000000001</v>
      </c>
      <c r="AE809">
        <f t="shared" si="45"/>
        <v>1.1031863526126583E-2</v>
      </c>
      <c r="AF809">
        <f t="shared" si="45"/>
        <v>-6.7270806904695417E-3</v>
      </c>
    </row>
    <row r="810" spans="6:32" x14ac:dyDescent="0.2">
      <c r="F810">
        <v>14.218999999999999</v>
      </c>
      <c r="AB810" s="29">
        <v>35983</v>
      </c>
      <c r="AC810">
        <v>14.218999999999999</v>
      </c>
      <c r="AD810">
        <v>1154.6600000000001</v>
      </c>
      <c r="AE810">
        <f t="shared" si="45"/>
        <v>-1.1031863526126668E-2</v>
      </c>
      <c r="AF810">
        <f t="shared" si="45"/>
        <v>1.0099007005487163E-2</v>
      </c>
    </row>
    <row r="811" spans="6:32" x14ac:dyDescent="0.2">
      <c r="F811">
        <v>13.938000000000001</v>
      </c>
      <c r="AB811" s="29">
        <v>35982</v>
      </c>
      <c r="AC811">
        <v>13.938000000000001</v>
      </c>
      <c r="AD811">
        <v>1157.33</v>
      </c>
      <c r="AE811">
        <f t="shared" si="45"/>
        <v>1.9960175397910271E-2</v>
      </c>
      <c r="AF811">
        <f t="shared" si="45"/>
        <v>-2.3096995981584474E-3</v>
      </c>
    </row>
    <row r="812" spans="6:32" x14ac:dyDescent="0.2">
      <c r="F812">
        <v>14</v>
      </c>
      <c r="AB812" s="29">
        <v>35978</v>
      </c>
      <c r="AC812">
        <v>14</v>
      </c>
      <c r="AD812">
        <v>1146.42</v>
      </c>
      <c r="AE812">
        <f t="shared" si="45"/>
        <v>-4.4384065989314329E-3</v>
      </c>
      <c r="AF812">
        <f t="shared" si="45"/>
        <v>9.4715846442122182E-3</v>
      </c>
    </row>
    <row r="813" spans="6:32" x14ac:dyDescent="0.2">
      <c r="F813">
        <v>13.938000000000001</v>
      </c>
      <c r="AB813" s="29">
        <v>35977</v>
      </c>
      <c r="AC813">
        <v>13.938000000000001</v>
      </c>
      <c r="AD813">
        <v>1148.56</v>
      </c>
      <c r="AE813">
        <f t="shared" si="45"/>
        <v>4.4384065989314676E-3</v>
      </c>
      <c r="AF813">
        <f t="shared" si="45"/>
        <v>-1.8649405399993029E-3</v>
      </c>
    </row>
    <row r="814" spans="6:32" x14ac:dyDescent="0.2">
      <c r="F814">
        <v>13.531000000000001</v>
      </c>
      <c r="AB814" s="29">
        <v>35976</v>
      </c>
      <c r="AC814">
        <v>13.531000000000001</v>
      </c>
      <c r="AD814">
        <v>1133.8399999999999</v>
      </c>
      <c r="AE814">
        <f t="shared" si="45"/>
        <v>2.9635573734819932E-2</v>
      </c>
      <c r="AF814">
        <f t="shared" si="45"/>
        <v>1.2898881960788453E-2</v>
      </c>
    </row>
    <row r="815" spans="6:32" x14ac:dyDescent="0.2">
      <c r="F815">
        <v>14.625</v>
      </c>
      <c r="AB815" s="29">
        <v>35975</v>
      </c>
      <c r="AC815">
        <v>14.625</v>
      </c>
      <c r="AD815">
        <v>1138.49</v>
      </c>
      <c r="AE815">
        <f t="shared" si="45"/>
        <v>-7.7749043836413026E-2</v>
      </c>
      <c r="AF815">
        <f t="shared" si="45"/>
        <v>-4.092721119525077E-3</v>
      </c>
    </row>
    <row r="816" spans="6:32" x14ac:dyDescent="0.2">
      <c r="F816">
        <v>14.343999999999999</v>
      </c>
      <c r="AB816" s="29">
        <v>35972</v>
      </c>
      <c r="AC816">
        <v>14.343999999999999</v>
      </c>
      <c r="AD816">
        <v>1133.2</v>
      </c>
      <c r="AE816">
        <f t="shared" si="45"/>
        <v>1.9400656815088381E-2</v>
      </c>
      <c r="AF816">
        <f t="shared" si="45"/>
        <v>4.657334021813295E-3</v>
      </c>
    </row>
    <row r="817" spans="6:32" x14ac:dyDescent="0.2">
      <c r="F817">
        <v>14.375</v>
      </c>
      <c r="AB817" s="29">
        <v>35971</v>
      </c>
      <c r="AC817">
        <v>14.375</v>
      </c>
      <c r="AD817">
        <v>1129.28</v>
      </c>
      <c r="AE817">
        <f t="shared" si="45"/>
        <v>-2.1588503805824496E-3</v>
      </c>
      <c r="AF817">
        <f t="shared" si="45"/>
        <v>3.4652274694563228E-3</v>
      </c>
    </row>
    <row r="818" spans="6:32" x14ac:dyDescent="0.2">
      <c r="F818">
        <v>14.125</v>
      </c>
      <c r="AB818" s="29">
        <v>35970</v>
      </c>
      <c r="AC818">
        <v>14.125</v>
      </c>
      <c r="AD818">
        <v>1132.8800000000001</v>
      </c>
      <c r="AE818">
        <f t="shared" si="45"/>
        <v>1.7544309650909525E-2</v>
      </c>
      <c r="AF818">
        <f t="shared" si="45"/>
        <v>-3.1828014278981903E-3</v>
      </c>
    </row>
    <row r="819" spans="6:32" x14ac:dyDescent="0.2">
      <c r="F819">
        <v>13.718999999999999</v>
      </c>
      <c r="AB819" s="29">
        <v>35969</v>
      </c>
      <c r="AC819">
        <v>13.718999999999999</v>
      </c>
      <c r="AD819">
        <v>1119.49</v>
      </c>
      <c r="AE819">
        <f t="shared" si="45"/>
        <v>2.916454368847694E-2</v>
      </c>
      <c r="AF819">
        <f t="shared" si="45"/>
        <v>1.1889838475067548E-2</v>
      </c>
    </row>
    <row r="820" spans="6:32" x14ac:dyDescent="0.2">
      <c r="F820">
        <v>13.781000000000001</v>
      </c>
      <c r="AB820" s="29">
        <v>35968</v>
      </c>
      <c r="AC820">
        <v>13.781000000000001</v>
      </c>
      <c r="AD820">
        <v>1103.21</v>
      </c>
      <c r="AE820">
        <f t="shared" si="45"/>
        <v>-4.509098548980032E-3</v>
      </c>
      <c r="AF820">
        <f t="shared" si="45"/>
        <v>1.4649112462204995E-2</v>
      </c>
    </row>
    <row r="821" spans="6:32" x14ac:dyDescent="0.2">
      <c r="F821">
        <v>14</v>
      </c>
      <c r="AB821" s="29">
        <v>35965</v>
      </c>
      <c r="AC821">
        <v>14</v>
      </c>
      <c r="AD821">
        <v>1100.6500000000001</v>
      </c>
      <c r="AE821">
        <f t="shared" si="45"/>
        <v>-1.5766497722250739E-2</v>
      </c>
      <c r="AF821">
        <f t="shared" si="45"/>
        <v>2.3231976181905174E-3</v>
      </c>
    </row>
    <row r="822" spans="6:32" x14ac:dyDescent="0.2">
      <c r="F822">
        <v>13.125</v>
      </c>
      <c r="AB822" s="29">
        <v>35964</v>
      </c>
      <c r="AC822">
        <v>13.125</v>
      </c>
      <c r="AD822">
        <v>1106.3699999999999</v>
      </c>
      <c r="AE822">
        <f t="shared" si="45"/>
        <v>6.4538521137571164E-2</v>
      </c>
      <c r="AF822">
        <f t="shared" si="45"/>
        <v>-5.1834716561285936E-3</v>
      </c>
    </row>
    <row r="823" spans="6:32" x14ac:dyDescent="0.2">
      <c r="F823">
        <v>13.218999999999999</v>
      </c>
      <c r="AB823" s="29">
        <v>35963</v>
      </c>
      <c r="AC823">
        <v>13.218999999999999</v>
      </c>
      <c r="AD823">
        <v>1107.1099999999999</v>
      </c>
      <c r="AE823">
        <f t="shared" si="45"/>
        <v>-7.1363801195751201E-3</v>
      </c>
      <c r="AF823">
        <f t="shared" si="45"/>
        <v>-6.6863041687223457E-4</v>
      </c>
    </row>
    <row r="824" spans="6:32" x14ac:dyDescent="0.2">
      <c r="F824">
        <v>13.343999999999999</v>
      </c>
      <c r="AB824" s="29">
        <v>35962</v>
      </c>
      <c r="AC824">
        <v>13.343999999999999</v>
      </c>
      <c r="AD824">
        <v>1087.5899999999999</v>
      </c>
      <c r="AE824">
        <f t="shared" si="45"/>
        <v>-9.4116570191283503E-3</v>
      </c>
      <c r="AF824">
        <f t="shared" si="45"/>
        <v>1.7788777273118124E-2</v>
      </c>
    </row>
    <row r="825" spans="6:32" x14ac:dyDescent="0.2">
      <c r="F825">
        <v>13.063000000000001</v>
      </c>
      <c r="AB825" s="29">
        <v>35961</v>
      </c>
      <c r="AC825">
        <v>13.063000000000001</v>
      </c>
      <c r="AD825">
        <v>1077.01</v>
      </c>
      <c r="AE825">
        <f t="shared" si="45"/>
        <v>2.1283039111964549E-2</v>
      </c>
      <c r="AF825">
        <f t="shared" si="45"/>
        <v>9.7755559948724761E-3</v>
      </c>
    </row>
    <row r="826" spans="6:32" x14ac:dyDescent="0.2">
      <c r="F826">
        <v>12.968999999999999</v>
      </c>
      <c r="AB826" s="29">
        <v>35958</v>
      </c>
      <c r="AC826">
        <v>12.968999999999999</v>
      </c>
      <c r="AD826">
        <v>1098.8399999999999</v>
      </c>
      <c r="AE826">
        <f t="shared" si="45"/>
        <v>7.2219121508217965E-3</v>
      </c>
      <c r="AF826">
        <f t="shared" si="45"/>
        <v>-2.0066394743290444E-2</v>
      </c>
    </row>
    <row r="827" spans="6:32" x14ac:dyDescent="0.2">
      <c r="F827">
        <v>13.031000000000001</v>
      </c>
      <c r="AB827" s="29">
        <v>35957</v>
      </c>
      <c r="AC827">
        <v>13.031000000000001</v>
      </c>
      <c r="AD827">
        <v>1094.58</v>
      </c>
      <c r="AE827">
        <f t="shared" si="45"/>
        <v>-4.769239809164643E-3</v>
      </c>
      <c r="AF827">
        <f t="shared" si="45"/>
        <v>3.8843498794580646E-3</v>
      </c>
    </row>
    <row r="828" spans="6:32" x14ac:dyDescent="0.2">
      <c r="F828">
        <v>13</v>
      </c>
      <c r="AB828" s="29">
        <v>35956</v>
      </c>
      <c r="AC828">
        <v>13</v>
      </c>
      <c r="AD828">
        <v>1112.28</v>
      </c>
      <c r="AE828">
        <f t="shared" si="45"/>
        <v>2.3817767012322376E-3</v>
      </c>
      <c r="AF828">
        <f t="shared" si="45"/>
        <v>-1.604123464755864E-2</v>
      </c>
    </row>
    <row r="829" spans="6:32" x14ac:dyDescent="0.2">
      <c r="F829">
        <v>13</v>
      </c>
      <c r="AB829" s="29">
        <v>35955</v>
      </c>
      <c r="AC829">
        <v>13</v>
      </c>
      <c r="AD829">
        <v>1118.4100000000001</v>
      </c>
      <c r="AE829">
        <f t="shared" si="45"/>
        <v>0</v>
      </c>
      <c r="AF829">
        <f t="shared" si="45"/>
        <v>-5.4960711086089117E-3</v>
      </c>
    </row>
    <row r="830" spans="6:32" x14ac:dyDescent="0.2">
      <c r="F830">
        <v>13.031000000000001</v>
      </c>
      <c r="AB830" s="29">
        <v>35954</v>
      </c>
      <c r="AC830">
        <v>13.031000000000001</v>
      </c>
      <c r="AD830">
        <v>1115.72</v>
      </c>
      <c r="AE830">
        <f t="shared" si="45"/>
        <v>-2.3817767012322593E-3</v>
      </c>
      <c r="AF830">
        <f t="shared" si="45"/>
        <v>2.4080973801232967E-3</v>
      </c>
    </row>
    <row r="831" spans="6:32" x14ac:dyDescent="0.2">
      <c r="F831">
        <v>12.938000000000001</v>
      </c>
      <c r="AB831" s="29">
        <v>35951</v>
      </c>
      <c r="AC831">
        <v>12.938000000000001</v>
      </c>
      <c r="AD831">
        <v>1113.8599999999999</v>
      </c>
      <c r="AE831">
        <f t="shared" si="45"/>
        <v>7.1624165409753283E-3</v>
      </c>
      <c r="AF831">
        <f t="shared" si="45"/>
        <v>1.6684760640936788E-3</v>
      </c>
    </row>
    <row r="832" spans="6:32" x14ac:dyDescent="0.2">
      <c r="F832">
        <v>12.813000000000001</v>
      </c>
      <c r="AB832" s="29">
        <v>35950</v>
      </c>
      <c r="AC832">
        <v>12.813000000000001</v>
      </c>
      <c r="AD832">
        <v>1094.83</v>
      </c>
      <c r="AE832">
        <f t="shared" si="45"/>
        <v>9.708437094354554E-3</v>
      </c>
      <c r="AF832">
        <f t="shared" si="45"/>
        <v>1.7232360283790913E-2</v>
      </c>
    </row>
    <row r="833" spans="6:32" x14ac:dyDescent="0.2">
      <c r="F833">
        <v>12.563000000000001</v>
      </c>
      <c r="AB833" s="29">
        <v>35949</v>
      </c>
      <c r="AC833">
        <v>12.563000000000001</v>
      </c>
      <c r="AD833">
        <v>1082.73</v>
      </c>
      <c r="AE833">
        <f t="shared" si="45"/>
        <v>1.9704294505158322E-2</v>
      </c>
      <c r="AF833">
        <f t="shared" si="45"/>
        <v>1.1113470616852108E-2</v>
      </c>
    </row>
    <row r="834" spans="6:32" x14ac:dyDescent="0.2">
      <c r="F834">
        <v>12.718999999999999</v>
      </c>
      <c r="AB834" s="29">
        <v>35948</v>
      </c>
      <c r="AC834">
        <v>12.718999999999999</v>
      </c>
      <c r="AD834">
        <v>1093.22</v>
      </c>
      <c r="AE834">
        <f t="shared" si="45"/>
        <v>-1.2340952447066593E-2</v>
      </c>
      <c r="AF834">
        <f t="shared" si="45"/>
        <v>-9.6418403610864338E-3</v>
      </c>
    </row>
    <row r="835" spans="6:32" x14ac:dyDescent="0.2">
      <c r="F835">
        <v>13.063000000000001</v>
      </c>
      <c r="AB835" s="29">
        <v>35947</v>
      </c>
      <c r="AC835">
        <v>13.063000000000001</v>
      </c>
      <c r="AD835">
        <v>1090.98</v>
      </c>
      <c r="AE835">
        <f t="shared" si="45"/>
        <v>-2.6686868035078831E-2</v>
      </c>
      <c r="AF835">
        <f t="shared" si="45"/>
        <v>2.0510949412186328E-3</v>
      </c>
    </row>
    <row r="836" spans="6:32" x14ac:dyDescent="0.2">
      <c r="F836">
        <v>12.968999999999999</v>
      </c>
      <c r="AB836" s="29">
        <v>35944</v>
      </c>
      <c r="AC836">
        <v>12.968999999999999</v>
      </c>
      <c r="AD836">
        <v>1090.82</v>
      </c>
      <c r="AE836">
        <f t="shared" si="45"/>
        <v>7.2219121508217965E-3</v>
      </c>
      <c r="AF836">
        <f t="shared" si="45"/>
        <v>1.4666788916201126E-4</v>
      </c>
    </row>
    <row r="837" spans="6:32" x14ac:dyDescent="0.2">
      <c r="F837">
        <v>12.313000000000001</v>
      </c>
      <c r="AB837" s="29">
        <v>35943</v>
      </c>
      <c r="AC837">
        <v>12.313000000000001</v>
      </c>
      <c r="AD837">
        <v>1097.5999999999999</v>
      </c>
      <c r="AE837">
        <f t="shared" si="45"/>
        <v>5.1906279542869797E-2</v>
      </c>
      <c r="AF837">
        <f t="shared" si="45"/>
        <v>-6.1962710014243699E-3</v>
      </c>
    </row>
    <row r="838" spans="6:32" x14ac:dyDescent="0.2">
      <c r="F838">
        <v>11.968999999999999</v>
      </c>
      <c r="AB838" s="29">
        <v>35942</v>
      </c>
      <c r="AC838">
        <v>11.968999999999999</v>
      </c>
      <c r="AD838">
        <v>1092.23</v>
      </c>
      <c r="AE838">
        <f t="shared" si="45"/>
        <v>2.8335640919501158E-2</v>
      </c>
      <c r="AF838">
        <f t="shared" si="45"/>
        <v>4.9045001339967703E-3</v>
      </c>
    </row>
    <row r="839" spans="6:32" x14ac:dyDescent="0.2">
      <c r="F839">
        <v>12.188000000000001</v>
      </c>
      <c r="AB839" s="29">
        <v>35941</v>
      </c>
      <c r="AC839">
        <v>12.188000000000001</v>
      </c>
      <c r="AD839">
        <v>1094.02</v>
      </c>
      <c r="AE839">
        <f t="shared" si="45"/>
        <v>-1.8131887232229294E-2</v>
      </c>
      <c r="AF839">
        <f t="shared" si="45"/>
        <v>-1.6375075128461955E-3</v>
      </c>
    </row>
    <row r="840" spans="6:32" x14ac:dyDescent="0.2">
      <c r="F840">
        <v>12.375</v>
      </c>
      <c r="AB840" s="29">
        <v>35937</v>
      </c>
      <c r="AC840">
        <v>12.375</v>
      </c>
      <c r="AD840">
        <v>1110.47</v>
      </c>
      <c r="AE840">
        <f t="shared" si="45"/>
        <v>-1.5226447331291351E-2</v>
      </c>
      <c r="AF840">
        <f t="shared" si="45"/>
        <v>-1.492436376093207E-2</v>
      </c>
    </row>
    <row r="841" spans="6:32" x14ac:dyDescent="0.2">
      <c r="F841">
        <v>12.688000000000001</v>
      </c>
      <c r="AB841" s="29">
        <v>35936</v>
      </c>
      <c r="AC841">
        <v>12.688000000000001</v>
      </c>
      <c r="AD841">
        <v>1114.6400000000001</v>
      </c>
      <c r="AE841">
        <f t="shared" si="45"/>
        <v>-2.4978356437738217E-2</v>
      </c>
      <c r="AF841">
        <f t="shared" si="45"/>
        <v>-3.7481336939340251E-3</v>
      </c>
    </row>
    <row r="842" spans="6:32" x14ac:dyDescent="0.2">
      <c r="F842">
        <v>12.5</v>
      </c>
      <c r="AB842" s="29">
        <v>35935</v>
      </c>
      <c r="AC842">
        <v>12.5</v>
      </c>
      <c r="AD842">
        <v>1119.06</v>
      </c>
      <c r="AE842">
        <f t="shared" si="45"/>
        <v>1.4928020584236673E-2</v>
      </c>
      <c r="AF842">
        <f t="shared" si="45"/>
        <v>-3.9575643720743637E-3</v>
      </c>
    </row>
    <row r="843" spans="6:32" x14ac:dyDescent="0.2">
      <c r="F843">
        <v>12.75</v>
      </c>
      <c r="AB843" s="29">
        <v>35934</v>
      </c>
      <c r="AC843">
        <v>12.75</v>
      </c>
      <c r="AD843">
        <v>1109.52</v>
      </c>
      <c r="AE843">
        <f t="shared" si="45"/>
        <v>-1.9802627296179754E-2</v>
      </c>
      <c r="AF843">
        <f t="shared" si="45"/>
        <v>8.561557829331044E-3</v>
      </c>
    </row>
    <row r="844" spans="6:32" x14ac:dyDescent="0.2">
      <c r="F844">
        <v>12.843999999999999</v>
      </c>
      <c r="AB844" s="29">
        <v>35933</v>
      </c>
      <c r="AC844">
        <v>12.843999999999999</v>
      </c>
      <c r="AD844">
        <v>1105.82</v>
      </c>
      <c r="AE844">
        <f t="shared" si="45"/>
        <v>-7.3455046228323422E-3</v>
      </c>
      <c r="AF844">
        <f t="shared" si="45"/>
        <v>3.340348154558566E-3</v>
      </c>
    </row>
    <row r="845" spans="6:32" x14ac:dyDescent="0.2">
      <c r="F845">
        <v>13.125</v>
      </c>
      <c r="AB845" s="29">
        <v>35930</v>
      </c>
      <c r="AC845">
        <v>13.125</v>
      </c>
      <c r="AD845">
        <v>1108.73</v>
      </c>
      <c r="AE845">
        <f t="shared" si="45"/>
        <v>-2.1642032250420013E-2</v>
      </c>
      <c r="AF845">
        <f t="shared" si="45"/>
        <v>-2.6280749361211075E-3</v>
      </c>
    </row>
    <row r="846" spans="6:32" x14ac:dyDescent="0.2">
      <c r="F846">
        <v>13.313000000000001</v>
      </c>
      <c r="AB846" s="29">
        <v>35929</v>
      </c>
      <c r="AC846">
        <v>13.313000000000001</v>
      </c>
      <c r="AD846">
        <v>1117.3699999999999</v>
      </c>
      <c r="AE846">
        <f t="shared" si="45"/>
        <v>-1.4222192972092757E-2</v>
      </c>
      <c r="AF846">
        <f t="shared" si="45"/>
        <v>-7.7624934948978342E-3</v>
      </c>
    </row>
    <row r="847" spans="6:32" x14ac:dyDescent="0.2">
      <c r="F847">
        <v>13.625</v>
      </c>
      <c r="AB847" s="29">
        <v>35928</v>
      </c>
      <c r="AC847">
        <v>13.625</v>
      </c>
      <c r="AD847">
        <v>1118.8599999999999</v>
      </c>
      <c r="AE847">
        <f t="shared" si="45"/>
        <v>-2.3165339099527664E-2</v>
      </c>
      <c r="AF847">
        <f t="shared" si="45"/>
        <v>-1.3326001533813978E-3</v>
      </c>
    </row>
    <row r="848" spans="6:32" x14ac:dyDescent="0.2">
      <c r="F848">
        <v>13.813000000000001</v>
      </c>
      <c r="AB848" s="29">
        <v>35927</v>
      </c>
      <c r="AC848">
        <v>13.813000000000001</v>
      </c>
      <c r="AD848">
        <v>1115.79</v>
      </c>
      <c r="AE848">
        <f t="shared" si="45"/>
        <v>-1.3703837168515054E-2</v>
      </c>
      <c r="AF848">
        <f t="shared" si="45"/>
        <v>2.7476355862561834E-3</v>
      </c>
    </row>
    <row r="849" spans="6:32" x14ac:dyDescent="0.2">
      <c r="F849">
        <v>13.718999999999999</v>
      </c>
      <c r="AB849" s="29">
        <v>35926</v>
      </c>
      <c r="AC849">
        <v>13.718999999999999</v>
      </c>
      <c r="AD849">
        <v>1106.6400000000001</v>
      </c>
      <c r="AE849">
        <f t="shared" ref="AE849:AF912" si="46">LN(AC848/AC849)</f>
        <v>6.8284443737951081E-3</v>
      </c>
      <c r="AF849">
        <f t="shared" si="46"/>
        <v>8.234276625105421E-3</v>
      </c>
    </row>
    <row r="850" spans="6:32" x14ac:dyDescent="0.2">
      <c r="F850">
        <v>13.75</v>
      </c>
      <c r="AB850" s="29">
        <v>35923</v>
      </c>
      <c r="AC850">
        <v>13.75</v>
      </c>
      <c r="AD850">
        <v>1108.1400000000001</v>
      </c>
      <c r="AE850">
        <f t="shared" si="46"/>
        <v>-2.2570907685525287E-3</v>
      </c>
      <c r="AF850">
        <f t="shared" si="46"/>
        <v>-1.3545365493151786E-3</v>
      </c>
    </row>
    <row r="851" spans="6:32" x14ac:dyDescent="0.2">
      <c r="F851">
        <v>13.625</v>
      </c>
      <c r="AB851" s="29">
        <v>35922</v>
      </c>
      <c r="AC851">
        <v>13.625</v>
      </c>
      <c r="AD851">
        <v>1095.1400000000001</v>
      </c>
      <c r="AE851">
        <f t="shared" si="46"/>
        <v>9.1324835632724723E-3</v>
      </c>
      <c r="AF851">
        <f t="shared" si="46"/>
        <v>1.1800725156606098E-2</v>
      </c>
    </row>
    <row r="852" spans="6:32" x14ac:dyDescent="0.2">
      <c r="F852">
        <v>13.688000000000001</v>
      </c>
      <c r="AB852" s="29">
        <v>35921</v>
      </c>
      <c r="AC852">
        <v>13.688000000000001</v>
      </c>
      <c r="AD852">
        <v>1104.92</v>
      </c>
      <c r="AE852">
        <f t="shared" si="46"/>
        <v>-4.6131960405846424E-3</v>
      </c>
      <c r="AF852">
        <f t="shared" si="46"/>
        <v>-8.890725181663655E-3</v>
      </c>
    </row>
    <row r="853" spans="6:32" x14ac:dyDescent="0.2">
      <c r="F853">
        <v>13.688000000000001</v>
      </c>
      <c r="AB853" s="29">
        <v>35920</v>
      </c>
      <c r="AC853">
        <v>13.688000000000001</v>
      </c>
      <c r="AD853">
        <v>1115.5</v>
      </c>
      <c r="AE853">
        <f t="shared" si="46"/>
        <v>0</v>
      </c>
      <c r="AF853">
        <f t="shared" si="46"/>
        <v>-9.5298007316546203E-3</v>
      </c>
    </row>
    <row r="854" spans="6:32" x14ac:dyDescent="0.2">
      <c r="F854">
        <v>13.593999999999999</v>
      </c>
      <c r="AB854" s="29">
        <v>35919</v>
      </c>
      <c r="AC854">
        <v>13.593999999999999</v>
      </c>
      <c r="AD854">
        <v>1122.07</v>
      </c>
      <c r="AE854">
        <f t="shared" si="46"/>
        <v>6.891017665445965E-3</v>
      </c>
      <c r="AF854">
        <f t="shared" si="46"/>
        <v>-5.8724588557675008E-3</v>
      </c>
    </row>
    <row r="855" spans="6:32" x14ac:dyDescent="0.2">
      <c r="F855">
        <v>13.531000000000001</v>
      </c>
      <c r="AB855" s="29">
        <v>35916</v>
      </c>
      <c r="AC855">
        <v>13.531000000000001</v>
      </c>
      <c r="AD855">
        <v>1121</v>
      </c>
      <c r="AE855">
        <f t="shared" si="46"/>
        <v>4.6451696429392073E-3</v>
      </c>
      <c r="AF855">
        <f t="shared" si="46"/>
        <v>9.5404965619471987E-4</v>
      </c>
    </row>
    <row r="856" spans="6:32" x14ac:dyDescent="0.2">
      <c r="F856">
        <v>12.938000000000001</v>
      </c>
      <c r="AB856" s="29">
        <v>35915</v>
      </c>
      <c r="AC856">
        <v>12.938000000000001</v>
      </c>
      <c r="AD856">
        <v>1111.75</v>
      </c>
      <c r="AE856">
        <f t="shared" si="46"/>
        <v>4.4814631659713389E-2</v>
      </c>
      <c r="AF856">
        <f t="shared" si="46"/>
        <v>8.285793681353992E-3</v>
      </c>
    </row>
    <row r="857" spans="6:32" x14ac:dyDescent="0.2">
      <c r="F857">
        <v>12.781000000000001</v>
      </c>
      <c r="AB857" s="29">
        <v>35914</v>
      </c>
      <c r="AC857">
        <v>12.781000000000001</v>
      </c>
      <c r="AD857">
        <v>1094.6199999999999</v>
      </c>
      <c r="AE857">
        <f t="shared" si="46"/>
        <v>1.2209024472216454E-2</v>
      </c>
      <c r="AF857">
        <f t="shared" si="46"/>
        <v>1.552807933320177E-2</v>
      </c>
    </row>
    <row r="858" spans="6:32" x14ac:dyDescent="0.2">
      <c r="F858">
        <v>12.718999999999999</v>
      </c>
      <c r="AB858" s="29">
        <v>35913</v>
      </c>
      <c r="AC858">
        <v>12.718999999999999</v>
      </c>
      <c r="AD858">
        <v>1085.1099999999999</v>
      </c>
      <c r="AE858">
        <f t="shared" si="46"/>
        <v>4.8627546802300584E-3</v>
      </c>
      <c r="AF858">
        <f t="shared" si="46"/>
        <v>8.725906733422311E-3</v>
      </c>
    </row>
    <row r="859" spans="6:32" x14ac:dyDescent="0.2">
      <c r="F859">
        <v>12.5</v>
      </c>
      <c r="AB859" s="29">
        <v>35912</v>
      </c>
      <c r="AC859">
        <v>12.5</v>
      </c>
      <c r="AD859">
        <v>1086.54</v>
      </c>
      <c r="AE859">
        <f t="shared" si="46"/>
        <v>1.7368294161091979E-2</v>
      </c>
      <c r="AF859">
        <f t="shared" si="46"/>
        <v>-1.3169711571241248E-3</v>
      </c>
    </row>
    <row r="860" spans="6:32" x14ac:dyDescent="0.2">
      <c r="F860">
        <v>12.656000000000001</v>
      </c>
      <c r="AB860" s="29">
        <v>35909</v>
      </c>
      <c r="AC860">
        <v>12.656000000000001</v>
      </c>
      <c r="AD860">
        <v>1107.9000000000001</v>
      </c>
      <c r="AE860">
        <f t="shared" si="46"/>
        <v>-1.2402766717042631E-2</v>
      </c>
      <c r="AF860">
        <f t="shared" si="46"/>
        <v>-1.9467996045321279E-2</v>
      </c>
    </row>
    <row r="861" spans="6:32" x14ac:dyDescent="0.2">
      <c r="F861">
        <v>12.718999999999999</v>
      </c>
      <c r="AB861" s="29">
        <v>35908</v>
      </c>
      <c r="AC861">
        <v>12.718999999999999</v>
      </c>
      <c r="AD861">
        <v>1119.58</v>
      </c>
      <c r="AE861">
        <f t="shared" si="46"/>
        <v>-4.9655274440493034E-3</v>
      </c>
      <c r="AF861">
        <f t="shared" si="46"/>
        <v>-1.0487283432429786E-2</v>
      </c>
    </row>
    <row r="862" spans="6:32" x14ac:dyDescent="0.2">
      <c r="F862">
        <v>12.656000000000001</v>
      </c>
      <c r="AB862" s="29">
        <v>35907</v>
      </c>
      <c r="AC862">
        <v>12.656000000000001</v>
      </c>
      <c r="AD862">
        <v>1130.54</v>
      </c>
      <c r="AE862">
        <f t="shared" si="46"/>
        <v>4.9655274440491793E-3</v>
      </c>
      <c r="AF862">
        <f t="shared" si="46"/>
        <v>-9.7417797071011232E-3</v>
      </c>
    </row>
    <row r="863" spans="6:32" x14ac:dyDescent="0.2">
      <c r="F863">
        <v>12.718999999999999</v>
      </c>
      <c r="AB863" s="29">
        <v>35906</v>
      </c>
      <c r="AC863">
        <v>12.718999999999999</v>
      </c>
      <c r="AD863">
        <v>1126.67</v>
      </c>
      <c r="AE863">
        <f t="shared" si="46"/>
        <v>-4.9655274440493034E-3</v>
      </c>
      <c r="AF863">
        <f t="shared" si="46"/>
        <v>3.4290152816983215E-3</v>
      </c>
    </row>
    <row r="864" spans="6:32" x14ac:dyDescent="0.2">
      <c r="F864">
        <v>12.5</v>
      </c>
      <c r="AB864" s="29">
        <v>35905</v>
      </c>
      <c r="AC864">
        <v>12.5</v>
      </c>
      <c r="AD864">
        <v>1123.6500000000001</v>
      </c>
      <c r="AE864">
        <f t="shared" si="46"/>
        <v>1.7368294161091979E-2</v>
      </c>
      <c r="AF864">
        <f t="shared" si="46"/>
        <v>2.6840643224581916E-3</v>
      </c>
    </row>
    <row r="865" spans="6:32" x14ac:dyDescent="0.2">
      <c r="F865">
        <v>12.875</v>
      </c>
      <c r="AB865" s="29">
        <v>35902</v>
      </c>
      <c r="AC865">
        <v>12.875</v>
      </c>
      <c r="AD865">
        <v>1122.72</v>
      </c>
      <c r="AE865">
        <f t="shared" si="46"/>
        <v>-2.9558802241544391E-2</v>
      </c>
      <c r="AF865">
        <f t="shared" si="46"/>
        <v>8.2800255802302426E-4</v>
      </c>
    </row>
    <row r="866" spans="6:32" x14ac:dyDescent="0.2">
      <c r="F866">
        <v>12.25</v>
      </c>
      <c r="AB866" s="29">
        <v>35901</v>
      </c>
      <c r="AC866">
        <v>12.25</v>
      </c>
      <c r="AD866">
        <v>1108.17</v>
      </c>
      <c r="AE866">
        <f t="shared" si="46"/>
        <v>4.9761509559063798E-2</v>
      </c>
      <c r="AF866">
        <f t="shared" si="46"/>
        <v>1.3044306362979039E-2</v>
      </c>
    </row>
    <row r="867" spans="6:32" x14ac:dyDescent="0.2">
      <c r="F867">
        <v>12.188000000000001</v>
      </c>
      <c r="AB867" s="29">
        <v>35900</v>
      </c>
      <c r="AC867">
        <v>12.188000000000001</v>
      </c>
      <c r="AD867">
        <v>1119.32</v>
      </c>
      <c r="AE867">
        <f t="shared" si="46"/>
        <v>5.0740758672732514E-3</v>
      </c>
      <c r="AF867">
        <f t="shared" si="46"/>
        <v>-1.0011351905137092E-2</v>
      </c>
    </row>
    <row r="868" spans="6:32" x14ac:dyDescent="0.2">
      <c r="F868">
        <v>11.906000000000001</v>
      </c>
      <c r="AB868" s="29">
        <v>35899</v>
      </c>
      <c r="AC868">
        <v>11.906000000000001</v>
      </c>
      <c r="AD868">
        <v>1115.75</v>
      </c>
      <c r="AE868">
        <f t="shared" si="46"/>
        <v>2.3409386392264312E-2</v>
      </c>
      <c r="AF868">
        <f t="shared" si="46"/>
        <v>3.1945335367573819E-3</v>
      </c>
    </row>
    <row r="869" spans="6:32" x14ac:dyDescent="0.2">
      <c r="F869">
        <v>11.718999999999999</v>
      </c>
      <c r="AB869" s="29">
        <v>35898</v>
      </c>
      <c r="AC869">
        <v>11.718999999999999</v>
      </c>
      <c r="AD869">
        <v>1109.69</v>
      </c>
      <c r="AE869">
        <f t="shared" si="46"/>
        <v>1.5831018454733187E-2</v>
      </c>
      <c r="AF869">
        <f t="shared" si="46"/>
        <v>5.4461274879992073E-3</v>
      </c>
    </row>
    <row r="870" spans="6:32" x14ac:dyDescent="0.2">
      <c r="F870">
        <v>11.688000000000001</v>
      </c>
      <c r="AB870" s="29">
        <v>35894</v>
      </c>
      <c r="AC870">
        <v>11.688000000000001</v>
      </c>
      <c r="AD870">
        <v>1110.67</v>
      </c>
      <c r="AE870">
        <f t="shared" si="46"/>
        <v>2.6487818280668085E-3</v>
      </c>
      <c r="AF870">
        <f t="shared" si="46"/>
        <v>-8.827397932201224E-4</v>
      </c>
    </row>
    <row r="871" spans="6:32" x14ac:dyDescent="0.2">
      <c r="F871">
        <v>11.688000000000001</v>
      </c>
      <c r="AB871" s="29">
        <v>35893</v>
      </c>
      <c r="AC871">
        <v>11.688000000000001</v>
      </c>
      <c r="AD871">
        <v>1101.6500000000001</v>
      </c>
      <c r="AE871">
        <f t="shared" si="46"/>
        <v>0</v>
      </c>
      <c r="AF871">
        <f t="shared" si="46"/>
        <v>8.1543809044023925E-3</v>
      </c>
    </row>
    <row r="872" spans="6:32" x14ac:dyDescent="0.2">
      <c r="F872">
        <v>11.875</v>
      </c>
      <c r="AB872" s="29">
        <v>35892</v>
      </c>
      <c r="AC872">
        <v>11.875</v>
      </c>
      <c r="AD872">
        <v>1109.55</v>
      </c>
      <c r="AE872">
        <f t="shared" si="46"/>
        <v>-1.5872675472306537E-2</v>
      </c>
      <c r="AF872">
        <f t="shared" si="46"/>
        <v>-7.1454717917884738E-3</v>
      </c>
    </row>
    <row r="873" spans="6:32" x14ac:dyDescent="0.2">
      <c r="F873">
        <v>12.218999999999999</v>
      </c>
      <c r="AB873" s="29">
        <v>35891</v>
      </c>
      <c r="AC873">
        <v>12.218999999999999</v>
      </c>
      <c r="AD873">
        <v>1121.3800000000001</v>
      </c>
      <c r="AE873">
        <f t="shared" si="46"/>
        <v>-2.8556767413680254E-2</v>
      </c>
      <c r="AF873">
        <f t="shared" si="46"/>
        <v>-1.0605541979247604E-2</v>
      </c>
    </row>
    <row r="874" spans="6:32" x14ac:dyDescent="0.2">
      <c r="F874">
        <v>12.375</v>
      </c>
      <c r="AB874" s="29">
        <v>35888</v>
      </c>
      <c r="AC874">
        <v>12.375</v>
      </c>
      <c r="AD874">
        <v>1122.7</v>
      </c>
      <c r="AE874">
        <f t="shared" si="46"/>
        <v>-1.2686191120368794E-2</v>
      </c>
      <c r="AF874">
        <f t="shared" si="46"/>
        <v>-1.1764287834998863E-3</v>
      </c>
    </row>
    <row r="875" spans="6:32" x14ac:dyDescent="0.2">
      <c r="F875">
        <v>12.5</v>
      </c>
      <c r="AB875" s="29">
        <v>35887</v>
      </c>
      <c r="AC875">
        <v>12.5</v>
      </c>
      <c r="AD875">
        <v>1120.01</v>
      </c>
      <c r="AE875">
        <f t="shared" si="46"/>
        <v>-1.0050335853501451E-2</v>
      </c>
      <c r="AF875">
        <f t="shared" si="46"/>
        <v>2.3988846440244293E-3</v>
      </c>
    </row>
    <row r="876" spans="6:32" x14ac:dyDescent="0.2">
      <c r="F876">
        <v>12.5</v>
      </c>
      <c r="AB876" s="29">
        <v>35886</v>
      </c>
      <c r="AC876">
        <v>12.5</v>
      </c>
      <c r="AD876">
        <v>1108.1500000000001</v>
      </c>
      <c r="AE876">
        <f t="shared" si="46"/>
        <v>0</v>
      </c>
      <c r="AF876">
        <f t="shared" si="46"/>
        <v>1.0645655615026402E-2</v>
      </c>
    </row>
    <row r="877" spans="6:32" x14ac:dyDescent="0.2">
      <c r="F877">
        <v>12.5</v>
      </c>
      <c r="AB877" s="29">
        <v>35885</v>
      </c>
      <c r="AC877">
        <v>12.5</v>
      </c>
      <c r="AD877">
        <v>1101.75</v>
      </c>
      <c r="AE877">
        <f t="shared" si="46"/>
        <v>0</v>
      </c>
      <c r="AF877">
        <f t="shared" si="46"/>
        <v>5.7921334835865585E-3</v>
      </c>
    </row>
    <row r="878" spans="6:32" x14ac:dyDescent="0.2">
      <c r="F878">
        <v>12.188000000000001</v>
      </c>
      <c r="AB878" s="29">
        <v>35884</v>
      </c>
      <c r="AC878">
        <v>12.188000000000001</v>
      </c>
      <c r="AD878">
        <v>1093.5999999999999</v>
      </c>
      <c r="AE878">
        <f t="shared" si="46"/>
        <v>2.527678318479273E-2</v>
      </c>
      <c r="AF878">
        <f t="shared" si="46"/>
        <v>7.4248183123566775E-3</v>
      </c>
    </row>
    <row r="879" spans="6:32" x14ac:dyDescent="0.2">
      <c r="F879">
        <v>12.375</v>
      </c>
      <c r="AB879" s="29">
        <v>35881</v>
      </c>
      <c r="AC879">
        <v>12.375</v>
      </c>
      <c r="AD879">
        <v>1095.44</v>
      </c>
      <c r="AE879">
        <f t="shared" si="46"/>
        <v>-1.5226447331291351E-2</v>
      </c>
      <c r="AF879">
        <f t="shared" si="46"/>
        <v>-1.6811026142385186E-3</v>
      </c>
    </row>
    <row r="880" spans="6:32" x14ac:dyDescent="0.2">
      <c r="F880">
        <v>12.25</v>
      </c>
      <c r="AB880" s="29">
        <v>35880</v>
      </c>
      <c r="AC880">
        <v>12.25</v>
      </c>
      <c r="AD880">
        <v>1100.8</v>
      </c>
      <c r="AE880">
        <f t="shared" si="46"/>
        <v>1.0152371464017908E-2</v>
      </c>
      <c r="AF880">
        <f t="shared" si="46"/>
        <v>-4.8810791551009061E-3</v>
      </c>
    </row>
    <row r="881" spans="6:32" x14ac:dyDescent="0.2">
      <c r="F881">
        <v>12</v>
      </c>
      <c r="AB881" s="29">
        <v>35879</v>
      </c>
      <c r="AC881">
        <v>12</v>
      </c>
      <c r="AD881">
        <v>1101.93</v>
      </c>
      <c r="AE881">
        <f t="shared" si="46"/>
        <v>2.061928720273561E-2</v>
      </c>
      <c r="AF881">
        <f t="shared" si="46"/>
        <v>-1.0259996451012806E-3</v>
      </c>
    </row>
    <row r="882" spans="6:32" x14ac:dyDescent="0.2">
      <c r="F882">
        <v>11.688000000000001</v>
      </c>
      <c r="AB882" s="29">
        <v>35878</v>
      </c>
      <c r="AC882">
        <v>11.688000000000001</v>
      </c>
      <c r="AD882">
        <v>1105.6500000000001</v>
      </c>
      <c r="AE882">
        <f t="shared" si="46"/>
        <v>2.6343975339601852E-2</v>
      </c>
      <c r="AF882">
        <f t="shared" si="46"/>
        <v>-3.3702094792270941E-3</v>
      </c>
    </row>
    <row r="883" spans="6:32" x14ac:dyDescent="0.2">
      <c r="F883">
        <v>11.25</v>
      </c>
      <c r="AB883" s="29">
        <v>35877</v>
      </c>
      <c r="AC883">
        <v>11.25</v>
      </c>
      <c r="AD883">
        <v>1095.55</v>
      </c>
      <c r="AE883">
        <f t="shared" si="46"/>
        <v>3.8194545797969368E-2</v>
      </c>
      <c r="AF883">
        <f t="shared" si="46"/>
        <v>9.1768770497183492E-3</v>
      </c>
    </row>
    <row r="884" spans="6:32" x14ac:dyDescent="0.2">
      <c r="F884">
        <v>10.5</v>
      </c>
      <c r="AB884" s="29">
        <v>35874</v>
      </c>
      <c r="AC884">
        <v>10.5</v>
      </c>
      <c r="AD884">
        <v>1099.1600000000001</v>
      </c>
      <c r="AE884">
        <f t="shared" si="46"/>
        <v>6.8992871486951421E-2</v>
      </c>
      <c r="AF884">
        <f t="shared" si="46"/>
        <v>-3.2897314503675694E-3</v>
      </c>
    </row>
    <row r="885" spans="6:32" x14ac:dyDescent="0.2">
      <c r="F885">
        <v>10.313000000000001</v>
      </c>
      <c r="AB885" s="29">
        <v>35873</v>
      </c>
      <c r="AC885">
        <v>10.313000000000001</v>
      </c>
      <c r="AD885">
        <v>1089.74</v>
      </c>
      <c r="AE885">
        <f t="shared" si="46"/>
        <v>1.7970021829545706E-2</v>
      </c>
      <c r="AF885">
        <f t="shared" si="46"/>
        <v>8.607116044267794E-3</v>
      </c>
    </row>
    <row r="886" spans="6:32" x14ac:dyDescent="0.2">
      <c r="F886">
        <v>10.125</v>
      </c>
      <c r="AB886" s="29">
        <v>35872</v>
      </c>
      <c r="AC886">
        <v>10.125</v>
      </c>
      <c r="AD886">
        <v>1085.52</v>
      </c>
      <c r="AE886">
        <f t="shared" si="46"/>
        <v>1.8397622341329072E-2</v>
      </c>
      <c r="AF886">
        <f t="shared" si="46"/>
        <v>3.8800008220917586E-3</v>
      </c>
    </row>
    <row r="887" spans="6:32" x14ac:dyDescent="0.2">
      <c r="F887">
        <v>10.031000000000001</v>
      </c>
      <c r="AB887" s="29">
        <v>35871</v>
      </c>
      <c r="AC887">
        <v>10.031000000000001</v>
      </c>
      <c r="AD887">
        <v>1080.45</v>
      </c>
      <c r="AE887">
        <f t="shared" si="46"/>
        <v>9.3273150912547252E-3</v>
      </c>
      <c r="AF887">
        <f t="shared" si="46"/>
        <v>4.6815138342157772E-3</v>
      </c>
    </row>
    <row r="888" spans="6:32" x14ac:dyDescent="0.2">
      <c r="F888">
        <v>10.25</v>
      </c>
      <c r="AB888" s="29">
        <v>35870</v>
      </c>
      <c r="AC888">
        <v>10.25</v>
      </c>
      <c r="AD888">
        <v>1079.27</v>
      </c>
      <c r="AE888">
        <f t="shared" si="46"/>
        <v>-2.1597407683068989E-2</v>
      </c>
      <c r="AF888">
        <f t="shared" si="46"/>
        <v>1.0927343520612477E-3</v>
      </c>
    </row>
    <row r="889" spans="6:32" x14ac:dyDescent="0.2">
      <c r="F889">
        <v>10.125</v>
      </c>
      <c r="AB889" s="29">
        <v>35867</v>
      </c>
      <c r="AC889">
        <v>10.125</v>
      </c>
      <c r="AD889">
        <v>1068.6099999999999</v>
      </c>
      <c r="AE889">
        <f t="shared" si="46"/>
        <v>1.2270092591814401E-2</v>
      </c>
      <c r="AF889">
        <f t="shared" si="46"/>
        <v>9.926148132980624E-3</v>
      </c>
    </row>
    <row r="890" spans="6:32" x14ac:dyDescent="0.2">
      <c r="F890">
        <v>10</v>
      </c>
      <c r="AB890" s="29">
        <v>35866</v>
      </c>
      <c r="AC890">
        <v>10</v>
      </c>
      <c r="AD890">
        <v>1069.92</v>
      </c>
      <c r="AE890">
        <f t="shared" si="46"/>
        <v>1.242251999855711E-2</v>
      </c>
      <c r="AF890">
        <f t="shared" si="46"/>
        <v>-1.2251407872286293E-3</v>
      </c>
    </row>
    <row r="891" spans="6:32" x14ac:dyDescent="0.2">
      <c r="F891">
        <v>9.8439999999999994</v>
      </c>
      <c r="AB891" s="29">
        <v>35865</v>
      </c>
      <c r="AC891">
        <v>9.8439999999999994</v>
      </c>
      <c r="AD891">
        <v>1068.47</v>
      </c>
      <c r="AE891">
        <f t="shared" si="46"/>
        <v>1.5722960465236212E-2</v>
      </c>
      <c r="AF891">
        <f t="shared" si="46"/>
        <v>1.3561606837230419E-3</v>
      </c>
    </row>
    <row r="892" spans="6:32" x14ac:dyDescent="0.2">
      <c r="F892">
        <v>9.5</v>
      </c>
      <c r="AB892" s="29">
        <v>35864</v>
      </c>
      <c r="AC892">
        <v>9.5</v>
      </c>
      <c r="AD892">
        <v>1064.25</v>
      </c>
      <c r="AE892">
        <f t="shared" si="46"/>
        <v>3.5570333922314276E-2</v>
      </c>
      <c r="AF892">
        <f t="shared" si="46"/>
        <v>3.95739291368371E-3</v>
      </c>
    </row>
    <row r="893" spans="6:32" x14ac:dyDescent="0.2">
      <c r="F893">
        <v>9.3130000000000006</v>
      </c>
      <c r="AB893" s="29">
        <v>35863</v>
      </c>
      <c r="AC893">
        <v>9.3130000000000006</v>
      </c>
      <c r="AD893">
        <v>1052.31</v>
      </c>
      <c r="AE893">
        <f t="shared" si="46"/>
        <v>1.9880525066974412E-2</v>
      </c>
      <c r="AF893">
        <f t="shared" si="46"/>
        <v>1.1282578013205456E-2</v>
      </c>
    </row>
    <row r="894" spans="6:32" x14ac:dyDescent="0.2">
      <c r="F894">
        <v>8.9689999999999994</v>
      </c>
      <c r="AB894" s="29">
        <v>35860</v>
      </c>
      <c r="AC894">
        <v>8.9689999999999994</v>
      </c>
      <c r="AD894">
        <v>1055.69</v>
      </c>
      <c r="AE894">
        <f t="shared" si="46"/>
        <v>3.7637086403654929E-2</v>
      </c>
      <c r="AF894">
        <f t="shared" si="46"/>
        <v>-3.206833867740619E-3</v>
      </c>
    </row>
    <row r="895" spans="6:32" x14ac:dyDescent="0.2">
      <c r="F895">
        <v>9</v>
      </c>
      <c r="AB895" s="29">
        <v>35859</v>
      </c>
      <c r="AC895">
        <v>9</v>
      </c>
      <c r="AD895">
        <v>1035.05</v>
      </c>
      <c r="AE895">
        <f t="shared" si="46"/>
        <v>-3.4503902003533708E-3</v>
      </c>
      <c r="AF895">
        <f t="shared" si="46"/>
        <v>1.9744846851434381E-2</v>
      </c>
    </row>
    <row r="896" spans="6:32" x14ac:dyDescent="0.2">
      <c r="F896">
        <v>9.1560000000000006</v>
      </c>
      <c r="AB896" s="29">
        <v>35858</v>
      </c>
      <c r="AC896">
        <v>9.1560000000000006</v>
      </c>
      <c r="AD896">
        <v>1047.33</v>
      </c>
      <c r="AE896">
        <f t="shared" si="46"/>
        <v>-1.718482475410097E-2</v>
      </c>
      <c r="AF896">
        <f t="shared" si="46"/>
        <v>-1.1794333744842284E-2</v>
      </c>
    </row>
    <row r="897" spans="6:32" x14ac:dyDescent="0.2">
      <c r="F897">
        <v>9.3130000000000006</v>
      </c>
      <c r="AB897" s="29">
        <v>35857</v>
      </c>
      <c r="AC897">
        <v>9.3130000000000006</v>
      </c>
      <c r="AD897">
        <v>1052.02</v>
      </c>
      <c r="AE897">
        <f t="shared" si="46"/>
        <v>-1.7001871449200512E-2</v>
      </c>
      <c r="AF897">
        <f t="shared" si="46"/>
        <v>-4.4680570675799842E-3</v>
      </c>
    </row>
    <row r="898" spans="6:32" x14ac:dyDescent="0.2">
      <c r="F898">
        <v>9.4060000000000006</v>
      </c>
      <c r="AB898" s="29">
        <v>35856</v>
      </c>
      <c r="AC898">
        <v>9.4060000000000006</v>
      </c>
      <c r="AD898">
        <v>1047.7</v>
      </c>
      <c r="AE898">
        <f t="shared" si="46"/>
        <v>-9.9365099833354509E-3</v>
      </c>
      <c r="AF898">
        <f t="shared" si="46"/>
        <v>4.1148401648654735E-3</v>
      </c>
    </row>
    <row r="899" spans="6:32" x14ac:dyDescent="0.2">
      <c r="F899">
        <v>9.6880000000000006</v>
      </c>
      <c r="AB899" s="29">
        <v>35853</v>
      </c>
      <c r="AC899">
        <v>9.6880000000000006</v>
      </c>
      <c r="AD899">
        <v>1049.3399999999999</v>
      </c>
      <c r="AE899">
        <f t="shared" si="46"/>
        <v>-2.9540222727934912E-2</v>
      </c>
      <c r="AF899">
        <f t="shared" si="46"/>
        <v>-1.5641097302355384E-3</v>
      </c>
    </row>
    <row r="900" spans="6:32" x14ac:dyDescent="0.2">
      <c r="F900">
        <v>9.75</v>
      </c>
      <c r="AB900" s="29">
        <v>35852</v>
      </c>
      <c r="AC900">
        <v>9.75</v>
      </c>
      <c r="AD900">
        <v>1048.67</v>
      </c>
      <c r="AE900">
        <f t="shared" si="46"/>
        <v>-6.3792787589645773E-3</v>
      </c>
      <c r="AF900">
        <f t="shared" si="46"/>
        <v>6.3870050455094559E-4</v>
      </c>
    </row>
    <row r="901" spans="6:32" x14ac:dyDescent="0.2">
      <c r="F901">
        <v>9.2189999999999994</v>
      </c>
      <c r="AB901" s="29">
        <v>35851</v>
      </c>
      <c r="AC901">
        <v>9.2189999999999994</v>
      </c>
      <c r="AD901">
        <v>1042.9000000000001</v>
      </c>
      <c r="AE901">
        <f t="shared" si="46"/>
        <v>5.6000713193298593E-2</v>
      </c>
      <c r="AF901">
        <f t="shared" si="46"/>
        <v>5.5174004574367599E-3</v>
      </c>
    </row>
    <row r="902" spans="6:32" x14ac:dyDescent="0.2">
      <c r="F902">
        <v>9.1880000000000006</v>
      </c>
      <c r="AB902" s="29">
        <v>35850</v>
      </c>
      <c r="AC902">
        <v>9.1880000000000006</v>
      </c>
      <c r="AD902">
        <v>1030.56</v>
      </c>
      <c r="AE902">
        <f t="shared" si="46"/>
        <v>3.3682869896052886E-3</v>
      </c>
      <c r="AF902">
        <f t="shared" si="46"/>
        <v>1.1902950328586726E-2</v>
      </c>
    </row>
    <row r="903" spans="6:32" x14ac:dyDescent="0.2">
      <c r="F903">
        <v>9.25</v>
      </c>
      <c r="AB903" s="29">
        <v>35849</v>
      </c>
      <c r="AC903">
        <v>9.25</v>
      </c>
      <c r="AD903">
        <v>1038.1400000000001</v>
      </c>
      <c r="AE903">
        <f t="shared" si="46"/>
        <v>-6.7252666974819833E-3</v>
      </c>
      <c r="AF903">
        <f t="shared" si="46"/>
        <v>-7.3283065916231842E-3</v>
      </c>
    </row>
    <row r="904" spans="6:32" x14ac:dyDescent="0.2">
      <c r="F904">
        <v>9.375</v>
      </c>
      <c r="AB904" s="29">
        <v>35846</v>
      </c>
      <c r="AC904">
        <v>9.375</v>
      </c>
      <c r="AD904">
        <v>1034.21</v>
      </c>
      <c r="AE904">
        <f t="shared" si="46"/>
        <v>-1.3423020332140661E-2</v>
      </c>
      <c r="AF904">
        <f t="shared" si="46"/>
        <v>3.7928001652187825E-3</v>
      </c>
    </row>
    <row r="905" spans="6:32" x14ac:dyDescent="0.2">
      <c r="F905">
        <v>9.25</v>
      </c>
      <c r="AB905" s="29">
        <v>35845</v>
      </c>
      <c r="AC905">
        <v>9.25</v>
      </c>
      <c r="AD905">
        <v>1028.28</v>
      </c>
      <c r="AE905">
        <f t="shared" si="46"/>
        <v>1.3423020332140771E-2</v>
      </c>
      <c r="AF905">
        <f t="shared" si="46"/>
        <v>5.7503467559571649E-3</v>
      </c>
    </row>
    <row r="906" spans="6:32" x14ac:dyDescent="0.2">
      <c r="F906">
        <v>9.5</v>
      </c>
      <c r="AB906" s="29">
        <v>35844</v>
      </c>
      <c r="AC906">
        <v>9.5</v>
      </c>
      <c r="AD906">
        <v>1032.08</v>
      </c>
      <c r="AE906">
        <f t="shared" si="46"/>
        <v>-2.6668247082161294E-2</v>
      </c>
      <c r="AF906">
        <f t="shared" si="46"/>
        <v>-3.6886799478533842E-3</v>
      </c>
    </row>
    <row r="907" spans="6:32" x14ac:dyDescent="0.2">
      <c r="F907">
        <v>9.0310000000000006</v>
      </c>
      <c r="AB907" s="29">
        <v>35843</v>
      </c>
      <c r="AC907">
        <v>9.0310000000000006</v>
      </c>
      <c r="AD907">
        <v>1022.76</v>
      </c>
      <c r="AE907">
        <f t="shared" si="46"/>
        <v>5.0628695337833284E-2</v>
      </c>
      <c r="AF907">
        <f t="shared" si="46"/>
        <v>9.0713280946745703E-3</v>
      </c>
    </row>
    <row r="908" spans="6:32" x14ac:dyDescent="0.2">
      <c r="F908">
        <v>9.3130000000000006</v>
      </c>
      <c r="AB908" s="29">
        <v>35839</v>
      </c>
      <c r="AC908">
        <v>9.3130000000000006</v>
      </c>
      <c r="AD908">
        <v>1020.09</v>
      </c>
      <c r="AE908">
        <f t="shared" si="46"/>
        <v>-3.0748170270859042E-2</v>
      </c>
      <c r="AF908">
        <f t="shared" si="46"/>
        <v>2.6139966422767092E-3</v>
      </c>
    </row>
    <row r="909" spans="6:32" x14ac:dyDescent="0.2">
      <c r="F909">
        <v>9.0630000000000006</v>
      </c>
      <c r="AB909" s="29">
        <v>35838</v>
      </c>
      <c r="AC909">
        <v>9.0630000000000006</v>
      </c>
      <c r="AD909">
        <v>1024.1400000000001</v>
      </c>
      <c r="AE909">
        <f t="shared" si="46"/>
        <v>2.7211082466876209E-2</v>
      </c>
      <c r="AF909">
        <f t="shared" si="46"/>
        <v>-3.9623773243668038E-3</v>
      </c>
    </row>
    <row r="910" spans="6:32" x14ac:dyDescent="0.2">
      <c r="F910">
        <v>9.4380000000000006</v>
      </c>
      <c r="AB910" s="29">
        <v>35837</v>
      </c>
      <c r="AC910">
        <v>9.4380000000000006</v>
      </c>
      <c r="AD910">
        <v>1020.01</v>
      </c>
      <c r="AE910">
        <f t="shared" si="46"/>
        <v>-4.0543902231551111E-2</v>
      </c>
      <c r="AF910">
        <f t="shared" si="46"/>
        <v>4.0408048524694876E-3</v>
      </c>
    </row>
    <row r="911" spans="6:32" x14ac:dyDescent="0.2">
      <c r="F911">
        <v>9.8130000000000006</v>
      </c>
      <c r="AB911" s="29">
        <v>35836</v>
      </c>
      <c r="AC911">
        <v>9.8130000000000006</v>
      </c>
      <c r="AD911">
        <v>1019.01</v>
      </c>
      <c r="AE911">
        <f t="shared" si="46"/>
        <v>-3.8963943920160754E-2</v>
      </c>
      <c r="AF911">
        <f t="shared" si="46"/>
        <v>9.8086343456594638E-4</v>
      </c>
    </row>
    <row r="912" spans="6:32" x14ac:dyDescent="0.2">
      <c r="F912">
        <v>9.7810000000000006</v>
      </c>
      <c r="AB912" s="29">
        <v>35835</v>
      </c>
      <c r="AC912">
        <v>9.7810000000000006</v>
      </c>
      <c r="AD912">
        <v>1010.74</v>
      </c>
      <c r="AE912">
        <f t="shared" si="46"/>
        <v>3.2663089160007222E-3</v>
      </c>
      <c r="AF912">
        <f t="shared" si="46"/>
        <v>8.1488318886576289E-3</v>
      </c>
    </row>
    <row r="913" spans="6:32" x14ac:dyDescent="0.2">
      <c r="F913">
        <v>10.031000000000001</v>
      </c>
      <c r="AB913" s="29">
        <v>35832</v>
      </c>
      <c r="AC913">
        <v>10.031000000000001</v>
      </c>
      <c r="AD913">
        <v>1012.46</v>
      </c>
      <c r="AE913">
        <f t="shared" ref="AE913:AF976" si="47">LN(AC912/AC913)</f>
        <v>-2.5238569592992234E-2</v>
      </c>
      <c r="AF913">
        <f t="shared" si="47"/>
        <v>-1.7002771988616093E-3</v>
      </c>
    </row>
    <row r="914" spans="6:32" x14ac:dyDescent="0.2">
      <c r="F914">
        <v>9.9689999999999994</v>
      </c>
      <c r="AB914" s="29">
        <v>35831</v>
      </c>
      <c r="AC914">
        <v>9.9689999999999994</v>
      </c>
      <c r="AD914">
        <v>1003.54</v>
      </c>
      <c r="AE914">
        <f t="shared" si="47"/>
        <v>6.2000198607812711E-3</v>
      </c>
      <c r="AF914">
        <f t="shared" si="47"/>
        <v>8.8492640971896061E-3</v>
      </c>
    </row>
    <row r="915" spans="6:32" x14ac:dyDescent="0.2">
      <c r="F915">
        <v>9.5630000000000006</v>
      </c>
      <c r="AB915" s="29">
        <v>35830</v>
      </c>
      <c r="AC915">
        <v>9.5630000000000006</v>
      </c>
      <c r="AD915">
        <v>1006.9</v>
      </c>
      <c r="AE915">
        <f t="shared" si="47"/>
        <v>4.1578792673161259E-2</v>
      </c>
      <c r="AF915">
        <f t="shared" si="47"/>
        <v>-3.3425549912935266E-3</v>
      </c>
    </row>
    <row r="916" spans="6:32" x14ac:dyDescent="0.2">
      <c r="F916">
        <v>9.25</v>
      </c>
      <c r="AB916" s="29">
        <v>35829</v>
      </c>
      <c r="AC916">
        <v>9.25</v>
      </c>
      <c r="AD916">
        <v>1006</v>
      </c>
      <c r="AE916">
        <f t="shared" si="47"/>
        <v>3.3277933843071851E-2</v>
      </c>
      <c r="AF916">
        <f t="shared" si="47"/>
        <v>8.9423226188458825E-4</v>
      </c>
    </row>
    <row r="917" spans="6:32" x14ac:dyDescent="0.2">
      <c r="F917">
        <v>9.0630000000000006</v>
      </c>
      <c r="AB917" s="29">
        <v>35828</v>
      </c>
      <c r="AC917">
        <v>9.0630000000000006</v>
      </c>
      <c r="AD917">
        <v>1001.27</v>
      </c>
      <c r="AE917">
        <f t="shared" si="47"/>
        <v>2.0423360451689191E-2</v>
      </c>
      <c r="AF917">
        <f t="shared" si="47"/>
        <v>4.7128774454029149E-3</v>
      </c>
    </row>
    <row r="918" spans="6:32" x14ac:dyDescent="0.2">
      <c r="F918">
        <v>8.8439999999999994</v>
      </c>
      <c r="AB918" s="29">
        <v>35825</v>
      </c>
      <c r="AC918">
        <v>8.8439999999999994</v>
      </c>
      <c r="AD918">
        <v>980.28</v>
      </c>
      <c r="AE918">
        <f t="shared" si="47"/>
        <v>2.4460928077444898E-2</v>
      </c>
      <c r="AF918">
        <f t="shared" si="47"/>
        <v>2.1186228072503428E-2</v>
      </c>
    </row>
    <row r="919" spans="6:32" x14ac:dyDescent="0.2">
      <c r="F919">
        <v>8.9060000000000006</v>
      </c>
      <c r="AB919" s="29">
        <v>35824</v>
      </c>
      <c r="AC919">
        <v>8.9060000000000006</v>
      </c>
      <c r="AD919">
        <v>985.49</v>
      </c>
      <c r="AE919">
        <f t="shared" si="47"/>
        <v>-6.9859439043109201E-3</v>
      </c>
      <c r="AF919">
        <f t="shared" si="47"/>
        <v>-5.300734266079435E-3</v>
      </c>
    </row>
    <row r="920" spans="6:32" x14ac:dyDescent="0.2">
      <c r="F920">
        <v>8.9689999999999994</v>
      </c>
      <c r="AB920" s="29">
        <v>35823</v>
      </c>
      <c r="AC920">
        <v>8.9689999999999994</v>
      </c>
      <c r="AD920">
        <v>977.46</v>
      </c>
      <c r="AE920">
        <f t="shared" si="47"/>
        <v>-7.0489802363553041E-3</v>
      </c>
      <c r="AF920">
        <f t="shared" si="47"/>
        <v>8.1816091017246056E-3</v>
      </c>
    </row>
    <row r="921" spans="6:32" x14ac:dyDescent="0.2">
      <c r="F921">
        <v>9.125</v>
      </c>
      <c r="AB921" s="29">
        <v>35822</v>
      </c>
      <c r="AC921">
        <v>9.125</v>
      </c>
      <c r="AD921">
        <v>969.02</v>
      </c>
      <c r="AE921">
        <f t="shared" si="47"/>
        <v>-1.7243712332689193E-2</v>
      </c>
      <c r="AF921">
        <f t="shared" si="47"/>
        <v>8.6721187934839881E-3</v>
      </c>
    </row>
    <row r="922" spans="6:32" x14ac:dyDescent="0.2">
      <c r="F922">
        <v>9.0310000000000006</v>
      </c>
      <c r="AB922" s="29">
        <v>35821</v>
      </c>
      <c r="AC922">
        <v>9.0310000000000006</v>
      </c>
      <c r="AD922">
        <v>956.95</v>
      </c>
      <c r="AE922">
        <f t="shared" si="47"/>
        <v>1.0354796199893483E-2</v>
      </c>
      <c r="AF922">
        <f t="shared" si="47"/>
        <v>1.253410802856683E-2</v>
      </c>
    </row>
    <row r="923" spans="6:32" x14ac:dyDescent="0.2">
      <c r="F923">
        <v>9.5310000000000006</v>
      </c>
      <c r="AB923" s="29">
        <v>35818</v>
      </c>
      <c r="AC923">
        <v>9.5310000000000006</v>
      </c>
      <c r="AD923">
        <v>957.59</v>
      </c>
      <c r="AE923">
        <f t="shared" si="47"/>
        <v>-5.3886540686827016E-2</v>
      </c>
      <c r="AF923">
        <f t="shared" si="47"/>
        <v>-6.6856793155434951E-4</v>
      </c>
    </row>
    <row r="924" spans="6:32" x14ac:dyDescent="0.2">
      <c r="F924">
        <v>9.8439999999999994</v>
      </c>
      <c r="AB924" s="29">
        <v>35817</v>
      </c>
      <c r="AC924">
        <v>9.8439999999999994</v>
      </c>
      <c r="AD924">
        <v>963.04</v>
      </c>
      <c r="AE924">
        <f t="shared" si="47"/>
        <v>-3.2312488573320468E-2</v>
      </c>
      <c r="AF924">
        <f t="shared" si="47"/>
        <v>-5.6752363838239945E-3</v>
      </c>
    </row>
    <row r="925" spans="6:32" x14ac:dyDescent="0.2">
      <c r="F925">
        <v>10.156000000000001</v>
      </c>
      <c r="AB925" s="29">
        <v>35816</v>
      </c>
      <c r="AC925">
        <v>10.156000000000001</v>
      </c>
      <c r="AD925">
        <v>970.81</v>
      </c>
      <c r="AE925">
        <f t="shared" si="47"/>
        <v>-3.1202531313622741E-2</v>
      </c>
      <c r="AF925">
        <f t="shared" si="47"/>
        <v>-8.0358267827924275E-3</v>
      </c>
    </row>
    <row r="926" spans="6:32" x14ac:dyDescent="0.2">
      <c r="F926">
        <v>10.343999999999999</v>
      </c>
      <c r="AB926" s="29">
        <v>35815</v>
      </c>
      <c r="AC926">
        <v>10.343999999999999</v>
      </c>
      <c r="AD926">
        <v>978.6</v>
      </c>
      <c r="AE926">
        <f t="shared" si="47"/>
        <v>-1.8341977627124209E-2</v>
      </c>
      <c r="AF926">
        <f t="shared" si="47"/>
        <v>-7.9922042727701339E-3</v>
      </c>
    </row>
    <row r="927" spans="6:32" x14ac:dyDescent="0.2">
      <c r="F927">
        <v>10.125</v>
      </c>
      <c r="AB927" s="29">
        <v>35811</v>
      </c>
      <c r="AC927">
        <v>10.125</v>
      </c>
      <c r="AD927">
        <v>961.51</v>
      </c>
      <c r="AE927">
        <f t="shared" si="47"/>
        <v>2.1399028476953554E-2</v>
      </c>
      <c r="AF927">
        <f t="shared" si="47"/>
        <v>1.7618013464256187E-2</v>
      </c>
    </row>
    <row r="928" spans="6:32" x14ac:dyDescent="0.2">
      <c r="F928">
        <v>9.391</v>
      </c>
      <c r="AB928" s="29">
        <v>35810</v>
      </c>
      <c r="AC928">
        <v>9.391</v>
      </c>
      <c r="AD928">
        <v>950.73</v>
      </c>
      <c r="AE928">
        <f t="shared" si="47"/>
        <v>7.5255829170126312E-2</v>
      </c>
      <c r="AF928">
        <f t="shared" si="47"/>
        <v>1.1274854827849679E-2</v>
      </c>
    </row>
    <row r="929" spans="6:32" x14ac:dyDescent="0.2">
      <c r="F929">
        <v>9.5630000000000006</v>
      </c>
      <c r="AB929" s="29">
        <v>35809</v>
      </c>
      <c r="AC929">
        <v>9.5630000000000006</v>
      </c>
      <c r="AD929">
        <v>957.94</v>
      </c>
      <c r="AE929">
        <f t="shared" si="47"/>
        <v>-1.8149701544929155E-2</v>
      </c>
      <c r="AF929">
        <f t="shared" si="47"/>
        <v>-7.55503496640577E-3</v>
      </c>
    </row>
    <row r="930" spans="6:32" x14ac:dyDescent="0.2">
      <c r="F930">
        <v>9.4060000000000006</v>
      </c>
      <c r="AB930" s="29">
        <v>35808</v>
      </c>
      <c r="AC930">
        <v>9.4060000000000006</v>
      </c>
      <c r="AD930">
        <v>952.12</v>
      </c>
      <c r="AE930">
        <f t="shared" si="47"/>
        <v>1.6553701844549407E-2</v>
      </c>
      <c r="AF930">
        <f t="shared" si="47"/>
        <v>6.0940682614764596E-3</v>
      </c>
    </row>
    <row r="931" spans="6:32" x14ac:dyDescent="0.2">
      <c r="F931">
        <v>8.9689999999999994</v>
      </c>
      <c r="AB931" s="29">
        <v>35807</v>
      </c>
      <c r="AC931">
        <v>8.9689999999999994</v>
      </c>
      <c r="AD931">
        <v>939.21</v>
      </c>
      <c r="AE931">
        <f t="shared" si="47"/>
        <v>4.7573596386990373E-2</v>
      </c>
      <c r="AF931">
        <f t="shared" si="47"/>
        <v>1.3651980891242489E-2</v>
      </c>
    </row>
    <row r="932" spans="6:32" x14ac:dyDescent="0.2">
      <c r="F932">
        <v>9.0939999999999994</v>
      </c>
      <c r="AB932" s="29">
        <v>35804</v>
      </c>
      <c r="AC932">
        <v>9.0939999999999994</v>
      </c>
      <c r="AD932">
        <v>927.69</v>
      </c>
      <c r="AE932">
        <f t="shared" si="47"/>
        <v>-1.3840668266952797E-2</v>
      </c>
      <c r="AF932">
        <f t="shared" si="47"/>
        <v>1.234147112224737E-2</v>
      </c>
    </row>
    <row r="933" spans="6:32" x14ac:dyDescent="0.2">
      <c r="F933">
        <v>9.25</v>
      </c>
      <c r="AB933" s="29">
        <v>35803</v>
      </c>
      <c r="AC933">
        <v>9.25</v>
      </c>
      <c r="AD933">
        <v>956.05</v>
      </c>
      <c r="AE933">
        <f t="shared" si="47"/>
        <v>-1.7008696121515083E-2</v>
      </c>
      <c r="AF933">
        <f t="shared" si="47"/>
        <v>-3.0112587684611704E-2</v>
      </c>
    </row>
    <row r="934" spans="6:32" x14ac:dyDescent="0.2">
      <c r="F934">
        <v>9.5630000000000006</v>
      </c>
      <c r="AB934" s="29">
        <v>35802</v>
      </c>
      <c r="AC934">
        <v>9.5630000000000006</v>
      </c>
      <c r="AD934">
        <v>964</v>
      </c>
      <c r="AE934">
        <f t="shared" si="47"/>
        <v>-3.32779338430719E-2</v>
      </c>
      <c r="AF934">
        <f t="shared" si="47"/>
        <v>-8.2810816715772478E-3</v>
      </c>
    </row>
    <row r="935" spans="6:32" x14ac:dyDescent="0.2">
      <c r="F935">
        <v>10.218999999999999</v>
      </c>
      <c r="AB935" s="29">
        <v>35801</v>
      </c>
      <c r="AC935">
        <v>10.218999999999999</v>
      </c>
      <c r="AD935">
        <v>966.58</v>
      </c>
      <c r="AE935">
        <f t="shared" si="47"/>
        <v>-6.6347247262666276E-2</v>
      </c>
      <c r="AF935">
        <f t="shared" si="47"/>
        <v>-2.6727735042311263E-3</v>
      </c>
    </row>
    <row r="936" spans="6:32" x14ac:dyDescent="0.2">
      <c r="F936">
        <v>10.218999999999999</v>
      </c>
      <c r="AB936" s="29">
        <v>35800</v>
      </c>
      <c r="AC936">
        <v>10.218999999999999</v>
      </c>
      <c r="AD936">
        <v>977.07</v>
      </c>
      <c r="AE936">
        <f t="shared" si="47"/>
        <v>0</v>
      </c>
      <c r="AF936">
        <f t="shared" si="47"/>
        <v>-1.0794229263157798E-2</v>
      </c>
    </row>
    <row r="937" spans="6:32" x14ac:dyDescent="0.2">
      <c r="F937">
        <v>10.188000000000001</v>
      </c>
      <c r="AB937" s="29">
        <v>35797</v>
      </c>
      <c r="AC937">
        <v>10.188000000000001</v>
      </c>
      <c r="AD937">
        <v>975.04</v>
      </c>
      <c r="AE937">
        <f t="shared" si="47"/>
        <v>3.0381755128613829E-3</v>
      </c>
      <c r="AF937">
        <f t="shared" si="47"/>
        <v>2.0798015805903493E-3</v>
      </c>
    </row>
    <row r="938" spans="6:32" x14ac:dyDescent="0.2">
      <c r="F938">
        <v>10.218999999999999</v>
      </c>
      <c r="AB938" s="29">
        <v>35795</v>
      </c>
      <c r="AC938">
        <v>10.218999999999999</v>
      </c>
      <c r="AD938">
        <v>970.43</v>
      </c>
      <c r="AE938">
        <f t="shared" si="47"/>
        <v>-3.0381755128613304E-3</v>
      </c>
      <c r="AF938">
        <f t="shared" si="47"/>
        <v>4.7392235588031573E-3</v>
      </c>
    </row>
    <row r="939" spans="6:32" x14ac:dyDescent="0.2">
      <c r="F939">
        <v>9.5939999999999994</v>
      </c>
      <c r="AB939" s="29">
        <v>35794</v>
      </c>
      <c r="AC939">
        <v>9.5939999999999994</v>
      </c>
      <c r="AD939">
        <v>970.84</v>
      </c>
      <c r="AE939">
        <f t="shared" si="47"/>
        <v>6.311082955019981E-2</v>
      </c>
      <c r="AF939">
        <f t="shared" si="47"/>
        <v>-4.2240389651750131E-4</v>
      </c>
    </row>
    <row r="940" spans="6:32" x14ac:dyDescent="0.2">
      <c r="F940">
        <v>8.9060000000000006</v>
      </c>
      <c r="AB940" s="29">
        <v>35793</v>
      </c>
      <c r="AC940">
        <v>8.9060000000000006</v>
      </c>
      <c r="AD940">
        <v>953.35</v>
      </c>
      <c r="AE940">
        <f t="shared" si="47"/>
        <v>7.4412696180361323E-2</v>
      </c>
      <c r="AF940">
        <f t="shared" si="47"/>
        <v>1.8179578624604887E-2</v>
      </c>
    </row>
    <row r="941" spans="6:32" x14ac:dyDescent="0.2">
      <c r="F941">
        <v>9</v>
      </c>
      <c r="AB941" s="29">
        <v>35790</v>
      </c>
      <c r="AC941">
        <v>9</v>
      </c>
      <c r="AD941">
        <v>936.46</v>
      </c>
      <c r="AE941">
        <f t="shared" si="47"/>
        <v>-1.049937043670867E-2</v>
      </c>
      <c r="AF941">
        <f t="shared" si="47"/>
        <v>1.7875288764878351E-2</v>
      </c>
    </row>
    <row r="942" spans="6:32" x14ac:dyDescent="0.2">
      <c r="F942">
        <v>9.25</v>
      </c>
      <c r="AB942" s="29">
        <v>35788</v>
      </c>
      <c r="AC942">
        <v>9.25</v>
      </c>
      <c r="AD942">
        <v>932.7</v>
      </c>
      <c r="AE942">
        <f t="shared" si="47"/>
        <v>-2.7398974188114388E-2</v>
      </c>
      <c r="AF942">
        <f t="shared" si="47"/>
        <v>4.0232030127574665E-3</v>
      </c>
    </row>
    <row r="943" spans="6:32" x14ac:dyDescent="0.2">
      <c r="F943">
        <v>9.625</v>
      </c>
      <c r="AB943" s="29">
        <v>35787</v>
      </c>
      <c r="AC943">
        <v>9.625</v>
      </c>
      <c r="AD943">
        <v>939.13</v>
      </c>
      <c r="AE943">
        <f t="shared" si="47"/>
        <v>-3.9740328649514108E-2</v>
      </c>
      <c r="AF943">
        <f t="shared" si="47"/>
        <v>-6.8703090472186238E-3</v>
      </c>
    </row>
    <row r="944" spans="6:32" x14ac:dyDescent="0.2">
      <c r="F944">
        <v>9.7189999999999994</v>
      </c>
      <c r="AB944" s="29">
        <v>35786</v>
      </c>
      <c r="AC944">
        <v>9.7189999999999994</v>
      </c>
      <c r="AD944">
        <v>953.7</v>
      </c>
      <c r="AE944">
        <f t="shared" si="47"/>
        <v>-9.7188523474855265E-3</v>
      </c>
      <c r="AF944">
        <f t="shared" si="47"/>
        <v>-1.5395241804830193E-2</v>
      </c>
    </row>
    <row r="945" spans="6:32" x14ac:dyDescent="0.2">
      <c r="F945">
        <v>9.875</v>
      </c>
      <c r="AB945" s="29">
        <v>35783</v>
      </c>
      <c r="AC945">
        <v>9.875</v>
      </c>
      <c r="AD945">
        <v>946.78</v>
      </c>
      <c r="AE945">
        <f t="shared" si="47"/>
        <v>-1.5923578265852049E-2</v>
      </c>
      <c r="AF945">
        <f t="shared" si="47"/>
        <v>7.28240295353055E-3</v>
      </c>
    </row>
    <row r="946" spans="6:32" x14ac:dyDescent="0.2">
      <c r="F946">
        <v>10.281000000000001</v>
      </c>
      <c r="AB946" s="29">
        <v>35782</v>
      </c>
      <c r="AC946">
        <v>10.281000000000001</v>
      </c>
      <c r="AD946">
        <v>955.3</v>
      </c>
      <c r="AE946">
        <f t="shared" si="47"/>
        <v>-4.0291220773395919E-2</v>
      </c>
      <c r="AF946">
        <f t="shared" si="47"/>
        <v>-8.9586736446264376E-3</v>
      </c>
    </row>
    <row r="947" spans="6:32" x14ac:dyDescent="0.2">
      <c r="F947">
        <v>10.593999999999999</v>
      </c>
      <c r="AB947" s="29">
        <v>35781</v>
      </c>
      <c r="AC947">
        <v>10.593999999999999</v>
      </c>
      <c r="AD947">
        <v>965.54</v>
      </c>
      <c r="AE947">
        <f t="shared" si="47"/>
        <v>-2.9990271561753386E-2</v>
      </c>
      <c r="AF947">
        <f t="shared" si="47"/>
        <v>-1.0662103045673908E-2</v>
      </c>
    </row>
    <row r="948" spans="6:32" x14ac:dyDescent="0.2">
      <c r="F948">
        <v>10.531000000000001</v>
      </c>
      <c r="AB948" s="29">
        <v>35780</v>
      </c>
      <c r="AC948">
        <v>10.531000000000001</v>
      </c>
      <c r="AD948">
        <v>968.04</v>
      </c>
      <c r="AE948">
        <f t="shared" si="47"/>
        <v>5.9645147238747654E-3</v>
      </c>
      <c r="AF948">
        <f t="shared" si="47"/>
        <v>-2.5858784152466632E-3</v>
      </c>
    </row>
    <row r="949" spans="6:32" x14ac:dyDescent="0.2">
      <c r="F949">
        <v>10.593999999999999</v>
      </c>
      <c r="AB949" s="29">
        <v>35779</v>
      </c>
      <c r="AC949">
        <v>10.593999999999999</v>
      </c>
      <c r="AD949">
        <v>963.39</v>
      </c>
      <c r="AE949">
        <f t="shared" si="47"/>
        <v>-5.9645147238747117E-3</v>
      </c>
      <c r="AF949">
        <f t="shared" si="47"/>
        <v>4.8150944991393165E-3</v>
      </c>
    </row>
    <row r="950" spans="6:32" x14ac:dyDescent="0.2">
      <c r="F950">
        <v>10.75</v>
      </c>
      <c r="AB950" s="29">
        <v>35776</v>
      </c>
      <c r="AC950">
        <v>10.75</v>
      </c>
      <c r="AD950">
        <v>953.39</v>
      </c>
      <c r="AE950">
        <f t="shared" si="47"/>
        <v>-1.4617951451336923E-2</v>
      </c>
      <c r="AF950">
        <f t="shared" si="47"/>
        <v>1.0434260299034926E-2</v>
      </c>
    </row>
    <row r="951" spans="6:32" x14ac:dyDescent="0.2">
      <c r="F951">
        <v>10.75</v>
      </c>
      <c r="AB951" s="29">
        <v>35775</v>
      </c>
      <c r="AC951">
        <v>10.75</v>
      </c>
      <c r="AD951">
        <v>954.94</v>
      </c>
      <c r="AE951">
        <f t="shared" si="47"/>
        <v>0</v>
      </c>
      <c r="AF951">
        <f t="shared" si="47"/>
        <v>-1.6244573431775688E-3</v>
      </c>
    </row>
    <row r="952" spans="6:32" x14ac:dyDescent="0.2">
      <c r="F952">
        <v>10.968999999999999</v>
      </c>
      <c r="AB952" s="29">
        <v>35774</v>
      </c>
      <c r="AC952">
        <v>10.968999999999999</v>
      </c>
      <c r="AD952">
        <v>969.79</v>
      </c>
      <c r="AE952">
        <f t="shared" si="47"/>
        <v>-2.016735785552522E-2</v>
      </c>
      <c r="AF952">
        <f t="shared" si="47"/>
        <v>-1.5431041931789083E-2</v>
      </c>
    </row>
    <row r="953" spans="6:32" x14ac:dyDescent="0.2">
      <c r="F953">
        <v>11.125</v>
      </c>
      <c r="AB953" s="29">
        <v>35773</v>
      </c>
      <c r="AC953">
        <v>11.125</v>
      </c>
      <c r="AD953">
        <v>975.78</v>
      </c>
      <c r="AE953">
        <f t="shared" si="47"/>
        <v>-1.412171562310688E-2</v>
      </c>
      <c r="AF953">
        <f t="shared" si="47"/>
        <v>-6.1575979547357808E-3</v>
      </c>
    </row>
    <row r="954" spans="6:32" x14ac:dyDescent="0.2">
      <c r="F954">
        <v>11.093999999999999</v>
      </c>
      <c r="AB954" s="29">
        <v>35772</v>
      </c>
      <c r="AC954">
        <v>11.093999999999999</v>
      </c>
      <c r="AD954">
        <v>982.37</v>
      </c>
      <c r="AE954">
        <f t="shared" si="47"/>
        <v>2.7904064192610782E-3</v>
      </c>
      <c r="AF954">
        <f t="shared" si="47"/>
        <v>-6.730868298905417E-3</v>
      </c>
    </row>
    <row r="955" spans="6:32" x14ac:dyDescent="0.2">
      <c r="F955">
        <v>10.593999999999999</v>
      </c>
      <c r="AB955" s="29">
        <v>35769</v>
      </c>
      <c r="AC955">
        <v>10.593999999999999</v>
      </c>
      <c r="AD955">
        <v>983.79</v>
      </c>
      <c r="AE955">
        <f t="shared" si="47"/>
        <v>4.6116618510707898E-2</v>
      </c>
      <c r="AF955">
        <f t="shared" si="47"/>
        <v>-1.4444401746465101E-3</v>
      </c>
    </row>
    <row r="956" spans="6:32" x14ac:dyDescent="0.2">
      <c r="F956">
        <v>10.375</v>
      </c>
      <c r="AB956" s="29">
        <v>35768</v>
      </c>
      <c r="AC956">
        <v>10.375</v>
      </c>
      <c r="AD956">
        <v>973.1</v>
      </c>
      <c r="AE956">
        <f t="shared" si="47"/>
        <v>2.0888737005572831E-2</v>
      </c>
      <c r="AF956">
        <f t="shared" si="47"/>
        <v>1.0925607814020006E-2</v>
      </c>
    </row>
    <row r="957" spans="6:32" x14ac:dyDescent="0.2">
      <c r="F957">
        <v>9.625</v>
      </c>
      <c r="AB957" s="29">
        <v>35767</v>
      </c>
      <c r="AC957">
        <v>9.625</v>
      </c>
      <c r="AD957">
        <v>976.77</v>
      </c>
      <c r="AE957">
        <f t="shared" si="47"/>
        <v>7.5035185942914098E-2</v>
      </c>
      <c r="AF957">
        <f t="shared" si="47"/>
        <v>-3.764357966199559E-3</v>
      </c>
    </row>
    <row r="958" spans="6:32" x14ac:dyDescent="0.2">
      <c r="F958">
        <v>9.9689999999999994</v>
      </c>
      <c r="AB958" s="29">
        <v>35766</v>
      </c>
      <c r="AC958">
        <v>9.9689999999999994</v>
      </c>
      <c r="AD958">
        <v>971.68</v>
      </c>
      <c r="AE958">
        <f t="shared" si="47"/>
        <v>-3.5116397866718919E-2</v>
      </c>
      <c r="AF958">
        <f t="shared" si="47"/>
        <v>5.2246776448777359E-3</v>
      </c>
    </row>
    <row r="959" spans="6:32" x14ac:dyDescent="0.2">
      <c r="F959">
        <v>10.343999999999999</v>
      </c>
      <c r="AB959" s="29">
        <v>35765</v>
      </c>
      <c r="AC959">
        <v>10.343999999999999</v>
      </c>
      <c r="AD959">
        <v>974.77</v>
      </c>
      <c r="AE959">
        <f t="shared" si="47"/>
        <v>-3.6926363428989424E-2</v>
      </c>
      <c r="AF959">
        <f t="shared" si="47"/>
        <v>-3.1750135845079884E-3</v>
      </c>
    </row>
    <row r="960" spans="6:32" x14ac:dyDescent="0.2">
      <c r="F960">
        <v>10.5</v>
      </c>
      <c r="AB960" s="29">
        <v>35762</v>
      </c>
      <c r="AC960">
        <v>10.5</v>
      </c>
      <c r="AD960">
        <v>955.4</v>
      </c>
      <c r="AE960">
        <f t="shared" si="47"/>
        <v>-1.4968615693921378E-2</v>
      </c>
      <c r="AF960">
        <f t="shared" si="47"/>
        <v>2.0071444777911587E-2</v>
      </c>
    </row>
    <row r="961" spans="6:32" x14ac:dyDescent="0.2">
      <c r="F961">
        <v>10.5</v>
      </c>
      <c r="AB961" s="29">
        <v>35760</v>
      </c>
      <c r="AC961">
        <v>10.5</v>
      </c>
      <c r="AD961">
        <v>951.64</v>
      </c>
      <c r="AE961">
        <f t="shared" si="47"/>
        <v>0</v>
      </c>
      <c r="AF961">
        <f t="shared" si="47"/>
        <v>3.9432889422182952E-3</v>
      </c>
    </row>
    <row r="962" spans="6:32" x14ac:dyDescent="0.2">
      <c r="F962">
        <v>10.688000000000001</v>
      </c>
      <c r="AB962" s="29">
        <v>35759</v>
      </c>
      <c r="AC962">
        <v>10.688000000000001</v>
      </c>
      <c r="AD962">
        <v>950.82</v>
      </c>
      <c r="AE962">
        <f t="shared" si="47"/>
        <v>-1.774635963081226E-2</v>
      </c>
      <c r="AF962">
        <f t="shared" si="47"/>
        <v>8.6204183087106533E-4</v>
      </c>
    </row>
    <row r="963" spans="6:32" x14ac:dyDescent="0.2">
      <c r="F963">
        <v>10.718999999999999</v>
      </c>
      <c r="AB963" s="29">
        <v>35758</v>
      </c>
      <c r="AC963">
        <v>10.718999999999999</v>
      </c>
      <c r="AD963">
        <v>946.67</v>
      </c>
      <c r="AE963">
        <f t="shared" si="47"/>
        <v>-2.8962509150924453E-3</v>
      </c>
      <c r="AF963">
        <f t="shared" si="47"/>
        <v>4.3742065750685026E-3</v>
      </c>
    </row>
    <row r="964" spans="6:32" x14ac:dyDescent="0.2">
      <c r="F964">
        <v>10.718999999999999</v>
      </c>
      <c r="AB964" s="29">
        <v>35755</v>
      </c>
      <c r="AC964">
        <v>10.718999999999999</v>
      </c>
      <c r="AD964">
        <v>963.09</v>
      </c>
      <c r="AE964">
        <f t="shared" si="47"/>
        <v>0</v>
      </c>
      <c r="AF964">
        <f t="shared" si="47"/>
        <v>-1.7196301767425887E-2</v>
      </c>
    </row>
    <row r="965" spans="6:32" x14ac:dyDescent="0.2">
      <c r="F965">
        <v>10.875</v>
      </c>
      <c r="AB965" s="29">
        <v>35754</v>
      </c>
      <c r="AC965">
        <v>10.875</v>
      </c>
      <c r="AD965">
        <v>958.98</v>
      </c>
      <c r="AE965">
        <f t="shared" si="47"/>
        <v>-1.444870926536538E-2</v>
      </c>
      <c r="AF965">
        <f t="shared" si="47"/>
        <v>4.2766457665121297E-3</v>
      </c>
    </row>
    <row r="966" spans="6:32" x14ac:dyDescent="0.2">
      <c r="F966">
        <v>10.656000000000001</v>
      </c>
      <c r="AB966" s="29">
        <v>35753</v>
      </c>
      <c r="AC966">
        <v>10.656000000000001</v>
      </c>
      <c r="AD966">
        <v>944.59</v>
      </c>
      <c r="AE966">
        <f t="shared" si="47"/>
        <v>2.0343463176714493E-2</v>
      </c>
      <c r="AF966">
        <f t="shared" si="47"/>
        <v>1.5119248694274367E-2</v>
      </c>
    </row>
    <row r="967" spans="6:32" x14ac:dyDescent="0.2">
      <c r="F967">
        <v>10.813000000000001</v>
      </c>
      <c r="AB967" s="29">
        <v>35752</v>
      </c>
      <c r="AC967">
        <v>10.813000000000001</v>
      </c>
      <c r="AD967">
        <v>938.23</v>
      </c>
      <c r="AE967">
        <f t="shared" si="47"/>
        <v>-1.4626000165366679E-2</v>
      </c>
      <c r="AF967">
        <f t="shared" si="47"/>
        <v>6.7558494067167033E-3</v>
      </c>
    </row>
    <row r="968" spans="6:32" x14ac:dyDescent="0.2">
      <c r="F968">
        <v>10.75</v>
      </c>
      <c r="AB968" s="29">
        <v>35751</v>
      </c>
      <c r="AC968">
        <v>10.75</v>
      </c>
      <c r="AD968">
        <v>946.2</v>
      </c>
      <c r="AE968">
        <f t="shared" si="47"/>
        <v>5.8433593897281935E-3</v>
      </c>
      <c r="AF968">
        <f t="shared" si="47"/>
        <v>-8.4588416894217904E-3</v>
      </c>
    </row>
    <row r="969" spans="6:32" x14ac:dyDescent="0.2">
      <c r="F969">
        <v>11</v>
      </c>
      <c r="AB969" s="29">
        <v>35748</v>
      </c>
      <c r="AC969">
        <v>11</v>
      </c>
      <c r="AD969">
        <v>928.35</v>
      </c>
      <c r="AE969">
        <f t="shared" si="47"/>
        <v>-2.2989518224698718E-2</v>
      </c>
      <c r="AF969">
        <f t="shared" si="47"/>
        <v>1.9045146343567524E-2</v>
      </c>
    </row>
    <row r="970" spans="6:32" x14ac:dyDescent="0.2">
      <c r="F970">
        <v>11.438000000000001</v>
      </c>
      <c r="AB970" s="29">
        <v>35747</v>
      </c>
      <c r="AC970">
        <v>11.438000000000001</v>
      </c>
      <c r="AD970">
        <v>916.66</v>
      </c>
      <c r="AE970">
        <f t="shared" si="47"/>
        <v>-3.9045872694753944E-2</v>
      </c>
      <c r="AF970">
        <f t="shared" si="47"/>
        <v>1.2672187614692191E-2</v>
      </c>
    </row>
    <row r="971" spans="6:32" x14ac:dyDescent="0.2">
      <c r="F971">
        <v>11.625</v>
      </c>
      <c r="AB971" s="29">
        <v>35746</v>
      </c>
      <c r="AC971">
        <v>11.625</v>
      </c>
      <c r="AD971">
        <v>905.96</v>
      </c>
      <c r="AE971">
        <f t="shared" si="47"/>
        <v>-1.6216805980295519E-2</v>
      </c>
      <c r="AF971">
        <f t="shared" si="47"/>
        <v>1.1741474280828865E-2</v>
      </c>
    </row>
    <row r="972" spans="6:32" x14ac:dyDescent="0.2">
      <c r="F972">
        <v>11.718999999999999</v>
      </c>
      <c r="AB972" s="29">
        <v>35745</v>
      </c>
      <c r="AC972">
        <v>11.718999999999999</v>
      </c>
      <c r="AD972">
        <v>923.78</v>
      </c>
      <c r="AE972">
        <f t="shared" si="47"/>
        <v>-8.0535048030451872E-3</v>
      </c>
      <c r="AF972">
        <f t="shared" si="47"/>
        <v>-1.9478793096458485E-2</v>
      </c>
    </row>
    <row r="973" spans="6:32" x14ac:dyDescent="0.2">
      <c r="F973">
        <v>11.563000000000001</v>
      </c>
      <c r="AB973" s="29">
        <v>35744</v>
      </c>
      <c r="AC973">
        <v>11.563000000000001</v>
      </c>
      <c r="AD973">
        <v>921.13</v>
      </c>
      <c r="AE973">
        <f t="shared" si="47"/>
        <v>1.3401111129640507E-2</v>
      </c>
      <c r="AF973">
        <f t="shared" si="47"/>
        <v>2.8727708370552994E-3</v>
      </c>
    </row>
    <row r="974" spans="6:32" x14ac:dyDescent="0.2">
      <c r="F974">
        <v>11.656000000000001</v>
      </c>
      <c r="AB974" s="29">
        <v>35741</v>
      </c>
      <c r="AC974">
        <v>11.656000000000001</v>
      </c>
      <c r="AD974">
        <v>927.51</v>
      </c>
      <c r="AE974">
        <f t="shared" si="47"/>
        <v>-8.010723746078972E-3</v>
      </c>
      <c r="AF974">
        <f t="shared" si="47"/>
        <v>-6.9023988772648672E-3</v>
      </c>
    </row>
    <row r="975" spans="6:32" x14ac:dyDescent="0.2">
      <c r="F975">
        <v>11.625</v>
      </c>
      <c r="AB975" s="29">
        <v>35740</v>
      </c>
      <c r="AC975">
        <v>11.625</v>
      </c>
      <c r="AD975">
        <v>938.03</v>
      </c>
      <c r="AE975">
        <f t="shared" si="47"/>
        <v>2.66311741948385E-3</v>
      </c>
      <c r="AF975">
        <f t="shared" si="47"/>
        <v>-1.1278355342584544E-2</v>
      </c>
    </row>
    <row r="976" spans="6:32" x14ac:dyDescent="0.2">
      <c r="F976">
        <v>11.375</v>
      </c>
      <c r="AB976" s="29">
        <v>35739</v>
      </c>
      <c r="AC976">
        <v>11.375</v>
      </c>
      <c r="AD976">
        <v>942.76</v>
      </c>
      <c r="AE976">
        <f t="shared" si="47"/>
        <v>2.173998663640582E-2</v>
      </c>
      <c r="AF976">
        <f t="shared" si="47"/>
        <v>-5.0298119109750414E-3</v>
      </c>
    </row>
    <row r="977" spans="6:32" x14ac:dyDescent="0.2">
      <c r="F977">
        <v>11.188000000000001</v>
      </c>
      <c r="AB977" s="29">
        <v>35738</v>
      </c>
      <c r="AC977">
        <v>11.188000000000001</v>
      </c>
      <c r="AD977">
        <v>940.76</v>
      </c>
      <c r="AE977">
        <f t="shared" ref="AE977:AF1040" si="48">LN(AC976/AC977)</f>
        <v>1.6576189497300726E-2</v>
      </c>
      <c r="AF977">
        <f t="shared" si="48"/>
        <v>2.1236841145009511E-3</v>
      </c>
    </row>
    <row r="978" spans="6:32" x14ac:dyDescent="0.2">
      <c r="F978">
        <v>11.125</v>
      </c>
      <c r="AB978" s="29">
        <v>35737</v>
      </c>
      <c r="AC978">
        <v>11.125</v>
      </c>
      <c r="AD978">
        <v>938.99</v>
      </c>
      <c r="AE978">
        <f t="shared" si="48"/>
        <v>5.6469472874093631E-3</v>
      </c>
      <c r="AF978">
        <f t="shared" si="48"/>
        <v>1.8832297093939925E-3</v>
      </c>
    </row>
    <row r="979" spans="6:32" x14ac:dyDescent="0.2">
      <c r="F979">
        <v>10.813000000000001</v>
      </c>
      <c r="AB979" s="29">
        <v>35734</v>
      </c>
      <c r="AC979">
        <v>10.813000000000001</v>
      </c>
      <c r="AD979">
        <v>914.62</v>
      </c>
      <c r="AE979">
        <f t="shared" si="48"/>
        <v>2.8445714088903909E-2</v>
      </c>
      <c r="AF979">
        <f t="shared" si="48"/>
        <v>2.6296151056374693E-2</v>
      </c>
    </row>
    <row r="980" spans="6:32" x14ac:dyDescent="0.2">
      <c r="F980">
        <v>10.5</v>
      </c>
      <c r="AB980" s="29">
        <v>35733</v>
      </c>
      <c r="AC980">
        <v>10.5</v>
      </c>
      <c r="AD980">
        <v>903.68</v>
      </c>
      <c r="AE980">
        <f t="shared" si="48"/>
        <v>2.9373856799922497E-2</v>
      </c>
      <c r="AF980">
        <f t="shared" si="48"/>
        <v>1.2033363043149737E-2</v>
      </c>
    </row>
    <row r="981" spans="6:32" x14ac:dyDescent="0.2">
      <c r="F981">
        <v>10.875</v>
      </c>
      <c r="AB981" s="29">
        <v>35732</v>
      </c>
      <c r="AC981">
        <v>10.875</v>
      </c>
      <c r="AD981">
        <v>919.16</v>
      </c>
      <c r="AE981">
        <f t="shared" si="48"/>
        <v>-3.5091319811270061E-2</v>
      </c>
      <c r="AF981">
        <f t="shared" si="48"/>
        <v>-1.6984894061967782E-2</v>
      </c>
    </row>
    <row r="982" spans="6:32" x14ac:dyDescent="0.2">
      <c r="F982">
        <v>11.5</v>
      </c>
      <c r="AB982" s="29">
        <v>35731</v>
      </c>
      <c r="AC982">
        <v>11.5</v>
      </c>
      <c r="AD982">
        <v>921.85</v>
      </c>
      <c r="AE982">
        <f t="shared" si="48"/>
        <v>-5.5880458394456614E-2</v>
      </c>
      <c r="AF982">
        <f t="shared" si="48"/>
        <v>-2.9223110296642384E-3</v>
      </c>
    </row>
    <row r="983" spans="6:32" x14ac:dyDescent="0.2">
      <c r="F983">
        <v>11.625</v>
      </c>
      <c r="AB983" s="29">
        <v>35730</v>
      </c>
      <c r="AC983">
        <v>11.625</v>
      </c>
      <c r="AD983">
        <v>876.99</v>
      </c>
      <c r="AE983">
        <f t="shared" si="48"/>
        <v>-1.0810916104215617E-2</v>
      </c>
      <c r="AF983">
        <f t="shared" si="48"/>
        <v>4.9886930717777729E-2</v>
      </c>
    </row>
    <row r="984" spans="6:32" x14ac:dyDescent="0.2">
      <c r="F984">
        <v>12.156000000000001</v>
      </c>
      <c r="AB984" s="29">
        <v>35727</v>
      </c>
      <c r="AC984">
        <v>12.156000000000001</v>
      </c>
      <c r="AD984">
        <v>941.64</v>
      </c>
      <c r="AE984">
        <f t="shared" si="48"/>
        <v>-4.4664923581126698E-2</v>
      </c>
      <c r="AF984">
        <f t="shared" si="48"/>
        <v>-7.1127446128760069E-2</v>
      </c>
    </row>
    <row r="985" spans="6:32" x14ac:dyDescent="0.2">
      <c r="F985">
        <v>12.406000000000001</v>
      </c>
      <c r="AB985" s="29">
        <v>35726</v>
      </c>
      <c r="AC985">
        <v>12.406000000000001</v>
      </c>
      <c r="AD985">
        <v>950.69</v>
      </c>
      <c r="AE985">
        <f t="shared" si="48"/>
        <v>-2.0357351496379142E-2</v>
      </c>
      <c r="AF985">
        <f t="shared" si="48"/>
        <v>-9.565000817014481E-3</v>
      </c>
    </row>
    <row r="986" spans="6:32" x14ac:dyDescent="0.2">
      <c r="F986">
        <v>12.625</v>
      </c>
      <c r="AB986" s="29">
        <v>35725</v>
      </c>
      <c r="AC986">
        <v>12.625</v>
      </c>
      <c r="AD986">
        <v>968.49</v>
      </c>
      <c r="AE986">
        <f t="shared" si="48"/>
        <v>-1.7498748610497637E-2</v>
      </c>
      <c r="AF986">
        <f t="shared" si="48"/>
        <v>-1.8550120804123622E-2</v>
      </c>
    </row>
    <row r="987" spans="6:32" x14ac:dyDescent="0.2">
      <c r="F987">
        <v>12.563000000000001</v>
      </c>
      <c r="AB987" s="29">
        <v>35724</v>
      </c>
      <c r="AC987">
        <v>12.563000000000001</v>
      </c>
      <c r="AD987">
        <v>972.28</v>
      </c>
      <c r="AE987">
        <f t="shared" si="48"/>
        <v>4.9229891391427243E-3</v>
      </c>
      <c r="AF987">
        <f t="shared" si="48"/>
        <v>-3.9056712725413934E-3</v>
      </c>
    </row>
    <row r="988" spans="6:32" x14ac:dyDescent="0.2">
      <c r="F988">
        <v>12.25</v>
      </c>
      <c r="AB988" s="29">
        <v>35723</v>
      </c>
      <c r="AC988">
        <v>12.25</v>
      </c>
      <c r="AD988">
        <v>955.61</v>
      </c>
      <c r="AE988">
        <f t="shared" si="48"/>
        <v>2.5230049031544806E-2</v>
      </c>
      <c r="AF988">
        <f t="shared" si="48"/>
        <v>1.7293948794609038E-2</v>
      </c>
    </row>
    <row r="989" spans="6:32" x14ac:dyDescent="0.2">
      <c r="F989">
        <v>12.093999999999999</v>
      </c>
      <c r="AB989" s="29">
        <v>35720</v>
      </c>
      <c r="AC989">
        <v>12.093999999999999</v>
      </c>
      <c r="AD989">
        <v>944.16</v>
      </c>
      <c r="AE989">
        <f t="shared" si="48"/>
        <v>1.2816475139714904E-2</v>
      </c>
      <c r="AF989">
        <f t="shared" si="48"/>
        <v>1.2054236717594089E-2</v>
      </c>
    </row>
    <row r="990" spans="6:32" x14ac:dyDescent="0.2">
      <c r="F990">
        <v>12.313000000000001</v>
      </c>
      <c r="AB990" s="29">
        <v>35719</v>
      </c>
      <c r="AC990">
        <v>12.313000000000001</v>
      </c>
      <c r="AD990">
        <v>955.25</v>
      </c>
      <c r="AE990">
        <f t="shared" si="48"/>
        <v>-1.794615295971333E-2</v>
      </c>
      <c r="AF990">
        <f t="shared" si="48"/>
        <v>-1.1677443018150692E-2</v>
      </c>
    </row>
    <row r="991" spans="6:32" x14ac:dyDescent="0.2">
      <c r="F991">
        <v>12.343999999999999</v>
      </c>
      <c r="AB991" s="29">
        <v>35718</v>
      </c>
      <c r="AC991">
        <v>12.343999999999999</v>
      </c>
      <c r="AD991">
        <v>965.72</v>
      </c>
      <c r="AE991">
        <f t="shared" si="48"/>
        <v>-2.5145002501252159E-3</v>
      </c>
      <c r="AF991">
        <f t="shared" si="48"/>
        <v>-1.0900850796944155E-2</v>
      </c>
    </row>
    <row r="992" spans="6:32" x14ac:dyDescent="0.2">
      <c r="F992">
        <v>12</v>
      </c>
      <c r="AB992" s="29">
        <v>35717</v>
      </c>
      <c r="AC992">
        <v>12</v>
      </c>
      <c r="AD992">
        <v>970.28</v>
      </c>
      <c r="AE992">
        <f t="shared" si="48"/>
        <v>2.8263465272859358E-2</v>
      </c>
      <c r="AF992">
        <f t="shared" si="48"/>
        <v>-4.7107525130668524E-3</v>
      </c>
    </row>
    <row r="993" spans="6:32" x14ac:dyDescent="0.2">
      <c r="F993">
        <v>12.531000000000001</v>
      </c>
      <c r="AB993" s="29">
        <v>35716</v>
      </c>
      <c r="AC993">
        <v>12.531000000000001</v>
      </c>
      <c r="AD993">
        <v>968.1</v>
      </c>
      <c r="AE993">
        <f t="shared" si="48"/>
        <v>-4.3298924395147667E-2</v>
      </c>
      <c r="AF993">
        <f t="shared" si="48"/>
        <v>2.2493019109945177E-3</v>
      </c>
    </row>
    <row r="994" spans="6:32" x14ac:dyDescent="0.2">
      <c r="F994">
        <v>12.563000000000001</v>
      </c>
      <c r="AB994" s="29">
        <v>35713</v>
      </c>
      <c r="AC994">
        <v>12.563000000000001</v>
      </c>
      <c r="AD994">
        <v>966.98</v>
      </c>
      <c r="AE994">
        <f t="shared" si="48"/>
        <v>-2.5504118391328151E-3</v>
      </c>
      <c r="AF994">
        <f t="shared" si="48"/>
        <v>1.1575750098857583E-3</v>
      </c>
    </row>
    <row r="995" spans="6:32" x14ac:dyDescent="0.2">
      <c r="F995">
        <v>12.781000000000001</v>
      </c>
      <c r="AB995" s="29">
        <v>35712</v>
      </c>
      <c r="AC995">
        <v>12.781000000000001</v>
      </c>
      <c r="AD995">
        <v>970.62</v>
      </c>
      <c r="AE995">
        <f t="shared" si="48"/>
        <v>-1.7203707127296557E-2</v>
      </c>
      <c r="AF995">
        <f t="shared" si="48"/>
        <v>-3.7572298535175431E-3</v>
      </c>
    </row>
    <row r="996" spans="6:32" x14ac:dyDescent="0.2">
      <c r="F996">
        <v>13</v>
      </c>
      <c r="AB996" s="29">
        <v>35711</v>
      </c>
      <c r="AC996">
        <v>13</v>
      </c>
      <c r="AD996">
        <v>973.84</v>
      </c>
      <c r="AE996">
        <f t="shared" si="48"/>
        <v>-1.6989664311959404E-2</v>
      </c>
      <c r="AF996">
        <f t="shared" si="48"/>
        <v>-3.311976531683236E-3</v>
      </c>
    </row>
    <row r="997" spans="6:32" x14ac:dyDescent="0.2">
      <c r="F997">
        <v>12.688000000000001</v>
      </c>
      <c r="AB997" s="29">
        <v>35710</v>
      </c>
      <c r="AC997">
        <v>12.688000000000001</v>
      </c>
      <c r="AD997">
        <v>983.12</v>
      </c>
      <c r="AE997">
        <f t="shared" si="48"/>
        <v>2.4292692569044483E-2</v>
      </c>
      <c r="AF997">
        <f t="shared" si="48"/>
        <v>-9.4841688750008663E-3</v>
      </c>
    </row>
    <row r="998" spans="6:32" x14ac:dyDescent="0.2">
      <c r="F998">
        <v>11.843999999999999</v>
      </c>
      <c r="AB998" s="29">
        <v>35709</v>
      </c>
      <c r="AC998">
        <v>11.843999999999999</v>
      </c>
      <c r="AD998">
        <v>972.69</v>
      </c>
      <c r="AE998">
        <f t="shared" si="48"/>
        <v>6.883525465314741E-2</v>
      </c>
      <c r="AF998">
        <f t="shared" si="48"/>
        <v>1.0665758815868015E-2</v>
      </c>
    </row>
    <row r="999" spans="6:32" x14ac:dyDescent="0.2">
      <c r="F999">
        <v>11.781000000000001</v>
      </c>
      <c r="AB999" s="29">
        <v>35706</v>
      </c>
      <c r="AC999">
        <v>11.781000000000001</v>
      </c>
      <c r="AD999">
        <v>965.03</v>
      </c>
      <c r="AE999">
        <f t="shared" si="48"/>
        <v>5.3333459753623818E-3</v>
      </c>
      <c r="AF999">
        <f t="shared" si="48"/>
        <v>7.9062402218107886E-3</v>
      </c>
    </row>
    <row r="1000" spans="6:32" x14ac:dyDescent="0.2">
      <c r="F1000">
        <v>11.625</v>
      </c>
      <c r="AB1000" s="29">
        <v>35705</v>
      </c>
      <c r="AC1000">
        <v>11.625</v>
      </c>
      <c r="AD1000">
        <v>960.46</v>
      </c>
      <c r="AE1000">
        <f t="shared" si="48"/>
        <v>1.333011279056239E-2</v>
      </c>
      <c r="AF1000">
        <f t="shared" si="48"/>
        <v>4.7468525738024649E-3</v>
      </c>
    </row>
    <row r="1001" spans="6:32" x14ac:dyDescent="0.2">
      <c r="F1001">
        <v>11.843999999999999</v>
      </c>
      <c r="AB1001" s="29">
        <v>35704</v>
      </c>
      <c r="AC1001">
        <v>11.843999999999999</v>
      </c>
      <c r="AD1001">
        <v>955.41</v>
      </c>
      <c r="AE1001">
        <f t="shared" si="48"/>
        <v>-1.8663458765924824E-2</v>
      </c>
      <c r="AF1001">
        <f t="shared" si="48"/>
        <v>5.2717686435959001E-3</v>
      </c>
    </row>
    <row r="1002" spans="6:32" x14ac:dyDescent="0.2">
      <c r="F1002">
        <v>12.25</v>
      </c>
      <c r="AB1002" s="29">
        <v>35703</v>
      </c>
      <c r="AC1002">
        <v>12.25</v>
      </c>
      <c r="AD1002">
        <v>947.28</v>
      </c>
      <c r="AE1002">
        <f t="shared" si="48"/>
        <v>-3.3704526751391149E-2</v>
      </c>
      <c r="AF1002">
        <f t="shared" si="48"/>
        <v>8.5458476985633119E-3</v>
      </c>
    </row>
    <row r="1003" spans="6:32" x14ac:dyDescent="0.2">
      <c r="F1003">
        <v>12.468999999999999</v>
      </c>
      <c r="AB1003" s="29">
        <v>35702</v>
      </c>
      <c r="AC1003">
        <v>12.468999999999999</v>
      </c>
      <c r="AD1003">
        <v>953.34</v>
      </c>
      <c r="AE1003">
        <f t="shared" si="48"/>
        <v>-1.7719627023713054E-2</v>
      </c>
      <c r="AF1003">
        <f t="shared" si="48"/>
        <v>-6.3768881056293133E-3</v>
      </c>
    </row>
    <row r="1004" spans="6:32" x14ac:dyDescent="0.2">
      <c r="F1004">
        <v>12.25</v>
      </c>
      <c r="AB1004" s="29">
        <v>35699</v>
      </c>
      <c r="AC1004">
        <v>12.25</v>
      </c>
      <c r="AD1004">
        <v>945.22</v>
      </c>
      <c r="AE1004">
        <f t="shared" si="48"/>
        <v>1.7719627023713075E-2</v>
      </c>
      <c r="AF1004">
        <f t="shared" si="48"/>
        <v>8.5539034964838678E-3</v>
      </c>
    </row>
    <row r="1005" spans="6:32" x14ac:dyDescent="0.2">
      <c r="F1005">
        <v>12.125</v>
      </c>
      <c r="AB1005" s="29">
        <v>35698</v>
      </c>
      <c r="AC1005">
        <v>12.125</v>
      </c>
      <c r="AD1005">
        <v>937.91</v>
      </c>
      <c r="AE1005">
        <f t="shared" si="48"/>
        <v>1.0256500167189061E-2</v>
      </c>
      <c r="AF1005">
        <f t="shared" si="48"/>
        <v>7.7637090562974517E-3</v>
      </c>
    </row>
    <row r="1006" spans="6:32" x14ac:dyDescent="0.2">
      <c r="F1006">
        <v>12.063000000000001</v>
      </c>
      <c r="AB1006" s="29">
        <v>35697</v>
      </c>
      <c r="AC1006">
        <v>12.063000000000001</v>
      </c>
      <c r="AD1006">
        <v>944.48</v>
      </c>
      <c r="AE1006">
        <f t="shared" si="48"/>
        <v>5.1265202403001555E-3</v>
      </c>
      <c r="AF1006">
        <f t="shared" si="48"/>
        <v>-6.9805159168299293E-3</v>
      </c>
    </row>
    <row r="1007" spans="6:32" x14ac:dyDescent="0.2">
      <c r="F1007">
        <v>12</v>
      </c>
      <c r="AB1007" s="29">
        <v>35696</v>
      </c>
      <c r="AC1007">
        <v>12</v>
      </c>
      <c r="AD1007">
        <v>951.93</v>
      </c>
      <c r="AE1007">
        <f t="shared" si="48"/>
        <v>5.236266795246327E-3</v>
      </c>
      <c r="AF1007">
        <f t="shared" si="48"/>
        <v>-7.8569911838015909E-3</v>
      </c>
    </row>
    <row r="1008" spans="6:32" x14ac:dyDescent="0.2">
      <c r="F1008">
        <v>11.875</v>
      </c>
      <c r="AB1008" s="29">
        <v>35695</v>
      </c>
      <c r="AC1008">
        <v>11.875</v>
      </c>
      <c r="AD1008">
        <v>955.43</v>
      </c>
      <c r="AE1008">
        <f t="shared" si="48"/>
        <v>1.0471299867295437E-2</v>
      </c>
      <c r="AF1008">
        <f t="shared" si="48"/>
        <v>-3.669998247236518E-3</v>
      </c>
    </row>
    <row r="1009" spans="6:32" x14ac:dyDescent="0.2">
      <c r="F1009">
        <v>12</v>
      </c>
      <c r="AB1009" s="29">
        <v>35692</v>
      </c>
      <c r="AC1009">
        <v>12</v>
      </c>
      <c r="AD1009">
        <v>950.51</v>
      </c>
      <c r="AE1009">
        <f t="shared" si="48"/>
        <v>-1.0471299867295366E-2</v>
      </c>
      <c r="AF1009">
        <f t="shared" si="48"/>
        <v>5.1628182717390015E-3</v>
      </c>
    </row>
    <row r="1010" spans="6:32" x14ac:dyDescent="0.2">
      <c r="F1010">
        <v>11.843999999999999</v>
      </c>
      <c r="AB1010" s="29">
        <v>35691</v>
      </c>
      <c r="AC1010">
        <v>11.843999999999999</v>
      </c>
      <c r="AD1010">
        <v>947.29</v>
      </c>
      <c r="AE1010">
        <f t="shared" si="48"/>
        <v>1.3085239548655534E-2</v>
      </c>
      <c r="AF1010">
        <f t="shared" si="48"/>
        <v>3.3934061438642403E-3</v>
      </c>
    </row>
    <row r="1011" spans="6:32" x14ac:dyDescent="0.2">
      <c r="F1011">
        <v>11.531000000000001</v>
      </c>
      <c r="AB1011" s="29">
        <v>35690</v>
      </c>
      <c r="AC1011">
        <v>11.531000000000001</v>
      </c>
      <c r="AD1011">
        <v>943</v>
      </c>
      <c r="AE1011">
        <f t="shared" si="48"/>
        <v>2.6782349450365485E-2</v>
      </c>
      <c r="AF1011">
        <f t="shared" si="48"/>
        <v>4.5389938743566303E-3</v>
      </c>
    </row>
    <row r="1012" spans="6:32" x14ac:dyDescent="0.2">
      <c r="F1012">
        <v>11.625</v>
      </c>
      <c r="AB1012" s="29">
        <v>35689</v>
      </c>
      <c r="AC1012">
        <v>11.625</v>
      </c>
      <c r="AD1012">
        <v>945.64</v>
      </c>
      <c r="AE1012">
        <f t="shared" si="48"/>
        <v>-8.1188906844407854E-3</v>
      </c>
      <c r="AF1012">
        <f t="shared" si="48"/>
        <v>-2.7956643081395471E-3</v>
      </c>
    </row>
    <row r="1013" spans="6:32" x14ac:dyDescent="0.2">
      <c r="F1013">
        <v>11.5</v>
      </c>
      <c r="AB1013" s="29">
        <v>35688</v>
      </c>
      <c r="AC1013">
        <v>11.5</v>
      </c>
      <c r="AD1013">
        <v>919.77</v>
      </c>
      <c r="AE1013">
        <f t="shared" si="48"/>
        <v>1.0810916104215676E-2</v>
      </c>
      <c r="AF1013">
        <f t="shared" si="48"/>
        <v>2.7738308153720415E-2</v>
      </c>
    </row>
    <row r="1014" spans="6:32" x14ac:dyDescent="0.2">
      <c r="F1014">
        <v>11.5</v>
      </c>
      <c r="AB1014" s="29">
        <v>35685</v>
      </c>
      <c r="AC1014">
        <v>11.5</v>
      </c>
      <c r="AD1014">
        <v>923.91</v>
      </c>
      <c r="AE1014">
        <f t="shared" si="48"/>
        <v>0</v>
      </c>
      <c r="AF1014">
        <f t="shared" si="48"/>
        <v>-4.4910255124638266E-3</v>
      </c>
    </row>
    <row r="1015" spans="6:32" x14ac:dyDescent="0.2">
      <c r="F1015">
        <v>11.531000000000001</v>
      </c>
      <c r="AB1015" s="29">
        <v>35684</v>
      </c>
      <c r="AC1015">
        <v>11.531000000000001</v>
      </c>
      <c r="AD1015">
        <v>912.59</v>
      </c>
      <c r="AE1015">
        <f t="shared" si="48"/>
        <v>-2.6920254197747942E-3</v>
      </c>
      <c r="AF1015">
        <f t="shared" si="48"/>
        <v>1.2327953570339761E-2</v>
      </c>
    </row>
    <row r="1016" spans="6:32" x14ac:dyDescent="0.2">
      <c r="F1016">
        <v>11.625</v>
      </c>
      <c r="AB1016" s="29">
        <v>35683</v>
      </c>
      <c r="AC1016">
        <v>11.625</v>
      </c>
      <c r="AD1016">
        <v>919.03</v>
      </c>
      <c r="AE1016">
        <f t="shared" si="48"/>
        <v>-8.1188906844407854E-3</v>
      </c>
      <c r="AF1016">
        <f t="shared" si="48"/>
        <v>-7.0320552713315498E-3</v>
      </c>
    </row>
    <row r="1017" spans="6:32" x14ac:dyDescent="0.2">
      <c r="F1017">
        <v>11.593999999999999</v>
      </c>
      <c r="AB1017" s="29">
        <v>35682</v>
      </c>
      <c r="AC1017">
        <v>11.593999999999999</v>
      </c>
      <c r="AD1017">
        <v>933.62</v>
      </c>
      <c r="AE1017">
        <f t="shared" si="48"/>
        <v>2.6702285558788921E-3</v>
      </c>
      <c r="AF1017">
        <f t="shared" si="48"/>
        <v>-1.5750737192284873E-2</v>
      </c>
    </row>
    <row r="1018" spans="6:32" x14ac:dyDescent="0.2">
      <c r="F1018">
        <v>11.718999999999999</v>
      </c>
      <c r="AB1018" s="29">
        <v>35681</v>
      </c>
      <c r="AC1018">
        <v>11.718999999999999</v>
      </c>
      <c r="AD1018">
        <v>931.2</v>
      </c>
      <c r="AE1018">
        <f t="shared" si="48"/>
        <v>-1.0723733358924171E-2</v>
      </c>
      <c r="AF1018">
        <f t="shared" si="48"/>
        <v>2.5954262164436747E-3</v>
      </c>
    </row>
    <row r="1019" spans="6:32" x14ac:dyDescent="0.2">
      <c r="F1019">
        <v>12.063000000000001</v>
      </c>
      <c r="AB1019" s="29">
        <v>35678</v>
      </c>
      <c r="AC1019">
        <v>12.063000000000001</v>
      </c>
      <c r="AD1019">
        <v>929.05</v>
      </c>
      <c r="AE1019">
        <f t="shared" si="48"/>
        <v>-2.8931460306781502E-2</v>
      </c>
      <c r="AF1019">
        <f t="shared" si="48"/>
        <v>2.3115182984098847E-3</v>
      </c>
    </row>
    <row r="1020" spans="6:32" x14ac:dyDescent="0.2">
      <c r="F1020">
        <v>12.063000000000001</v>
      </c>
      <c r="AB1020" s="29">
        <v>35677</v>
      </c>
      <c r="AC1020">
        <v>12.063000000000001</v>
      </c>
      <c r="AD1020">
        <v>930.87</v>
      </c>
      <c r="AE1020">
        <f t="shared" si="48"/>
        <v>0</v>
      </c>
      <c r="AF1020">
        <f t="shared" si="48"/>
        <v>-1.957074047168098E-3</v>
      </c>
    </row>
    <row r="1021" spans="6:32" x14ac:dyDescent="0.2">
      <c r="F1021">
        <v>12.313000000000001</v>
      </c>
      <c r="AB1021" s="29">
        <v>35676</v>
      </c>
      <c r="AC1021">
        <v>12.313000000000001</v>
      </c>
      <c r="AD1021">
        <v>927.86</v>
      </c>
      <c r="AE1021">
        <f t="shared" si="48"/>
        <v>-2.0512698227487719E-2</v>
      </c>
      <c r="AF1021">
        <f t="shared" si="48"/>
        <v>3.2387733895232313E-3</v>
      </c>
    </row>
    <row r="1022" spans="6:32" x14ac:dyDescent="0.2">
      <c r="F1022">
        <v>12.188000000000001</v>
      </c>
      <c r="AB1022" s="29">
        <v>35675</v>
      </c>
      <c r="AC1022">
        <v>12.188000000000001</v>
      </c>
      <c r="AD1022">
        <v>927.58</v>
      </c>
      <c r="AE1022">
        <f t="shared" si="48"/>
        <v>1.0203753687271716E-2</v>
      </c>
      <c r="AF1022">
        <f t="shared" si="48"/>
        <v>3.0181520515395923E-4</v>
      </c>
    </row>
    <row r="1023" spans="6:32" x14ac:dyDescent="0.2">
      <c r="F1023">
        <v>11.813000000000001</v>
      </c>
      <c r="AB1023" s="29">
        <v>35671</v>
      </c>
      <c r="AC1023">
        <v>11.813000000000001</v>
      </c>
      <c r="AD1023">
        <v>899.47</v>
      </c>
      <c r="AE1023">
        <f t="shared" si="48"/>
        <v>3.1251241157079786E-2</v>
      </c>
      <c r="AF1023">
        <f t="shared" si="48"/>
        <v>3.0773343158998087E-2</v>
      </c>
    </row>
    <row r="1024" spans="6:32" x14ac:dyDescent="0.2">
      <c r="F1024">
        <v>11.531000000000001</v>
      </c>
      <c r="AB1024" s="29">
        <v>35670</v>
      </c>
      <c r="AC1024">
        <v>11.531000000000001</v>
      </c>
      <c r="AD1024">
        <v>903.67</v>
      </c>
      <c r="AE1024">
        <f t="shared" si="48"/>
        <v>2.4161559177403737E-2</v>
      </c>
      <c r="AF1024">
        <f t="shared" si="48"/>
        <v>-4.6585485272615957E-3</v>
      </c>
    </row>
    <row r="1025" spans="6:32" x14ac:dyDescent="0.2">
      <c r="F1025">
        <v>11.688000000000001</v>
      </c>
      <c r="AB1025" s="29">
        <v>35669</v>
      </c>
      <c r="AC1025">
        <v>11.688000000000001</v>
      </c>
      <c r="AD1025">
        <v>913.7</v>
      </c>
      <c r="AE1025">
        <f t="shared" si="48"/>
        <v>-1.3523613659419214E-2</v>
      </c>
      <c r="AF1025">
        <f t="shared" si="48"/>
        <v>-1.1038040505056874E-2</v>
      </c>
    </row>
    <row r="1026" spans="6:32" x14ac:dyDescent="0.2">
      <c r="F1026">
        <v>11.75</v>
      </c>
      <c r="AB1026" s="29">
        <v>35668</v>
      </c>
      <c r="AC1026">
        <v>11.75</v>
      </c>
      <c r="AD1026">
        <v>913.02</v>
      </c>
      <c r="AE1026">
        <f t="shared" si="48"/>
        <v>-5.2905661417695145E-3</v>
      </c>
      <c r="AF1026">
        <f t="shared" si="48"/>
        <v>7.4450384449680081E-4</v>
      </c>
    </row>
    <row r="1027" spans="6:32" x14ac:dyDescent="0.2">
      <c r="F1027">
        <v>11.688000000000001</v>
      </c>
      <c r="AB1027" s="29">
        <v>35667</v>
      </c>
      <c r="AC1027">
        <v>11.688000000000001</v>
      </c>
      <c r="AD1027">
        <v>920.16</v>
      </c>
      <c r="AE1027">
        <f t="shared" si="48"/>
        <v>5.2905661417696004E-3</v>
      </c>
      <c r="AF1027">
        <f t="shared" si="48"/>
        <v>-7.7897818053658512E-3</v>
      </c>
    </row>
    <row r="1028" spans="6:32" x14ac:dyDescent="0.2">
      <c r="F1028">
        <v>11.75</v>
      </c>
      <c r="AB1028" s="29">
        <v>35664</v>
      </c>
      <c r="AC1028">
        <v>11.75</v>
      </c>
      <c r="AD1028">
        <v>923.54</v>
      </c>
      <c r="AE1028">
        <f t="shared" si="48"/>
        <v>-5.2905661417695145E-3</v>
      </c>
      <c r="AF1028">
        <f t="shared" si="48"/>
        <v>-3.6665442171699269E-3</v>
      </c>
    </row>
    <row r="1029" spans="6:32" x14ac:dyDescent="0.2">
      <c r="F1029">
        <v>11.718999999999999</v>
      </c>
      <c r="AB1029" s="29">
        <v>35663</v>
      </c>
      <c r="AC1029">
        <v>11.718999999999999</v>
      </c>
      <c r="AD1029">
        <v>925.05</v>
      </c>
      <c r="AE1029">
        <f t="shared" si="48"/>
        <v>2.6417843137026766E-3</v>
      </c>
      <c r="AF1029">
        <f t="shared" si="48"/>
        <v>-1.6336779229975404E-3</v>
      </c>
    </row>
    <row r="1030" spans="6:32" x14ac:dyDescent="0.2">
      <c r="F1030">
        <v>11.313000000000001</v>
      </c>
      <c r="AB1030" s="29">
        <v>35662</v>
      </c>
      <c r="AC1030">
        <v>11.313000000000001</v>
      </c>
      <c r="AD1030">
        <v>939.35</v>
      </c>
      <c r="AE1030">
        <f t="shared" si="48"/>
        <v>3.5258949332135511E-2</v>
      </c>
      <c r="AF1030">
        <f t="shared" si="48"/>
        <v>-1.5340356607696502E-2</v>
      </c>
    </row>
    <row r="1031" spans="6:32" x14ac:dyDescent="0.2">
      <c r="F1031">
        <v>11</v>
      </c>
      <c r="AB1031" s="29">
        <v>35661</v>
      </c>
      <c r="AC1031">
        <v>11</v>
      </c>
      <c r="AD1031">
        <v>926.01</v>
      </c>
      <c r="AE1031">
        <f t="shared" si="48"/>
        <v>2.8057234145959262E-2</v>
      </c>
      <c r="AF1031">
        <f t="shared" si="48"/>
        <v>1.4303112989369737E-2</v>
      </c>
    </row>
    <row r="1032" spans="6:32" x14ac:dyDescent="0.2">
      <c r="F1032">
        <v>10.343999999999999</v>
      </c>
      <c r="AB1032" s="29">
        <v>35660</v>
      </c>
      <c r="AC1032">
        <v>10.343999999999999</v>
      </c>
      <c r="AD1032">
        <v>912.49</v>
      </c>
      <c r="AE1032">
        <f t="shared" si="48"/>
        <v>6.1488631328814228E-2</v>
      </c>
      <c r="AF1032">
        <f t="shared" si="48"/>
        <v>1.4707907231450384E-2</v>
      </c>
    </row>
    <row r="1033" spans="6:32" x14ac:dyDescent="0.2">
      <c r="F1033">
        <v>10.25</v>
      </c>
      <c r="AB1033" s="29">
        <v>35657</v>
      </c>
      <c r="AC1033">
        <v>10.25</v>
      </c>
      <c r="AD1033">
        <v>900.81</v>
      </c>
      <c r="AE1033">
        <f t="shared" si="48"/>
        <v>9.1289358851391784E-3</v>
      </c>
      <c r="AF1033">
        <f t="shared" si="48"/>
        <v>1.2882767925341048E-2</v>
      </c>
    </row>
    <row r="1034" spans="6:32" x14ac:dyDescent="0.2">
      <c r="F1034">
        <v>10.406000000000001</v>
      </c>
      <c r="AB1034" s="29">
        <v>35656</v>
      </c>
      <c r="AC1034">
        <v>10.406000000000001</v>
      </c>
      <c r="AD1034">
        <v>924.77</v>
      </c>
      <c r="AE1034">
        <f t="shared" si="48"/>
        <v>-1.5104857283694654E-2</v>
      </c>
      <c r="AF1034">
        <f t="shared" si="48"/>
        <v>-2.625069937842921E-2</v>
      </c>
    </row>
    <row r="1035" spans="6:32" x14ac:dyDescent="0.2">
      <c r="F1035">
        <v>10.875</v>
      </c>
      <c r="AB1035" s="29">
        <v>35655</v>
      </c>
      <c r="AC1035">
        <v>10.875</v>
      </c>
      <c r="AD1035">
        <v>922.02</v>
      </c>
      <c r="AE1035">
        <f t="shared" si="48"/>
        <v>-4.408401410663592E-2</v>
      </c>
      <c r="AF1035">
        <f t="shared" si="48"/>
        <v>2.9781426502799558E-3</v>
      </c>
    </row>
    <row r="1036" spans="6:32" x14ac:dyDescent="0.2">
      <c r="F1036">
        <v>11.188000000000001</v>
      </c>
      <c r="AB1036" s="29">
        <v>35654</v>
      </c>
      <c r="AC1036">
        <v>11.188000000000001</v>
      </c>
      <c r="AD1036">
        <v>926.53</v>
      </c>
      <c r="AE1036">
        <f t="shared" si="48"/>
        <v>-2.8375198364965597E-2</v>
      </c>
      <c r="AF1036">
        <f t="shared" si="48"/>
        <v>-4.8795098303468379E-3</v>
      </c>
    </row>
    <row r="1037" spans="6:32" x14ac:dyDescent="0.2">
      <c r="F1037">
        <v>11.313000000000001</v>
      </c>
      <c r="AB1037" s="29">
        <v>35653</v>
      </c>
      <c r="AC1037">
        <v>11.313000000000001</v>
      </c>
      <c r="AD1037">
        <v>937</v>
      </c>
      <c r="AE1037">
        <f t="shared" si="48"/>
        <v>-1.1110731604616456E-2</v>
      </c>
      <c r="AF1037">
        <f t="shared" si="48"/>
        <v>-1.1236857112779365E-2</v>
      </c>
    </row>
    <row r="1038" spans="6:32" x14ac:dyDescent="0.2">
      <c r="F1038">
        <v>11.5</v>
      </c>
      <c r="AB1038" s="29">
        <v>35650</v>
      </c>
      <c r="AC1038">
        <v>11.5</v>
      </c>
      <c r="AD1038">
        <v>933.54</v>
      </c>
      <c r="AE1038">
        <f t="shared" si="48"/>
        <v>-1.6394528424874565E-2</v>
      </c>
      <c r="AF1038">
        <f t="shared" si="48"/>
        <v>3.6994706834958765E-3</v>
      </c>
    </row>
    <row r="1039" spans="6:32" x14ac:dyDescent="0.2">
      <c r="F1039">
        <v>11.688000000000001</v>
      </c>
      <c r="AB1039" s="29">
        <v>35649</v>
      </c>
      <c r="AC1039">
        <v>11.688000000000001</v>
      </c>
      <c r="AD1039">
        <v>951.19</v>
      </c>
      <c r="AE1039">
        <f t="shared" si="48"/>
        <v>-1.6215639079194002E-2</v>
      </c>
      <c r="AF1039">
        <f t="shared" si="48"/>
        <v>-1.8730020730218636E-2</v>
      </c>
    </row>
    <row r="1040" spans="6:32" x14ac:dyDescent="0.2">
      <c r="F1040">
        <v>11.625</v>
      </c>
      <c r="AB1040" s="29">
        <v>35648</v>
      </c>
      <c r="AC1040">
        <v>11.625</v>
      </c>
      <c r="AD1040">
        <v>960.32</v>
      </c>
      <c r="AE1040">
        <f t="shared" si="48"/>
        <v>5.4047229749784823E-3</v>
      </c>
      <c r="AF1040">
        <f t="shared" si="48"/>
        <v>-9.5527299668573609E-3</v>
      </c>
    </row>
    <row r="1041" spans="6:32" x14ac:dyDescent="0.2">
      <c r="F1041">
        <v>11.875</v>
      </c>
      <c r="AB1041" s="29">
        <v>35647</v>
      </c>
      <c r="AC1041">
        <v>11.875</v>
      </c>
      <c r="AD1041">
        <v>952.37</v>
      </c>
      <c r="AE1041">
        <f t="shared" ref="AE1041:AF1064" si="49">LN(AC1040/AC1041)</f>
        <v>-2.1277398447284851E-2</v>
      </c>
      <c r="AF1041">
        <f t="shared" si="49"/>
        <v>8.3129475054228002E-3</v>
      </c>
    </row>
    <row r="1042" spans="6:32" x14ac:dyDescent="0.2">
      <c r="F1042">
        <v>11.563000000000001</v>
      </c>
      <c r="AB1042" s="29">
        <v>35646</v>
      </c>
      <c r="AC1042">
        <v>11.563000000000001</v>
      </c>
      <c r="AD1042">
        <v>950.3</v>
      </c>
      <c r="AE1042">
        <f t="shared" si="49"/>
        <v>2.6625004773880093E-2</v>
      </c>
      <c r="AF1042">
        <f t="shared" si="49"/>
        <v>2.1758905293100509E-3</v>
      </c>
    </row>
    <row r="1043" spans="6:32" x14ac:dyDescent="0.2">
      <c r="F1043">
        <v>11.625</v>
      </c>
      <c r="AB1043" s="29">
        <v>35643</v>
      </c>
      <c r="AC1043">
        <v>11.625</v>
      </c>
      <c r="AD1043">
        <v>947.14</v>
      </c>
      <c r="AE1043">
        <f t="shared" si="49"/>
        <v>-5.3476063265952417E-3</v>
      </c>
      <c r="AF1043">
        <f t="shared" si="49"/>
        <v>3.3308066884763891E-3</v>
      </c>
    </row>
    <row r="1044" spans="6:32" x14ac:dyDescent="0.2">
      <c r="F1044">
        <v>12.093999999999999</v>
      </c>
      <c r="AB1044" s="29">
        <v>35642</v>
      </c>
      <c r="AC1044">
        <v>12.093999999999999</v>
      </c>
      <c r="AD1044">
        <v>954.31</v>
      </c>
      <c r="AE1044">
        <f t="shared" si="49"/>
        <v>-3.9551510377601115E-2</v>
      </c>
      <c r="AF1044">
        <f t="shared" si="49"/>
        <v>-7.5416487245584529E-3</v>
      </c>
    </row>
    <row r="1045" spans="6:32" x14ac:dyDescent="0.2">
      <c r="F1045">
        <v>12</v>
      </c>
      <c r="AB1045" s="29">
        <v>35641</v>
      </c>
      <c r="AC1045">
        <v>12</v>
      </c>
      <c r="AD1045">
        <v>952.29</v>
      </c>
      <c r="AE1045">
        <f t="shared" si="49"/>
        <v>7.8028120630208682E-3</v>
      </c>
      <c r="AF1045">
        <f t="shared" si="49"/>
        <v>2.1189560010618433E-3</v>
      </c>
    </row>
    <row r="1046" spans="6:32" x14ac:dyDescent="0.2">
      <c r="F1046">
        <v>12.063000000000001</v>
      </c>
      <c r="AB1046" s="29">
        <v>35640</v>
      </c>
      <c r="AC1046">
        <v>12.063000000000001</v>
      </c>
      <c r="AD1046">
        <v>942.29</v>
      </c>
      <c r="AE1046">
        <f t="shared" si="49"/>
        <v>-5.2362667952463816E-3</v>
      </c>
      <c r="AF1046">
        <f t="shared" si="49"/>
        <v>1.0556527427419492E-2</v>
      </c>
    </row>
    <row r="1047" spans="6:32" x14ac:dyDescent="0.2">
      <c r="F1047">
        <v>11.813000000000001</v>
      </c>
      <c r="AB1047" s="29">
        <v>35639</v>
      </c>
      <c r="AC1047">
        <v>11.813000000000001</v>
      </c>
      <c r="AD1047">
        <v>936.45</v>
      </c>
      <c r="AE1047">
        <f t="shared" si="49"/>
        <v>2.0942296616863674E-2</v>
      </c>
      <c r="AF1047">
        <f t="shared" si="49"/>
        <v>6.2169526490073075E-3</v>
      </c>
    </row>
    <row r="1048" spans="6:32" x14ac:dyDescent="0.2">
      <c r="F1048">
        <v>11.625</v>
      </c>
      <c r="AB1048" s="29">
        <v>35636</v>
      </c>
      <c r="AC1048">
        <v>11.625</v>
      </c>
      <c r="AD1048">
        <v>938.79</v>
      </c>
      <c r="AE1048">
        <f t="shared" si="49"/>
        <v>1.6042668492962993E-2</v>
      </c>
      <c r="AF1048">
        <f t="shared" si="49"/>
        <v>-2.4956818482362226E-3</v>
      </c>
    </row>
    <row r="1049" spans="6:32" x14ac:dyDescent="0.2">
      <c r="F1049">
        <v>11.625</v>
      </c>
      <c r="AB1049" s="29">
        <v>35635</v>
      </c>
      <c r="AC1049">
        <v>11.625</v>
      </c>
      <c r="AD1049">
        <v>940.3</v>
      </c>
      <c r="AE1049">
        <f t="shared" si="49"/>
        <v>0</v>
      </c>
      <c r="AF1049">
        <f t="shared" si="49"/>
        <v>-1.6071612589320557E-3</v>
      </c>
    </row>
    <row r="1050" spans="6:32" x14ac:dyDescent="0.2">
      <c r="F1050">
        <v>11.968999999999999</v>
      </c>
      <c r="AB1050" s="29">
        <v>35634</v>
      </c>
      <c r="AC1050">
        <v>11.968999999999999</v>
      </c>
      <c r="AD1050">
        <v>936.56</v>
      </c>
      <c r="AE1050">
        <f t="shared" si="49"/>
        <v>-2.9162022417813328E-2</v>
      </c>
      <c r="AF1050">
        <f t="shared" si="49"/>
        <v>3.9853851116142475E-3</v>
      </c>
    </row>
    <row r="1051" spans="6:32" x14ac:dyDescent="0.2">
      <c r="F1051">
        <v>11.688000000000001</v>
      </c>
      <c r="AB1051" s="29">
        <v>35633</v>
      </c>
      <c r="AC1051">
        <v>11.688000000000001</v>
      </c>
      <c r="AD1051">
        <v>933.98</v>
      </c>
      <c r="AE1051">
        <f t="shared" si="49"/>
        <v>2.3757299442834848E-2</v>
      </c>
      <c r="AF1051">
        <f t="shared" si="49"/>
        <v>2.7585634480729927E-3</v>
      </c>
    </row>
    <row r="1052" spans="6:32" x14ac:dyDescent="0.2">
      <c r="F1052">
        <v>12.125</v>
      </c>
      <c r="AB1052" s="29">
        <v>35632</v>
      </c>
      <c r="AC1052">
        <v>12.125</v>
      </c>
      <c r="AD1052">
        <v>912.94</v>
      </c>
      <c r="AE1052">
        <f t="shared" si="49"/>
        <v>-3.6706762375148486E-2</v>
      </c>
      <c r="AF1052">
        <f t="shared" si="49"/>
        <v>2.278486370297431E-2</v>
      </c>
    </row>
    <row r="1053" spans="6:32" x14ac:dyDescent="0.2">
      <c r="F1053">
        <v>11.593999999999999</v>
      </c>
      <c r="AB1053" s="29">
        <v>35629</v>
      </c>
      <c r="AC1053">
        <v>11.593999999999999</v>
      </c>
      <c r="AD1053">
        <v>915.3</v>
      </c>
      <c r="AE1053">
        <f t="shared" si="49"/>
        <v>4.4781713906005854E-2</v>
      </c>
      <c r="AF1053">
        <f t="shared" si="49"/>
        <v>-2.5817193703640013E-3</v>
      </c>
    </row>
    <row r="1054" spans="6:32" x14ac:dyDescent="0.2">
      <c r="F1054">
        <v>11.875</v>
      </c>
      <c r="AB1054" s="29">
        <v>35628</v>
      </c>
      <c r="AC1054">
        <v>11.875</v>
      </c>
      <c r="AD1054">
        <v>931.61</v>
      </c>
      <c r="AE1054">
        <f t="shared" si="49"/>
        <v>-2.3947627003163881E-2</v>
      </c>
      <c r="AF1054">
        <f t="shared" si="49"/>
        <v>-1.7662391782536552E-2</v>
      </c>
    </row>
    <row r="1055" spans="6:32" x14ac:dyDescent="0.2">
      <c r="F1055">
        <v>12.313000000000001</v>
      </c>
      <c r="AB1055" s="29">
        <v>35627</v>
      </c>
      <c r="AC1055">
        <v>12.313000000000001</v>
      </c>
      <c r="AD1055">
        <v>936.59</v>
      </c>
      <c r="AE1055">
        <f t="shared" si="49"/>
        <v>-3.6220264890029524E-2</v>
      </c>
      <c r="AF1055">
        <f t="shared" si="49"/>
        <v>-5.3313476026660639E-3</v>
      </c>
    </row>
    <row r="1056" spans="6:32" x14ac:dyDescent="0.2">
      <c r="F1056">
        <v>12.125</v>
      </c>
      <c r="AB1056" s="29">
        <v>35626</v>
      </c>
      <c r="AC1056">
        <v>12.125</v>
      </c>
      <c r="AD1056">
        <v>925.76</v>
      </c>
      <c r="AE1056">
        <f t="shared" si="49"/>
        <v>1.5386177987187614E-2</v>
      </c>
      <c r="AF1056">
        <f t="shared" si="49"/>
        <v>1.1630597988165851E-2</v>
      </c>
    </row>
    <row r="1057" spans="6:32" x14ac:dyDescent="0.2">
      <c r="F1057">
        <v>11.843999999999999</v>
      </c>
      <c r="AB1057" s="29">
        <v>35625</v>
      </c>
      <c r="AC1057">
        <v>11.843999999999999</v>
      </c>
      <c r="AD1057">
        <v>918.38</v>
      </c>
      <c r="AE1057">
        <f t="shared" si="49"/>
        <v>2.3448026584202135E-2</v>
      </c>
      <c r="AF1057">
        <f t="shared" si="49"/>
        <v>8.0037734630750302E-3</v>
      </c>
    </row>
    <row r="1058" spans="6:32" x14ac:dyDescent="0.2">
      <c r="F1058">
        <v>11.313000000000001</v>
      </c>
      <c r="AB1058" s="29">
        <v>35622</v>
      </c>
      <c r="AC1058">
        <v>11.313000000000001</v>
      </c>
      <c r="AD1058">
        <v>916.68</v>
      </c>
      <c r="AE1058">
        <f t="shared" si="49"/>
        <v>4.5868903295015064E-2</v>
      </c>
      <c r="AF1058">
        <f t="shared" si="49"/>
        <v>1.8528009834265933E-3</v>
      </c>
    </row>
    <row r="1059" spans="6:32" x14ac:dyDescent="0.2">
      <c r="F1059">
        <v>11</v>
      </c>
      <c r="AB1059" s="29">
        <v>35621</v>
      </c>
      <c r="AC1059">
        <v>11</v>
      </c>
      <c r="AD1059">
        <v>913.78</v>
      </c>
      <c r="AE1059">
        <f t="shared" si="49"/>
        <v>2.8057234145959262E-2</v>
      </c>
      <c r="AF1059">
        <f t="shared" si="49"/>
        <v>3.1686050788838883E-3</v>
      </c>
    </row>
    <row r="1060" spans="6:32" x14ac:dyDescent="0.2">
      <c r="F1060">
        <v>10.875</v>
      </c>
      <c r="AB1060" s="29">
        <v>35620</v>
      </c>
      <c r="AC1060">
        <v>10.875</v>
      </c>
      <c r="AD1060">
        <v>907.54</v>
      </c>
      <c r="AE1060">
        <f t="shared" si="49"/>
        <v>1.142869582362285E-2</v>
      </c>
      <c r="AF1060">
        <f t="shared" si="49"/>
        <v>6.8521999597609788E-3</v>
      </c>
    </row>
    <row r="1061" spans="6:32" x14ac:dyDescent="0.2">
      <c r="F1061">
        <v>10.938000000000001</v>
      </c>
      <c r="AB1061" s="29">
        <v>35619</v>
      </c>
      <c r="AC1061">
        <v>10.938000000000001</v>
      </c>
      <c r="AD1061">
        <v>918.75</v>
      </c>
      <c r="AE1061">
        <f t="shared" si="49"/>
        <v>-5.7763879498332199E-3</v>
      </c>
      <c r="AF1061">
        <f t="shared" si="49"/>
        <v>-1.2276408224422766E-2</v>
      </c>
    </row>
    <row r="1062" spans="6:32" x14ac:dyDescent="0.2">
      <c r="F1062">
        <v>10.938000000000001</v>
      </c>
      <c r="AB1062" s="29">
        <v>35618</v>
      </c>
      <c r="AC1062">
        <v>10.938000000000001</v>
      </c>
      <c r="AD1062">
        <v>912.2</v>
      </c>
      <c r="AE1062">
        <f t="shared" si="49"/>
        <v>0</v>
      </c>
      <c r="AF1062">
        <f t="shared" si="49"/>
        <v>7.1547862494463601E-3</v>
      </c>
    </row>
    <row r="1063" spans="6:32" x14ac:dyDescent="0.2">
      <c r="F1063">
        <v>11</v>
      </c>
      <c r="AB1063" s="29">
        <v>35614</v>
      </c>
      <c r="AC1063">
        <v>11</v>
      </c>
      <c r="AD1063">
        <v>916.92</v>
      </c>
      <c r="AE1063">
        <f t="shared" si="49"/>
        <v>-5.652307873789471E-3</v>
      </c>
      <c r="AF1063">
        <f t="shared" si="49"/>
        <v>-5.1609631698755001E-3</v>
      </c>
    </row>
    <row r="1064" spans="6:32" x14ac:dyDescent="0.2">
      <c r="F1064">
        <v>11</v>
      </c>
      <c r="AB1064" s="29">
        <v>35613</v>
      </c>
      <c r="AC1064">
        <v>11</v>
      </c>
      <c r="AD1064">
        <v>904.03</v>
      </c>
      <c r="AE1064">
        <f t="shared" si="49"/>
        <v>0</v>
      </c>
      <c r="AF1064">
        <f t="shared" si="49"/>
        <v>1.4157681765228894E-2</v>
      </c>
    </row>
    <row r="1065" spans="6:32" x14ac:dyDescent="0.2">
      <c r="F1065" s="29"/>
      <c r="AB1065" s="29"/>
    </row>
    <row r="1066" spans="6:32" x14ac:dyDescent="0.2">
      <c r="F1066" s="29"/>
      <c r="AB1066" s="29"/>
      <c r="AE1066" s="110">
        <f>AVERAGE(AE16:AE1064)*250</f>
        <v>0.20591993363447972</v>
      </c>
      <c r="AF1066" s="110">
        <f>AVERAGE(AF16:AF1064)</f>
        <v>2.2821898678474189E-4</v>
      </c>
    </row>
    <row r="1067" spans="6:32" x14ac:dyDescent="0.2">
      <c r="F1067" s="29"/>
    </row>
    <row r="1068" spans="6:32" x14ac:dyDescent="0.2">
      <c r="F1068" s="29"/>
    </row>
    <row r="1069" spans="6:32" x14ac:dyDescent="0.2">
      <c r="F1069" s="29"/>
    </row>
    <row r="1070" spans="6:32" x14ac:dyDescent="0.2">
      <c r="F1070" s="29"/>
    </row>
    <row r="1071" spans="6:32" x14ac:dyDescent="0.2">
      <c r="F1071" s="29"/>
    </row>
    <row r="1072" spans="6:32" x14ac:dyDescent="0.2">
      <c r="F1072" s="29"/>
    </row>
    <row r="1073" spans="6:6" x14ac:dyDescent="0.2">
      <c r="F1073" s="29"/>
    </row>
    <row r="1074" spans="6:6" x14ac:dyDescent="0.2">
      <c r="F1074" s="29"/>
    </row>
    <row r="1075" spans="6:6" x14ac:dyDescent="0.2">
      <c r="F1075" s="29"/>
    </row>
    <row r="1076" spans="6:6" x14ac:dyDescent="0.2">
      <c r="F1076" s="29"/>
    </row>
    <row r="1077" spans="6:6" x14ac:dyDescent="0.2">
      <c r="F1077" s="29"/>
    </row>
    <row r="1078" spans="6:6" x14ac:dyDescent="0.2">
      <c r="F1078" s="29"/>
    </row>
    <row r="1079" spans="6:6" x14ac:dyDescent="0.2">
      <c r="F1079" s="29"/>
    </row>
    <row r="1080" spans="6:6" x14ac:dyDescent="0.2">
      <c r="F1080" s="29"/>
    </row>
    <row r="1081" spans="6:6" x14ac:dyDescent="0.2">
      <c r="F1081" s="29"/>
    </row>
    <row r="1082" spans="6:6" x14ac:dyDescent="0.2">
      <c r="F1082" s="29"/>
    </row>
    <row r="1083" spans="6:6" x14ac:dyDescent="0.2">
      <c r="F1083" s="29"/>
    </row>
    <row r="1084" spans="6:6" x14ac:dyDescent="0.2">
      <c r="F1084" s="29"/>
    </row>
    <row r="1085" spans="6:6" x14ac:dyDescent="0.2">
      <c r="F1085" s="29"/>
    </row>
    <row r="1086" spans="6:6" x14ac:dyDescent="0.2">
      <c r="F1086" s="29"/>
    </row>
  </sheetData>
  <mergeCells count="2">
    <mergeCell ref="B13:G13"/>
    <mergeCell ref="H13:M13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9" sqref="D9"/>
    </sheetView>
  </sheetViews>
  <sheetFormatPr defaultRowHeight="10.199999999999999" x14ac:dyDescent="0.2"/>
  <cols>
    <col min="2" max="2" width="16.7109375" bestFit="1" customWidth="1"/>
    <col min="3" max="3" width="11.85546875" customWidth="1"/>
  </cols>
  <sheetData>
    <row r="1" spans="1:4" x14ac:dyDescent="0.2">
      <c r="A1" t="s">
        <v>304</v>
      </c>
      <c r="B1" s="5">
        <v>50000000</v>
      </c>
    </row>
    <row r="2" spans="1:4" x14ac:dyDescent="0.2">
      <c r="A2" t="s">
        <v>199</v>
      </c>
      <c r="B2" s="5">
        <v>2500000000</v>
      </c>
    </row>
    <row r="3" spans="1:4" x14ac:dyDescent="0.2">
      <c r="A3" t="s">
        <v>1</v>
      </c>
      <c r="B3" s="5" t="s">
        <v>305</v>
      </c>
      <c r="C3" t="s">
        <v>306</v>
      </c>
    </row>
    <row r="4" spans="1:4" x14ac:dyDescent="0.2">
      <c r="A4">
        <v>50</v>
      </c>
      <c r="B4" s="5">
        <f>A4*$B$1-$B$2</f>
        <v>0</v>
      </c>
      <c r="C4" s="5">
        <f t="shared" ref="C4:C9" si="0">B4/A4</f>
        <v>0</v>
      </c>
    </row>
    <row r="5" spans="1:4" x14ac:dyDescent="0.2">
      <c r="A5">
        <v>51</v>
      </c>
      <c r="B5" s="5">
        <f t="shared" ref="B5:B37" si="1">A5*$B$1-$B$2</f>
        <v>50000000</v>
      </c>
      <c r="C5" s="5">
        <f t="shared" si="0"/>
        <v>980392.15686274506</v>
      </c>
      <c r="D5">
        <f>(B5-B4)/(A5-A4)</f>
        <v>50000000</v>
      </c>
    </row>
    <row r="6" spans="1:4" x14ac:dyDescent="0.2">
      <c r="A6">
        <v>52</v>
      </c>
      <c r="B6" s="5">
        <f t="shared" si="1"/>
        <v>100000000</v>
      </c>
      <c r="C6" s="5">
        <f t="shared" si="0"/>
        <v>1923076.923076923</v>
      </c>
      <c r="D6">
        <f>(B6-B5)/(A6-A5)</f>
        <v>50000000</v>
      </c>
    </row>
    <row r="7" spans="1:4" x14ac:dyDescent="0.2">
      <c r="A7">
        <v>53</v>
      </c>
      <c r="B7" s="5">
        <f t="shared" si="1"/>
        <v>150000000</v>
      </c>
      <c r="C7" s="5">
        <f t="shared" si="0"/>
        <v>2830188.6792452829</v>
      </c>
      <c r="D7">
        <f>(B7-B6)/(A7-A6)</f>
        <v>50000000</v>
      </c>
    </row>
    <row r="8" spans="1:4" x14ac:dyDescent="0.2">
      <c r="A8">
        <v>54</v>
      </c>
      <c r="B8" s="5">
        <f t="shared" si="1"/>
        <v>200000000</v>
      </c>
      <c r="C8" s="5">
        <f t="shared" si="0"/>
        <v>3703703.7037037038</v>
      </c>
      <c r="D8">
        <f>(B8-B7)/(A8-A7)</f>
        <v>50000000</v>
      </c>
    </row>
    <row r="9" spans="1:4" x14ac:dyDescent="0.2">
      <c r="A9">
        <v>54.202599999999997</v>
      </c>
      <c r="B9" s="5">
        <f t="shared" si="1"/>
        <v>210130000</v>
      </c>
      <c r="C9" s="5">
        <f t="shared" si="0"/>
        <v>3876751.2997531486</v>
      </c>
      <c r="D9">
        <f>(B9-B8)/(A9-A8)</f>
        <v>50000000.000000797</v>
      </c>
    </row>
    <row r="10" spans="1:4" x14ac:dyDescent="0.2">
      <c r="A10">
        <v>55</v>
      </c>
      <c r="B10" s="5">
        <f t="shared" si="1"/>
        <v>250000000</v>
      </c>
      <c r="C10" s="5"/>
    </row>
    <row r="11" spans="1:4" x14ac:dyDescent="0.2">
      <c r="A11">
        <v>56</v>
      </c>
      <c r="B11" s="5">
        <f t="shared" si="1"/>
        <v>300000000</v>
      </c>
      <c r="C11" s="5"/>
    </row>
    <row r="12" spans="1:4" x14ac:dyDescent="0.2">
      <c r="A12">
        <v>57</v>
      </c>
      <c r="B12" s="5">
        <f t="shared" si="1"/>
        <v>350000000</v>
      </c>
      <c r="C12" s="5"/>
    </row>
    <row r="13" spans="1:4" x14ac:dyDescent="0.2">
      <c r="A13">
        <v>58</v>
      </c>
      <c r="B13" s="5">
        <f t="shared" si="1"/>
        <v>400000000</v>
      </c>
      <c r="C13" s="5"/>
    </row>
    <row r="14" spans="1:4" x14ac:dyDescent="0.2">
      <c r="A14">
        <v>59</v>
      </c>
      <c r="B14" s="5">
        <f t="shared" si="1"/>
        <v>450000000</v>
      </c>
      <c r="C14" s="5"/>
    </row>
    <row r="15" spans="1:4" x14ac:dyDescent="0.2">
      <c r="A15">
        <v>60</v>
      </c>
      <c r="B15" s="5">
        <f t="shared" si="1"/>
        <v>500000000</v>
      </c>
      <c r="C15" s="5"/>
    </row>
    <row r="16" spans="1:4" x14ac:dyDescent="0.2">
      <c r="A16">
        <v>61</v>
      </c>
      <c r="B16" s="5">
        <f t="shared" si="1"/>
        <v>550000000</v>
      </c>
      <c r="C16" s="5"/>
    </row>
    <row r="17" spans="1:3" x14ac:dyDescent="0.2">
      <c r="A17">
        <v>62</v>
      </c>
      <c r="B17" s="5">
        <f t="shared" si="1"/>
        <v>600000000</v>
      </c>
      <c r="C17" s="5"/>
    </row>
    <row r="18" spans="1:3" x14ac:dyDescent="0.2">
      <c r="A18">
        <v>63</v>
      </c>
      <c r="B18" s="5">
        <f t="shared" si="1"/>
        <v>650000000</v>
      </c>
      <c r="C18" s="5"/>
    </row>
    <row r="19" spans="1:3" x14ac:dyDescent="0.2">
      <c r="A19">
        <v>64</v>
      </c>
      <c r="B19" s="5">
        <f t="shared" si="1"/>
        <v>700000000</v>
      </c>
      <c r="C19" s="5"/>
    </row>
    <row r="20" spans="1:3" x14ac:dyDescent="0.2">
      <c r="A20">
        <v>65</v>
      </c>
      <c r="B20" s="5">
        <f t="shared" si="1"/>
        <v>750000000</v>
      </c>
      <c r="C20" s="5"/>
    </row>
    <row r="21" spans="1:3" x14ac:dyDescent="0.2">
      <c r="A21">
        <v>66</v>
      </c>
      <c r="B21" s="5">
        <f t="shared" si="1"/>
        <v>800000000</v>
      </c>
      <c r="C21" s="5"/>
    </row>
    <row r="22" spans="1:3" x14ac:dyDescent="0.2">
      <c r="A22">
        <v>67</v>
      </c>
      <c r="B22" s="5">
        <f t="shared" si="1"/>
        <v>850000000</v>
      </c>
      <c r="C22" s="5"/>
    </row>
    <row r="23" spans="1:3" x14ac:dyDescent="0.2">
      <c r="A23">
        <v>68</v>
      </c>
      <c r="B23" s="5">
        <f t="shared" si="1"/>
        <v>900000000</v>
      </c>
      <c r="C23" s="5"/>
    </row>
    <row r="24" spans="1:3" x14ac:dyDescent="0.2">
      <c r="A24">
        <v>69</v>
      </c>
      <c r="B24" s="5">
        <f t="shared" si="1"/>
        <v>950000000</v>
      </c>
      <c r="C24" s="5"/>
    </row>
    <row r="25" spans="1:3" x14ac:dyDescent="0.2">
      <c r="A25">
        <v>70</v>
      </c>
      <c r="B25" s="5">
        <f t="shared" si="1"/>
        <v>1000000000</v>
      </c>
      <c r="C25" s="5"/>
    </row>
    <row r="26" spans="1:3" x14ac:dyDescent="0.2">
      <c r="A26">
        <v>71</v>
      </c>
      <c r="B26" s="5">
        <f t="shared" si="1"/>
        <v>1050000000</v>
      </c>
      <c r="C26" s="5"/>
    </row>
    <row r="27" spans="1:3" x14ac:dyDescent="0.2">
      <c r="A27">
        <v>72</v>
      </c>
      <c r="B27" s="5">
        <f t="shared" si="1"/>
        <v>1100000000</v>
      </c>
      <c r="C27" s="5"/>
    </row>
    <row r="28" spans="1:3" x14ac:dyDescent="0.2">
      <c r="A28">
        <v>73</v>
      </c>
      <c r="B28" s="5">
        <f t="shared" si="1"/>
        <v>1150000000</v>
      </c>
      <c r="C28" s="5"/>
    </row>
    <row r="29" spans="1:3" x14ac:dyDescent="0.2">
      <c r="A29">
        <v>74</v>
      </c>
      <c r="B29" s="5">
        <f t="shared" si="1"/>
        <v>1200000000</v>
      </c>
      <c r="C29" s="5"/>
    </row>
    <row r="30" spans="1:3" x14ac:dyDescent="0.2">
      <c r="A30">
        <v>75</v>
      </c>
      <c r="B30" s="5">
        <f t="shared" si="1"/>
        <v>1250000000</v>
      </c>
      <c r="C30" s="5"/>
    </row>
    <row r="31" spans="1:3" x14ac:dyDescent="0.2">
      <c r="A31">
        <v>76</v>
      </c>
      <c r="B31" s="5">
        <f t="shared" si="1"/>
        <v>1300000000</v>
      </c>
      <c r="C31" s="5"/>
    </row>
    <row r="32" spans="1:3" x14ac:dyDescent="0.2">
      <c r="A32">
        <v>77</v>
      </c>
      <c r="B32" s="5">
        <f t="shared" si="1"/>
        <v>1350000000</v>
      </c>
      <c r="C32" s="5"/>
    </row>
    <row r="33" spans="1:3" x14ac:dyDescent="0.2">
      <c r="A33">
        <v>78</v>
      </c>
      <c r="B33" s="5">
        <f t="shared" si="1"/>
        <v>1400000000</v>
      </c>
      <c r="C33" s="5"/>
    </row>
    <row r="34" spans="1:3" x14ac:dyDescent="0.2">
      <c r="A34">
        <v>79</v>
      </c>
      <c r="B34" s="5">
        <f t="shared" si="1"/>
        <v>1450000000</v>
      </c>
      <c r="C34" s="5"/>
    </row>
    <row r="35" spans="1:3" x14ac:dyDescent="0.2">
      <c r="A35">
        <v>80</v>
      </c>
      <c r="B35" s="5">
        <f t="shared" si="1"/>
        <v>1500000000</v>
      </c>
      <c r="C35" s="5"/>
    </row>
    <row r="36" spans="1:3" x14ac:dyDescent="0.2">
      <c r="A36">
        <v>81</v>
      </c>
      <c r="B36" s="5">
        <f t="shared" si="1"/>
        <v>1550000000</v>
      </c>
      <c r="C36" s="5"/>
    </row>
    <row r="37" spans="1:3" x14ac:dyDescent="0.2">
      <c r="A37">
        <v>82</v>
      </c>
      <c r="B37" s="5">
        <f t="shared" si="1"/>
        <v>1600000000</v>
      </c>
      <c r="C37" s="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Assumptions and Methodology</vt:lpstr>
      <vt:lpstr>Input and Calc</vt:lpstr>
      <vt:lpstr>Raptor 1</vt:lpstr>
      <vt:lpstr>Raptor 2</vt:lpstr>
      <vt:lpstr>Raptor 3</vt:lpstr>
      <vt:lpstr>Raptor 4</vt:lpstr>
      <vt:lpstr>OPM Approach</vt:lpstr>
      <vt:lpstr>RoR</vt:lpstr>
      <vt:lpstr>Scratch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rbharati</dc:creator>
  <cp:lastModifiedBy>Havlíček Jan</cp:lastModifiedBy>
  <cp:lastPrinted>2001-02-06T15:16:13Z</cp:lastPrinted>
  <dcterms:created xsi:type="dcterms:W3CDTF">2001-01-12T20:48:35Z</dcterms:created>
  <dcterms:modified xsi:type="dcterms:W3CDTF">2023-09-10T16:00:42Z</dcterms:modified>
</cp:coreProperties>
</file>