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ummary" sheetId="1" r:id="rId1"/>
    <sheet name="Headcoun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Summary!$A$2:$Q$45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/>
</workbook>
</file>

<file path=xl/calcChain.xml><?xml version="1.0" encoding="utf-8"?>
<calcChain xmlns="http://schemas.openxmlformats.org/spreadsheetml/2006/main">
  <c r="D8" i="2" l="1"/>
  <c r="F8" i="2"/>
  <c r="G8" i="2"/>
  <c r="J8" i="2"/>
  <c r="U8" i="2"/>
  <c r="V8" i="2"/>
  <c r="D10" i="2"/>
  <c r="F10" i="2"/>
  <c r="G10" i="2"/>
  <c r="I10" i="2"/>
  <c r="J10" i="2"/>
  <c r="U10" i="2"/>
  <c r="V10" i="2"/>
  <c r="D12" i="2"/>
  <c r="F12" i="2"/>
  <c r="G12" i="2"/>
  <c r="U12" i="2"/>
  <c r="V12" i="2"/>
  <c r="C14" i="2"/>
  <c r="D14" i="2"/>
  <c r="U14" i="2"/>
  <c r="V14" i="2"/>
  <c r="D16" i="2"/>
  <c r="F16" i="2"/>
  <c r="G16" i="2"/>
  <c r="I16" i="2"/>
  <c r="J16" i="2"/>
  <c r="L16" i="2"/>
  <c r="M16" i="2"/>
  <c r="U16" i="2"/>
  <c r="V16" i="2"/>
  <c r="F18" i="2"/>
  <c r="G18" i="2"/>
  <c r="J18" i="2"/>
  <c r="U18" i="2"/>
  <c r="V18" i="2"/>
  <c r="C20" i="2"/>
  <c r="D20" i="2"/>
  <c r="F20" i="2"/>
  <c r="G20" i="2"/>
  <c r="I20" i="2"/>
  <c r="J20" i="2"/>
  <c r="L20" i="2"/>
  <c r="M20" i="2"/>
  <c r="O20" i="2"/>
  <c r="P20" i="2"/>
  <c r="R20" i="2"/>
  <c r="S20" i="2"/>
  <c r="U20" i="2"/>
  <c r="V20" i="2"/>
  <c r="U21" i="2"/>
  <c r="V21" i="2"/>
  <c r="U22" i="2"/>
  <c r="V22" i="2"/>
  <c r="J23" i="2"/>
  <c r="U23" i="2"/>
  <c r="V23" i="2"/>
  <c r="C26" i="2"/>
  <c r="F26" i="2"/>
  <c r="G26" i="2"/>
  <c r="I26" i="2"/>
  <c r="J26" i="2"/>
  <c r="L26" i="2"/>
  <c r="M26" i="2"/>
  <c r="S26" i="2"/>
  <c r="U26" i="2"/>
  <c r="V26" i="2"/>
  <c r="C28" i="2"/>
  <c r="D28" i="2"/>
  <c r="F28" i="2"/>
  <c r="G28" i="2"/>
  <c r="I28" i="2"/>
  <c r="J28" i="2"/>
  <c r="L28" i="2"/>
  <c r="M28" i="2"/>
  <c r="O28" i="2"/>
  <c r="P28" i="2"/>
  <c r="R28" i="2"/>
  <c r="S28" i="2"/>
  <c r="U28" i="2"/>
  <c r="V28" i="2"/>
  <c r="C30" i="2"/>
  <c r="D30" i="2"/>
  <c r="F30" i="2"/>
  <c r="G30" i="2"/>
  <c r="I30" i="2"/>
  <c r="J30" i="2"/>
  <c r="L30" i="2"/>
  <c r="M30" i="2"/>
  <c r="O30" i="2"/>
  <c r="P30" i="2"/>
  <c r="R30" i="2"/>
  <c r="S30" i="2"/>
  <c r="U30" i="2"/>
  <c r="V30" i="2"/>
  <c r="U31" i="2"/>
  <c r="V31" i="2"/>
  <c r="M32" i="2"/>
  <c r="O32" i="2"/>
  <c r="P32" i="2"/>
  <c r="U32" i="2"/>
  <c r="V32" i="2"/>
  <c r="U33" i="2"/>
  <c r="V33" i="2"/>
  <c r="C35" i="2"/>
  <c r="D35" i="2"/>
  <c r="F35" i="2"/>
  <c r="G35" i="2"/>
  <c r="I35" i="2"/>
  <c r="J35" i="2"/>
  <c r="L35" i="2"/>
  <c r="M35" i="2"/>
  <c r="O35" i="2"/>
  <c r="P35" i="2"/>
  <c r="R35" i="2"/>
  <c r="S35" i="2"/>
  <c r="U35" i="2"/>
  <c r="V35" i="2"/>
  <c r="D8" i="1"/>
  <c r="F8" i="1"/>
  <c r="H8" i="1"/>
  <c r="J8" i="1"/>
  <c r="L8" i="1"/>
  <c r="N8" i="1"/>
  <c r="P8" i="1"/>
  <c r="D9" i="1"/>
  <c r="F9" i="1"/>
  <c r="H9" i="1"/>
  <c r="J9" i="1"/>
  <c r="L9" i="1"/>
  <c r="N9" i="1"/>
  <c r="P9" i="1"/>
  <c r="D10" i="1"/>
  <c r="H10" i="1"/>
  <c r="J10" i="1"/>
  <c r="L10" i="1"/>
  <c r="N10" i="1"/>
  <c r="P10" i="1"/>
  <c r="D11" i="1"/>
  <c r="H11" i="1"/>
  <c r="L11" i="1"/>
  <c r="N11" i="1"/>
  <c r="P11" i="1"/>
  <c r="D12" i="1"/>
  <c r="H12" i="1"/>
  <c r="J12" i="1"/>
  <c r="L12" i="1"/>
  <c r="N12" i="1"/>
  <c r="P12" i="1"/>
  <c r="D13" i="1"/>
  <c r="H13" i="1"/>
  <c r="J13" i="1"/>
  <c r="L13" i="1"/>
  <c r="N13" i="1"/>
  <c r="P13" i="1"/>
  <c r="D15" i="1"/>
  <c r="F15" i="1"/>
  <c r="H15" i="1"/>
  <c r="J15" i="1"/>
  <c r="L15" i="1"/>
  <c r="N15" i="1"/>
  <c r="P15" i="1"/>
  <c r="P17" i="1"/>
  <c r="D19" i="1"/>
  <c r="F19" i="1"/>
  <c r="H19" i="1"/>
  <c r="J19" i="1"/>
  <c r="L19" i="1"/>
  <c r="N19" i="1"/>
  <c r="P19" i="1"/>
  <c r="P20" i="1"/>
  <c r="D22" i="1"/>
  <c r="F22" i="1"/>
  <c r="H22" i="1"/>
  <c r="J22" i="1"/>
  <c r="L22" i="1"/>
  <c r="N22" i="1"/>
  <c r="P22" i="1"/>
</calcChain>
</file>

<file path=xl/comments1.xml><?xml version="1.0" encoding="utf-8"?>
<comments xmlns="http://schemas.openxmlformats.org/spreadsheetml/2006/main">
  <authors>
    <author>ksnow</author>
  </authors>
  <commentList>
    <comment ref="D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F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H8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L11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$18.1MM for Indirects &amp; Bonuses</t>
        </r>
      </text>
    </comment>
    <comment ref="D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F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  <comment ref="H13" authorId="0" shapeId="0">
      <text>
        <r>
          <rPr>
            <b/>
            <sz val="8"/>
            <color indexed="81"/>
            <rFont val="Tahoma"/>
          </rPr>
          <t>ksnow:</t>
        </r>
        <r>
          <rPr>
            <sz val="8"/>
            <color indexed="81"/>
            <rFont val="Tahoma"/>
          </rPr>
          <t xml:space="preserve">
Added Sally's Headcount in Other and backed out of EA
</t>
        </r>
      </text>
    </comment>
  </commentList>
</comments>
</file>

<file path=xl/comments2.xml><?xml version="1.0" encoding="utf-8"?>
<comments xmlns="http://schemas.openxmlformats.org/spreadsheetml/2006/main">
  <authors>
    <author>bheinri</author>
  </authors>
  <commentList>
    <comment ref="C1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backed out volume mgmt and bob hall's cc (3) for mgmt</t>
        </r>
      </text>
    </comment>
    <comment ref="P2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5 Global contracts &amp; facilities  people are included below</t>
        </r>
      </text>
    </comment>
    <comment ref="M3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14 ees people
</t>
        </r>
      </text>
    </comment>
    <comment ref="P3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includes the EBS contracts and facilities cost center</t>
        </r>
      </text>
    </comment>
  </commentList>
</comments>
</file>

<file path=xl/sharedStrings.xml><?xml version="1.0" encoding="utf-8"?>
<sst xmlns="http://schemas.openxmlformats.org/spreadsheetml/2006/main" count="75" uniqueCount="56">
  <si>
    <t xml:space="preserve">  Energy Operations Consolidated 2002 Plan - Allocations by Business Unit</t>
  </si>
  <si>
    <t xml:space="preserve">  Analysis Of Increases (Decreases)</t>
  </si>
  <si>
    <t xml:space="preserve">  (in millions)</t>
  </si>
  <si>
    <t>2001 Allocated Plan</t>
  </si>
  <si>
    <t>2002 Allocated Plan</t>
  </si>
  <si>
    <t>Increase / (Decrease) over 2001 Proforma</t>
  </si>
  <si>
    <t>Enron Americas - Energy Operations</t>
  </si>
  <si>
    <t>EA</t>
  </si>
  <si>
    <t>Enron Global Markets - Energy Operations</t>
  </si>
  <si>
    <t>EGM</t>
  </si>
  <si>
    <t>Enron Industrial Markets - Energy Operations</t>
  </si>
  <si>
    <t>EIM</t>
  </si>
  <si>
    <t>Enron Energy Services - Energy Operations</t>
  </si>
  <si>
    <t>EES</t>
  </si>
  <si>
    <t>Enron Broadband Services - Energy Operations</t>
  </si>
  <si>
    <t>EBS</t>
  </si>
  <si>
    <t>Other Business Units</t>
  </si>
  <si>
    <t>Other</t>
  </si>
  <si>
    <t>Total Enron Net Works - Energy Operations</t>
  </si>
  <si>
    <t>Total Indirect Expenses</t>
  </si>
  <si>
    <t>Total Enron Wholesale Services - Energy Operations</t>
  </si>
  <si>
    <t>EGM - Europe and Singapore - Energy Operations</t>
  </si>
  <si>
    <t>Adjusted to include a total of 7 additional Associates that began in August.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</si>
  <si>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>N</t>
    </r>
    <r>
      <rPr>
        <b/>
        <sz val="18"/>
        <color indexed="8"/>
        <rFont val="Times New Roman"/>
        <family val="1"/>
      </rPr>
      <t xml:space="preserve"> E T W O R K S</t>
    </r>
  </si>
  <si>
    <r>
      <t xml:space="preserve">Plan Headcount as of December 2001 </t>
    </r>
    <r>
      <rPr>
        <b/>
        <vertAlign val="superscript"/>
        <sz val="10"/>
        <color indexed="10"/>
        <rFont val="Times New Roman"/>
        <family val="1"/>
      </rPr>
      <t>(1)</t>
    </r>
  </si>
  <si>
    <r>
      <t xml:space="preserve">Proforma Headcount for 2001 </t>
    </r>
    <r>
      <rPr>
        <b/>
        <vertAlign val="superscript"/>
        <sz val="10"/>
        <color indexed="10"/>
        <rFont val="Times New Roman"/>
        <family val="1"/>
      </rPr>
      <t>(1)</t>
    </r>
  </si>
  <si>
    <r>
      <t xml:space="preserve">Plan Headcount as of December 2002 </t>
    </r>
    <r>
      <rPr>
        <b/>
        <vertAlign val="superscript"/>
        <sz val="10"/>
        <color indexed="10"/>
        <rFont val="Times New Roman"/>
        <family val="1"/>
      </rPr>
      <t>(1)</t>
    </r>
  </si>
  <si>
    <r>
      <t>2001 Allocated Proforma</t>
    </r>
    <r>
      <rPr>
        <b/>
        <sz val="10"/>
        <color indexed="10"/>
        <rFont val="Times New Roman"/>
        <family val="1"/>
      </rPr>
      <t xml:space="preserve"> </t>
    </r>
    <r>
      <rPr>
        <b/>
        <vertAlign val="superscript"/>
        <sz val="10"/>
        <color indexed="10"/>
        <rFont val="Times New Roman"/>
        <family val="1"/>
      </rPr>
      <t>(2)</t>
    </r>
  </si>
  <si>
    <r>
      <t xml:space="preserve">(1)  </t>
    </r>
    <r>
      <rPr>
        <sz val="8"/>
        <rFont val="Times New Roman"/>
        <family val="1"/>
      </rPr>
      <t>Included in headcount are contractors and Global Data / Risk Mgmt DPR groups.</t>
    </r>
  </si>
  <si>
    <r>
      <t xml:space="preserve">(2) </t>
    </r>
    <r>
      <rPr>
        <sz val="8"/>
        <color indexed="10"/>
        <rFont val="Times New Roman"/>
        <family val="1"/>
      </rPr>
      <t xml:space="preserve"> </t>
    </r>
    <r>
      <rPr>
        <sz val="8"/>
        <rFont val="Times New Roman"/>
        <family val="1"/>
      </rPr>
      <t>2001 Pro Forma consists of Actual expenses through June 30, 2001 plus plan for July through December.  Excluding HPL Related costs.</t>
    </r>
  </si>
  <si>
    <r>
      <t>(3)</t>
    </r>
    <r>
      <rPr>
        <sz val="8"/>
        <rFont val="Times New Roman"/>
        <family val="1"/>
      </rPr>
      <t xml:space="preserve">  Includes Southern Cone for comparison purposes.  It was not originally included in Energy Ops 2001 Plan.</t>
    </r>
  </si>
  <si>
    <t>2002 Plan</t>
  </si>
  <si>
    <t>Logistics</t>
  </si>
  <si>
    <t>Risk Management</t>
  </si>
  <si>
    <t>Total</t>
  </si>
  <si>
    <t>Settlements</t>
  </si>
  <si>
    <t>Management</t>
  </si>
  <si>
    <t>ENRON NETWORKS - ENERGY OPERATIONS</t>
  </si>
  <si>
    <t>Transaction Structuring</t>
  </si>
  <si>
    <t>Technology</t>
  </si>
  <si>
    <t>Trade Accounting</t>
  </si>
  <si>
    <t>2002 PLAN vs 2001 FORECAST HEADCOUNT</t>
  </si>
  <si>
    <t>Function</t>
  </si>
  <si>
    <t>2001 Forecast</t>
  </si>
  <si>
    <t>Deal Capture / Documentation</t>
  </si>
  <si>
    <t>Volume Management</t>
  </si>
  <si>
    <t>Special Projects</t>
  </si>
  <si>
    <t>Media Trafficing</t>
  </si>
  <si>
    <t>Subtotal Direct Headcount</t>
  </si>
  <si>
    <t>Global</t>
  </si>
  <si>
    <t>Global Counterparty/OPD/Rates</t>
  </si>
  <si>
    <t>Global Contracts/Records Mgmt</t>
  </si>
  <si>
    <t>DPR/Risk Policy/Global Reporting</t>
  </si>
  <si>
    <t>Total Headcount</t>
  </si>
  <si>
    <t>(1)  Does not include contractors - 8 in 2002.</t>
  </si>
  <si>
    <r>
      <t>EES</t>
    </r>
    <r>
      <rPr>
        <b/>
        <sz val="10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</si>
</sst>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0_)"/>
    <numFmt numFmtId="168" formatCode="&quot;$&quot;\ \ \ #,##0.00_);\(&quot;$&quot;\ \ \ #,##0.00\);&quot;$&quot;\ \ \ \ \ \ \ \ \ \ \-"/>
    <numFmt numFmtId="169" formatCode="#,##0.0000_);\(#,##0.0000\);_ \-\ \ "/>
    <numFmt numFmtId="170" formatCode="#,##0.00__\);\(#,##0.00\);__\ \ \-"/>
    <numFmt numFmtId="171" formatCode="#,###_)"/>
    <numFmt numFmtId="182" formatCode="_(* #,##0.0_);_(* \(#,##0.0\);_(* &quot;-&quot;_);_(@_)"/>
    <numFmt numFmtId="213" formatCode="&quot;$&quot;#,##0.0_);[Red]\(&quot;$&quot;#,##0.0\)"/>
    <numFmt numFmtId="214" formatCode="0_);[Red]\(0\)"/>
    <numFmt numFmtId="215" formatCode="_(&quot;$&quot;* #,##0.0_);_(&quot;$&quot;* \(#,##0.0\);_(&quot;$&quot;* &quot;-&quot;?_);_(@_)"/>
  </numFmts>
  <fonts count="29">
    <font>
      <sz val="10"/>
      <name val="Times New Roman"/>
    </font>
    <font>
      <sz val="10"/>
      <name val="Arial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0"/>
      <name val="Times New Roman"/>
      <family val="1"/>
    </font>
    <font>
      <b/>
      <vertAlign val="superscript"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10"/>
      <name val="Times New Roman"/>
      <family val="1"/>
    </font>
    <font>
      <b/>
      <sz val="7"/>
      <color indexed="10"/>
      <name val="Times New Roman"/>
      <family val="1"/>
    </font>
    <font>
      <sz val="8"/>
      <name val="Times New Roman"/>
      <family val="1"/>
    </font>
    <font>
      <sz val="8"/>
      <color indexed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8" fontId="1" fillId="2" borderId="1">
      <alignment horizontal="center" vertical="center"/>
    </xf>
    <xf numFmtId="170" fontId="1" fillId="0" borderId="0" applyFill="0" applyBorder="0" applyAlignment="0"/>
    <xf numFmtId="43" fontId="2" fillId="0" borderId="0" applyFont="0" applyFill="0" applyBorder="0" applyAlignment="0" applyProtection="0"/>
    <xf numFmtId="6" fontId="3" fillId="0" borderId="0">
      <protection locked="0"/>
    </xf>
    <xf numFmtId="169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1" fontId="1" fillId="0" borderId="0">
      <protection locked="0"/>
    </xf>
    <xf numFmtId="171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7" fontId="9" fillId="0" borderId="0"/>
    <xf numFmtId="0" fontId="1" fillId="0" borderId="0"/>
    <xf numFmtId="10" fontId="1" fillId="0" borderId="0" applyFont="0" applyFill="0" applyBorder="0" applyAlignment="0" applyProtection="0"/>
    <xf numFmtId="171" fontId="1" fillId="0" borderId="6">
      <protection locked="0"/>
    </xf>
    <xf numFmtId="37" fontId="4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56">
    <xf numFmtId="0" fontId="0" fillId="0" borderId="0" xfId="0"/>
    <xf numFmtId="0" fontId="13" fillId="0" borderId="0" xfId="0" applyFont="1" applyFill="1" applyAlignme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14" fillId="0" borderId="7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 applyBorder="1"/>
    <xf numFmtId="165" fontId="19" fillId="0" borderId="0" xfId="3" applyNumberFormat="1" applyFont="1"/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13" fontId="0" fillId="0" borderId="0" xfId="0" applyNumberFormat="1"/>
    <xf numFmtId="214" fontId="20" fillId="0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14" fillId="0" borderId="0" xfId="0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14" fillId="0" borderId="0" xfId="0" applyFont="1" applyFill="1"/>
    <xf numFmtId="0" fontId="14" fillId="0" borderId="0" xfId="0" applyFont="1" applyAlignment="1">
      <alignment horizontal="right"/>
    </xf>
    <xf numFmtId="1" fontId="14" fillId="0" borderId="6" xfId="0" applyNumberFormat="1" applyFont="1" applyBorder="1" applyAlignment="1">
      <alignment horizontal="center"/>
    </xf>
    <xf numFmtId="164" fontId="0" fillId="0" borderId="6" xfId="0" applyNumberFormat="1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213" fontId="0" fillId="0" borderId="6" xfId="0" applyNumberFormat="1" applyBorder="1"/>
    <xf numFmtId="1" fontId="14" fillId="0" borderId="0" xfId="0" applyNumberFormat="1" applyFont="1" applyBorder="1" applyAlignment="1">
      <alignment horizontal="center"/>
    </xf>
    <xf numFmtId="182" fontId="0" fillId="0" borderId="0" xfId="0" applyNumberFormat="1" applyBorder="1"/>
    <xf numFmtId="182" fontId="14" fillId="0" borderId="0" xfId="0" applyNumberFormat="1" applyFont="1" applyAlignment="1">
      <alignment horizontal="right"/>
    </xf>
    <xf numFmtId="182" fontId="0" fillId="0" borderId="0" xfId="0" applyNumberFormat="1"/>
    <xf numFmtId="213" fontId="0" fillId="0" borderId="0" xfId="0" applyNumberFormat="1" applyBorder="1"/>
    <xf numFmtId="215" fontId="14" fillId="0" borderId="6" xfId="0" applyNumberFormat="1" applyFont="1" applyBorder="1" applyAlignment="1">
      <alignment horizontal="center"/>
    </xf>
    <xf numFmtId="0" fontId="0" fillId="0" borderId="0" xfId="0" applyBorder="1"/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left" indent="4"/>
    </xf>
    <xf numFmtId="0" fontId="25" fillId="0" borderId="0" xfId="16" applyFont="1"/>
    <xf numFmtId="0" fontId="1" fillId="0" borderId="0" xfId="16"/>
    <xf numFmtId="0" fontId="1" fillId="2" borderId="9" xfId="16" applyFill="1" applyBorder="1"/>
    <xf numFmtId="0" fontId="25" fillId="0" borderId="7" xfId="16" applyFont="1" applyBorder="1" applyAlignment="1">
      <alignment horizontal="center"/>
    </xf>
    <xf numFmtId="0" fontId="25" fillId="2" borderId="11" xfId="16" applyFont="1" applyFill="1" applyBorder="1" applyAlignment="1">
      <alignment horizontal="center" wrapText="1"/>
    </xf>
    <xf numFmtId="0" fontId="25" fillId="2" borderId="7" xfId="16" applyFont="1" applyFill="1" applyBorder="1" applyAlignment="1">
      <alignment horizontal="center" wrapText="1"/>
    </xf>
    <xf numFmtId="0" fontId="1" fillId="2" borderId="7" xfId="16" applyFill="1" applyBorder="1"/>
    <xf numFmtId="0" fontId="25" fillId="2" borderId="12" xfId="16" applyFont="1" applyFill="1" applyBorder="1" applyAlignment="1">
      <alignment horizontal="center" wrapText="1"/>
    </xf>
    <xf numFmtId="164" fontId="1" fillId="0" borderId="0" xfId="3" applyNumberFormat="1" applyFont="1"/>
    <xf numFmtId="0" fontId="1" fillId="0" borderId="0" xfId="16" applyAlignment="1">
      <alignment horizontal="left" indent="1"/>
    </xf>
    <xf numFmtId="164" fontId="1" fillId="0" borderId="3" xfId="3" applyNumberFormat="1" applyFont="1" applyBorder="1"/>
    <xf numFmtId="165" fontId="1" fillId="0" borderId="0" xfId="3" applyNumberFormat="1" applyFont="1"/>
    <xf numFmtId="0" fontId="25" fillId="0" borderId="0" xfId="16" applyFont="1" applyAlignment="1">
      <alignment horizontal="left"/>
    </xf>
    <xf numFmtId="164" fontId="25" fillId="2" borderId="6" xfId="3" applyNumberFormat="1" applyFont="1" applyFill="1" applyBorder="1"/>
    <xf numFmtId="0" fontId="28" fillId="0" borderId="0" xfId="16" applyFont="1"/>
    <xf numFmtId="0" fontId="26" fillId="2" borderId="9" xfId="16" applyFont="1" applyFill="1" applyBorder="1" applyAlignment="1">
      <alignment horizontal="center"/>
    </xf>
    <xf numFmtId="0" fontId="26" fillId="2" borderId="10" xfId="16" applyFont="1" applyFill="1" applyBorder="1" applyAlignment="1">
      <alignment horizontal="center"/>
    </xf>
    <xf numFmtId="0" fontId="26" fillId="2" borderId="8" xfId="16" applyFont="1" applyFill="1" applyBorder="1" applyAlignment="1">
      <alignment horizontal="center"/>
    </xf>
  </cellXfs>
  <cellStyles count="23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eadcount by BU 11-02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2001 Proforma</a:t>
            </a:r>
          </a:p>
        </c:rich>
      </c:tx>
      <c:layout>
        <c:manualLayout>
          <c:xMode val="edge"/>
          <c:yMode val="edge"/>
          <c:x val="0.4118680666926856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453250186194"/>
          <c:y val="0.22000092076278221"/>
          <c:w val="0.37870919691657962"/>
          <c:h val="0.6200025948769316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54-4BD1-B492-17A06571F51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54-4BD1-B492-17A06571F51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B54-4BD1-B492-17A06571F51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B54-4BD1-B492-17A06571F51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B54-4BD1-B492-17A06571F51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B54-4BD1-B492-17A06571F5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Summary!$T$8:$T$13</c:f>
              <c:strCache>
                <c:ptCount val="6"/>
                <c:pt idx="0">
                  <c:v>EA</c:v>
                </c:pt>
                <c:pt idx="1">
                  <c:v>EGM</c:v>
                </c:pt>
                <c:pt idx="2">
                  <c:v>EIM</c:v>
                </c:pt>
                <c:pt idx="3">
                  <c:v>EES</c:v>
                </c:pt>
                <c:pt idx="4">
                  <c:v>EBS</c:v>
                </c:pt>
                <c:pt idx="5">
                  <c:v>Other</c:v>
                </c:pt>
              </c:strCache>
            </c:strRef>
          </c:cat>
          <c:val>
            <c:numRef>
              <c:f>Summary!$L$8:$L$13</c:f>
              <c:numCache>
                <c:formatCode>_(* #,##0.0_);_(* \(#,##0.0\);_(* "-"??_);_(@_)</c:formatCode>
                <c:ptCount val="6"/>
                <c:pt idx="0" formatCode="&quot;$&quot;#,##0.0_);[Red]\(&quot;$&quot;#,##0.0\)">
                  <c:v>50.900027000000001</c:v>
                </c:pt>
                <c:pt idx="1">
                  <c:v>15.842860000000002</c:v>
                </c:pt>
                <c:pt idx="2">
                  <c:v>12.087742</c:v>
                </c:pt>
                <c:pt idx="3">
                  <c:v>48.26353080800417</c:v>
                </c:pt>
                <c:pt idx="4">
                  <c:v>6.5626830000000007</c:v>
                </c:pt>
                <c:pt idx="5">
                  <c:v>1.1353070000000001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54-4BD1-B492-17A06571F5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246215174750449"/>
          <c:y val="0.32285849410642065"/>
          <c:w val="9.4240998311038243E-2"/>
          <c:h val="0.380001590408442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2002 Plan</a:t>
            </a:r>
          </a:p>
        </c:rich>
      </c:tx>
      <c:layout>
        <c:manualLayout>
          <c:xMode val="edge"/>
          <c:yMode val="edge"/>
          <c:x val="0.44117675011029633"/>
          <c:y val="3.9772741065542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29426672549136"/>
          <c:y val="0.21306825570826293"/>
          <c:w val="0.37889297362413688"/>
          <c:h val="0.62215930666812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E14-403E-B00B-E462B536AAF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14-403E-B00B-E462B536AAF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E14-403E-B00B-E462B536AAF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14-403E-B00B-E462B536AAF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E14-403E-B00B-E462B536AAF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E14-403E-B00B-E462B536AA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Summary!$T$8:$T$13</c:f>
              <c:strCache>
                <c:ptCount val="6"/>
                <c:pt idx="0">
                  <c:v>EA</c:v>
                </c:pt>
                <c:pt idx="1">
                  <c:v>EGM</c:v>
                </c:pt>
                <c:pt idx="2">
                  <c:v>EIM</c:v>
                </c:pt>
                <c:pt idx="3">
                  <c:v>EES</c:v>
                </c:pt>
                <c:pt idx="4">
                  <c:v>EBS</c:v>
                </c:pt>
                <c:pt idx="5">
                  <c:v>Other</c:v>
                </c:pt>
              </c:strCache>
            </c:strRef>
          </c:cat>
          <c:val>
            <c:numRef>
              <c:f>Summary!$N$8:$N$13</c:f>
              <c:numCache>
                <c:formatCode>_(* #,##0.0_);_(* \(#,##0.0\);_(* "-"??_);_(@_)</c:formatCode>
                <c:ptCount val="6"/>
                <c:pt idx="0" formatCode="&quot;$&quot;#,##0.0_);[Red]\(&quot;$&quot;#,##0.0\)">
                  <c:v>44.566473999999999</c:v>
                </c:pt>
                <c:pt idx="1">
                  <c:v>20.080812000000002</c:v>
                </c:pt>
                <c:pt idx="2">
                  <c:v>12.648788</c:v>
                </c:pt>
                <c:pt idx="3">
                  <c:v>41.300519089479174</c:v>
                </c:pt>
                <c:pt idx="4">
                  <c:v>5.7280309999999997</c:v>
                </c:pt>
                <c:pt idx="5">
                  <c:v>2.3883429999999999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14-403E-B00B-E462B536AA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391056295357968"/>
          <c:y val="0.32670465875266985"/>
          <c:w val="9.3425664729239216E-2"/>
          <c:h val="0.37784104012265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1005840</xdr:colOff>
      <xdr:row>23</xdr:row>
      <xdr:rowOff>22860</xdr:rowOff>
    </xdr:from>
    <xdr:to>
      <xdr:col>5</xdr:col>
      <xdr:colOff>708660</xdr:colOff>
      <xdr:row>39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23</xdr:row>
      <xdr:rowOff>22860</xdr:rowOff>
    </xdr:from>
    <xdr:to>
      <xdr:col>15</xdr:col>
      <xdr:colOff>434340</xdr:colOff>
      <xdr:row>39</xdr:row>
      <xdr:rowOff>22860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</xdr:colOff>
      <xdr:row>1</xdr:row>
      <xdr:rowOff>68580</xdr:rowOff>
    </xdr:to>
    <xdr:pic>
      <xdr:nvPicPr>
        <xdr:cNvPr id="1027" name="Picture 3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9576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dgets/Brians/2002/Budget/Reports/Headcount%20by%20BU%2011-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IM%20EGM%20EBS%20by%20LOB%20&amp;%20Function%2011-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BU%20OTC%20Presentations/EES/Butler%20Updates/EES%20Final%20Packet%20to%20Sally%2010-3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%20by%20Function-Summarized%201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Budget%20Presentation%20for%20Sally-5%2010-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Unit%20Allocations%20-%2011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%20by%20Fun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IM%20EGM%20EBS%20by%20LOB%20&amp;%20Function%2010-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Unit%20Allocation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dgets/Brians/2002/Budget/Reports/EES%20files%20from%20Shelly%2010-10-01/2001%20EES-EWS%204Q%20Forecast%2010-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5">
          <cell r="D35">
            <v>349</v>
          </cell>
          <cell r="G35">
            <v>151</v>
          </cell>
          <cell r="J35">
            <v>116</v>
          </cell>
          <cell r="M35">
            <v>295</v>
          </cell>
          <cell r="P35">
            <v>46</v>
          </cell>
          <cell r="S35">
            <v>20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By LOB"/>
      <sheetName val="EIM by Function"/>
      <sheetName val="EIM by Function (thousands)"/>
      <sheetName val="EGM By LOB"/>
      <sheetName val="EGM by Function"/>
      <sheetName val="EGM by Function (thousands)"/>
      <sheetName val="EBS By LOB"/>
      <sheetName val="EBS by Function"/>
      <sheetName val="EBS by Function (thousands)"/>
    </sheetNames>
    <sheetDataSet>
      <sheetData sheetId="0" refreshError="1"/>
      <sheetData sheetId="1">
        <row r="66">
          <cell r="D66">
            <v>12648788</v>
          </cell>
        </row>
      </sheetData>
      <sheetData sheetId="2" refreshError="1"/>
      <sheetData sheetId="3" refreshError="1"/>
      <sheetData sheetId="4">
        <row r="50">
          <cell r="D50">
            <v>20080812</v>
          </cell>
        </row>
      </sheetData>
      <sheetData sheetId="5" refreshError="1"/>
      <sheetData sheetId="6" refreshError="1"/>
      <sheetData sheetId="7">
        <row r="25">
          <cell r="D25">
            <v>5728031</v>
          </cell>
        </row>
      </sheetData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ES Look"/>
      <sheetName val="EES Comparison Report"/>
      <sheetName val="Summary"/>
      <sheetName val="Operations Summary"/>
      <sheetName val="IT Summary"/>
      <sheetName val="Infrastructure Summary"/>
    </sheetNames>
    <sheetDataSet>
      <sheetData sheetId="0" refreshError="1"/>
      <sheetData sheetId="1" refreshError="1"/>
      <sheetData sheetId="2" refreshError="1"/>
      <sheetData sheetId="3">
        <row r="32">
          <cell r="H32">
            <v>41300.519089479174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 with HPL"/>
      <sheetName val="EOps without HPL"/>
    </sheetNames>
    <sheetDataSet>
      <sheetData sheetId="0">
        <row r="34">
          <cell r="D34">
            <v>44566.474000000002</v>
          </cell>
        </row>
        <row r="40">
          <cell r="C40">
            <v>350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HC - RR Proforma"/>
      <sheetName val="Summary with HC - 01 Plan"/>
      <sheetName val="Summary with HC - P&amp;A Proforma"/>
      <sheetName val="Americas with HC &amp;  Proforma"/>
      <sheetName val="Global with HC &amp;  Proforma"/>
      <sheetName val="EGM with HC &amp; Proforma"/>
      <sheetName val="EIM with HC &amp; Proforma"/>
      <sheetName val="EES with HC &amp; Proforma"/>
      <sheetName val="EBS with HC &amp; Proforma"/>
      <sheetName val="New Deals vs Headcount"/>
      <sheetName val="Active Deals vs Headcount"/>
      <sheetName val="Run Rate Comparison"/>
      <sheetName val="Allocation Detail"/>
      <sheetName val="Summary Page - EIM &amp; EGM"/>
      <sheetName val="Sheet3"/>
      <sheetName val="Notes"/>
      <sheetName val="Sheet1"/>
      <sheetName val="2001 Plan Recon"/>
      <sheetName val="2001 Summary Volume Stats"/>
      <sheetName val="2001 YTD HC"/>
      <sheetName val="Summary Page with IT"/>
      <sheetName val="2000 vs 2001 Comparison ENA"/>
      <sheetName val="2001 vs 2002 Comparison"/>
      <sheetName val="2002 Deprec Recon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>
        <row r="36">
          <cell r="B36">
            <v>3</v>
          </cell>
        </row>
        <row r="40">
          <cell r="B40">
            <v>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 Summary Page"/>
      <sheetName val="EGM Summary Page"/>
      <sheetName val="EIM Summary Page"/>
      <sheetName val="EES Summary Page"/>
      <sheetName val="EBS Summary Page"/>
      <sheetName val="Other Summary Page"/>
      <sheetName val="Europe Summary Page"/>
      <sheetName val="India Summary Page"/>
      <sheetName val="South America Summary Page"/>
      <sheetName val="EGA Summary Page"/>
      <sheetName val="Networks Summary Page"/>
      <sheetName val="EGF Summary Page"/>
      <sheetName val="EPI Summary Page"/>
      <sheetName val="Corp Summary Page"/>
    </sheetNames>
    <sheetDataSet>
      <sheetData sheetId="0" refreshError="1"/>
      <sheetData sheetId="1"/>
      <sheetData sheetId="2"/>
      <sheetData sheetId="3"/>
      <sheetData sheetId="4"/>
      <sheetData sheetId="5">
        <row r="21">
          <cell r="F21">
            <v>2388343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 with HPL"/>
      <sheetName val="EOps without HPL"/>
    </sheetNames>
    <sheetDataSet>
      <sheetData sheetId="0">
        <row r="34">
          <cell r="B34">
            <v>41699435</v>
          </cell>
          <cell r="C34">
            <v>39825027</v>
          </cell>
        </row>
        <row r="40">
          <cell r="B40">
            <v>368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By LOB"/>
      <sheetName val="EIM by Function"/>
      <sheetName val="EIM by Function (thousands)"/>
      <sheetName val="EGM By LOB"/>
      <sheetName val="EGM by Function"/>
      <sheetName val="EGM by Function (thousands)"/>
      <sheetName val="EBS By LOB"/>
      <sheetName val="EBS by Function"/>
      <sheetName val="EBS by Function (thousands)"/>
    </sheetNames>
    <sheetDataSet>
      <sheetData sheetId="0"/>
      <sheetData sheetId="1">
        <row r="66">
          <cell r="B66">
            <v>10527462.1</v>
          </cell>
          <cell r="C66">
            <v>11718742</v>
          </cell>
        </row>
        <row r="69">
          <cell r="B69">
            <v>69</v>
          </cell>
        </row>
      </sheetData>
      <sheetData sheetId="2"/>
      <sheetData sheetId="3"/>
      <sheetData sheetId="4">
        <row r="50">
          <cell r="B50">
            <v>17527321</v>
          </cell>
          <cell r="C50">
            <v>15059860</v>
          </cell>
        </row>
        <row r="57">
          <cell r="B57">
            <v>178</v>
          </cell>
          <cell r="C57">
            <v>186</v>
          </cell>
        </row>
      </sheetData>
      <sheetData sheetId="5"/>
      <sheetData sheetId="6"/>
      <sheetData sheetId="7">
        <row r="25">
          <cell r="B25">
            <v>5758119</v>
          </cell>
          <cell r="C25">
            <v>6284683</v>
          </cell>
        </row>
        <row r="27">
          <cell r="B27">
            <v>42</v>
          </cell>
        </row>
      </sheetData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Summary Page"/>
      <sheetName val="EIM Summary Page"/>
      <sheetName val="EES Summary Page"/>
      <sheetName val="EBS Summary Page"/>
      <sheetName val="Other Summary Page"/>
      <sheetName val="Europe Summary Page"/>
      <sheetName val="India Summary Page"/>
      <sheetName val="South America Summary Page"/>
      <sheetName val="EGA Summary Page"/>
      <sheetName val="Networks Summary Page"/>
      <sheetName val="EGF Summary Page"/>
      <sheetName val="EPI Summary Page"/>
      <sheetName val="Corp Summary Pa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0">
          <cell r="B20">
            <v>1362367</v>
          </cell>
          <cell r="D20">
            <v>1135307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ssumptions"/>
      <sheetName val="Input"/>
      <sheetName val="HC Summary"/>
      <sheetName val="CC Summary"/>
      <sheetName val="CC 140265 - HC"/>
      <sheetName val="CC 140265"/>
      <sheetName val="CC 140265 - Upload"/>
      <sheetName val="CC 140263 - HC"/>
      <sheetName val="CC 140263"/>
      <sheetName val="CC 140263 - Upload"/>
      <sheetName val="CC 140321 - HC"/>
      <sheetName val="CC 140321"/>
      <sheetName val="CC 140321 - Upload"/>
      <sheetName val="140588- HC"/>
      <sheetName val="CC 140588"/>
      <sheetName val="CC 140264 - HC"/>
      <sheetName val="CC 140264"/>
      <sheetName val="CC 140264 - Upload"/>
      <sheetName val="CC 140266 - HC"/>
      <sheetName val="CC 140266"/>
      <sheetName val="CC 140266 - Upload"/>
      <sheetName val="CC 140267 - HC"/>
      <sheetName val="CC 140267"/>
      <sheetName val="CC 140267 - Upload"/>
      <sheetName val="CC 140283 - HC"/>
      <sheetName val="CC 140283"/>
      <sheetName val="CC 140283 - Upload"/>
      <sheetName val="CC 140340 - HC"/>
      <sheetName val="CC 140340"/>
      <sheetName val="CC 140341 - HC"/>
      <sheetName val="CC 140341"/>
      <sheetName val="CC 140342 - HC"/>
      <sheetName val="CC 140342"/>
      <sheetName val="CC 140343 - HC"/>
      <sheetName val="CC 140343"/>
      <sheetName val="CC 140678 - HC"/>
      <sheetName val="CC 140678"/>
      <sheetName val="Pwr Settle - HC"/>
      <sheetName val="CC Pwr Settle"/>
      <sheetName val="CC 140501 - G&amp;A Assumption"/>
      <sheetName val="CC140501 - HC"/>
      <sheetName val="CC 140501 - Detail Expenses"/>
      <sheetName val="Temp- HC"/>
      <sheetName val="CC Temp"/>
    </sheetNames>
    <sheetDataSet>
      <sheetData sheetId="0" refreshError="1">
        <row r="42">
          <cell r="N42">
            <v>30163530.808004167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T45"/>
  <sheetViews>
    <sheetView tabSelected="1" workbookViewId="0">
      <selection activeCell="B6" sqref="B6"/>
    </sheetView>
  </sheetViews>
  <sheetFormatPr defaultRowHeight="13.2"/>
  <cols>
    <col min="1" max="1" width="5.77734375" customWidth="1"/>
    <col min="2" max="2" width="46.44140625" customWidth="1"/>
    <col min="3" max="3" width="4.33203125" bestFit="1" customWidth="1"/>
    <col min="4" max="4" width="15.109375" customWidth="1"/>
    <col min="5" max="5" width="2.109375" customWidth="1"/>
    <col min="6" max="6" width="15.109375" customWidth="1"/>
    <col min="7" max="7" width="2.6640625" customWidth="1"/>
    <col min="8" max="8" width="14" customWidth="1"/>
    <col min="9" max="9" width="2.6640625" customWidth="1"/>
    <col min="10" max="10" width="13.109375" customWidth="1"/>
    <col min="11" max="11" width="3.33203125" customWidth="1"/>
    <col min="12" max="12" width="13.44140625" bestFit="1" customWidth="1"/>
    <col min="13" max="13" width="3.77734375" bestFit="1" customWidth="1"/>
    <col min="14" max="14" width="13.44140625" bestFit="1" customWidth="1"/>
    <col min="15" max="15" width="2.109375" customWidth="1"/>
    <col min="16" max="16" width="14.44140625" customWidth="1"/>
    <col min="17" max="17" width="6" customWidth="1"/>
  </cols>
  <sheetData>
    <row r="2" spans="1:20" ht="27.6">
      <c r="A2" s="1" t="s">
        <v>23</v>
      </c>
    </row>
    <row r="3" spans="1:20">
      <c r="A3" s="2" t="s">
        <v>0</v>
      </c>
    </row>
    <row r="4" spans="1:20">
      <c r="A4" s="2" t="s">
        <v>1</v>
      </c>
      <c r="B4" s="3"/>
      <c r="C4" s="3"/>
      <c r="D4" s="4"/>
      <c r="E4" s="3"/>
      <c r="F4" s="3"/>
      <c r="G4" s="3"/>
      <c r="H4" s="3"/>
      <c r="I4" s="3"/>
      <c r="J4" s="3"/>
      <c r="K4" s="3"/>
      <c r="M4" s="3"/>
    </row>
    <row r="5" spans="1:20">
      <c r="A5" s="2" t="s">
        <v>2</v>
      </c>
      <c r="L5" s="5"/>
    </row>
    <row r="6" spans="1:20" ht="55.2">
      <c r="D6" s="6" t="s">
        <v>24</v>
      </c>
      <c r="E6" s="6"/>
      <c r="F6" s="6" t="s">
        <v>25</v>
      </c>
      <c r="G6" s="7"/>
      <c r="H6" s="6" t="s">
        <v>26</v>
      </c>
      <c r="J6" s="6" t="s">
        <v>3</v>
      </c>
      <c r="L6" s="6" t="s">
        <v>27</v>
      </c>
      <c r="M6" s="7"/>
      <c r="N6" s="6" t="s">
        <v>4</v>
      </c>
      <c r="O6" s="7"/>
      <c r="P6" s="6" t="s">
        <v>5</v>
      </c>
    </row>
    <row r="7" spans="1:20">
      <c r="L7" s="8"/>
      <c r="M7" s="9"/>
      <c r="N7" s="8"/>
      <c r="O7" s="9"/>
      <c r="P7" s="8"/>
    </row>
    <row r="8" spans="1:20">
      <c r="B8" s="2" t="s">
        <v>6</v>
      </c>
      <c r="C8" s="10"/>
      <c r="D8" s="11">
        <f>+'[6]EOps with HPL'!$B$40</f>
        <v>368</v>
      </c>
      <c r="E8" s="12"/>
      <c r="F8" s="11">
        <f>+'[13]EOps with HPL'!$C$40</f>
        <v>350</v>
      </c>
      <c r="G8" s="12"/>
      <c r="H8" s="11">
        <f>+[10]Sheet1!$D$35</f>
        <v>349</v>
      </c>
      <c r="I8" s="2"/>
      <c r="J8" s="13">
        <f>+'[6]EOps with HPL'!$B$34/1000000</f>
        <v>41.699435000000001</v>
      </c>
      <c r="K8" s="14">
        <v>-3</v>
      </c>
      <c r="L8" s="13">
        <f>+'[6]EOps with HPL'!$C$34/1000000+8.515+2.56</f>
        <v>50.900027000000001</v>
      </c>
      <c r="N8" s="13">
        <f>+'[13]EOps with HPL'!$D$34/1000</f>
        <v>44.566473999999999</v>
      </c>
      <c r="O8" s="13"/>
      <c r="P8" s="13">
        <f t="shared" ref="P8:P13" si="0">+N8-L8</f>
        <v>-6.333553000000002</v>
      </c>
      <c r="T8" t="s">
        <v>7</v>
      </c>
    </row>
    <row r="9" spans="1:20" ht="12.75" customHeight="1">
      <c r="B9" s="2" t="s">
        <v>8</v>
      </c>
      <c r="C9" s="10"/>
      <c r="D9" s="11">
        <f>+'[7]EGM by Function'!$B$57-52+13</f>
        <v>139</v>
      </c>
      <c r="E9" s="12"/>
      <c r="F9" s="11">
        <f>+'[7]EGM by Function'!$C$57-62+10</f>
        <v>134</v>
      </c>
      <c r="G9" s="12"/>
      <c r="H9" s="11">
        <f>+[10]Sheet1!$G$35</f>
        <v>151</v>
      </c>
      <c r="I9" s="2"/>
      <c r="J9" s="15">
        <f>+'[7]EGM by Function'!$B$50/1000000</f>
        <v>17.527321000000001</v>
      </c>
      <c r="K9" s="2"/>
      <c r="L9" s="15">
        <f>+'[7]EGM by Function'!$C$50/1000000+0.101+0.682</f>
        <v>15.842860000000002</v>
      </c>
      <c r="M9" s="16"/>
      <c r="N9" s="15">
        <f>+'[11]EGM by Function'!$D$50/1000000</f>
        <v>20.080812000000002</v>
      </c>
      <c r="O9" s="15"/>
      <c r="P9" s="15">
        <f t="shared" si="0"/>
        <v>4.2379519999999999</v>
      </c>
      <c r="T9" t="s">
        <v>9</v>
      </c>
    </row>
    <row r="10" spans="1:20">
      <c r="B10" s="2" t="s">
        <v>10</v>
      </c>
      <c r="C10" s="10"/>
      <c r="D10" s="11">
        <f>+'[7]EIM by Function'!$B$69+2</f>
        <v>71</v>
      </c>
      <c r="E10" s="12"/>
      <c r="F10" s="11">
        <v>56.5</v>
      </c>
      <c r="G10" s="12"/>
      <c r="H10" s="11">
        <f>+[10]Sheet1!$J$35</f>
        <v>116</v>
      </c>
      <c r="I10" s="2"/>
      <c r="J10" s="15">
        <f>+'[7]EIM by Function'!$B$66/1000000</f>
        <v>10.527462099999999</v>
      </c>
      <c r="K10" s="2"/>
      <c r="L10" s="15">
        <f>+'[7]EIM by Function'!$C$66/1000000+0.031+0.338</f>
        <v>12.087742</v>
      </c>
      <c r="M10" s="16"/>
      <c r="N10" s="15">
        <f>+'[11]EIM by Function'!$D$66/1000000</f>
        <v>12.648788</v>
      </c>
      <c r="O10" s="15"/>
      <c r="P10" s="15">
        <f t="shared" si="0"/>
        <v>0.56104599999999927</v>
      </c>
      <c r="T10" t="s">
        <v>11</v>
      </c>
    </row>
    <row r="11" spans="1:20">
      <c r="B11" s="2" t="s">
        <v>12</v>
      </c>
      <c r="C11" s="10"/>
      <c r="D11" s="17">
        <f>+'[4]Summary with HC - P&amp;A Proforma'!B36</f>
        <v>3</v>
      </c>
      <c r="E11" s="17"/>
      <c r="F11" s="17">
        <v>288</v>
      </c>
      <c r="G11" s="17"/>
      <c r="H11" s="18">
        <f>+[10]Sheet1!$M$35</f>
        <v>295</v>
      </c>
      <c r="I11" s="2"/>
      <c r="J11" s="19">
        <v>19.984999999999999</v>
      </c>
      <c r="K11" s="20"/>
      <c r="L11" s="19">
        <f>+[9]Forecast!$N$42/1000000+18.1</f>
        <v>48.26353080800417</v>
      </c>
      <c r="M11" s="14"/>
      <c r="N11" s="19">
        <f>+'[12]Operations Summary'!$H$32/1000</f>
        <v>41.300519089479174</v>
      </c>
      <c r="O11" s="19"/>
      <c r="P11" s="19">
        <f t="shared" si="0"/>
        <v>-6.9630117185249958</v>
      </c>
      <c r="T11" t="s">
        <v>13</v>
      </c>
    </row>
    <row r="12" spans="1:20">
      <c r="B12" s="2" t="s">
        <v>14</v>
      </c>
      <c r="C12" s="10"/>
      <c r="D12" s="11">
        <f>+'[7]EBS by Function'!$B$27</f>
        <v>42</v>
      </c>
      <c r="E12" s="12"/>
      <c r="F12" s="11">
        <v>41.5</v>
      </c>
      <c r="G12" s="12"/>
      <c r="H12" s="11">
        <f>+[10]Sheet1!$P$35</f>
        <v>46</v>
      </c>
      <c r="I12" s="2"/>
      <c r="J12" s="15">
        <f>+'[7]EBS by Function'!$B$25/1000000</f>
        <v>5.7581189999999998</v>
      </c>
      <c r="K12" s="2"/>
      <c r="L12" s="15">
        <f>+'[7]EBS by Function'!$C$25/1000000+0.264+0.014</f>
        <v>6.5626830000000007</v>
      </c>
      <c r="M12" s="16"/>
      <c r="N12" s="15">
        <f>+'[11]EBS by Function'!$D$25/1000000</f>
        <v>5.7280309999999997</v>
      </c>
      <c r="O12" s="15"/>
      <c r="P12" s="15">
        <f t="shared" si="0"/>
        <v>-0.83465200000000106</v>
      </c>
      <c r="T12" t="s">
        <v>15</v>
      </c>
    </row>
    <row r="13" spans="1:20">
      <c r="B13" s="2" t="s">
        <v>16</v>
      </c>
      <c r="C13" s="10"/>
      <c r="D13" s="12">
        <f>+'[4]Summary with HC - P&amp;A Proforma'!B40</f>
        <v>15</v>
      </c>
      <c r="E13" s="12"/>
      <c r="F13" s="12">
        <v>10</v>
      </c>
      <c r="G13" s="12"/>
      <c r="H13" s="12">
        <f>+[10]Sheet1!$S$35</f>
        <v>20</v>
      </c>
      <c r="I13" s="2"/>
      <c r="J13" s="15">
        <f>+'[8]Other Summary Page'!$B$20/1000000</f>
        <v>1.3623670000000001</v>
      </c>
      <c r="K13" s="2"/>
      <c r="L13" s="15">
        <f>+'[8]Other Summary Page'!$D$20/1000000</f>
        <v>1.1353070000000001</v>
      </c>
      <c r="M13" s="16"/>
      <c r="N13" s="15">
        <f>+'[5]Other Summary Page'!$F$21/1000000</f>
        <v>2.3883429999999999</v>
      </c>
      <c r="O13" s="15"/>
      <c r="P13" s="15">
        <f t="shared" si="0"/>
        <v>1.2530359999999998</v>
      </c>
      <c r="T13" t="s">
        <v>17</v>
      </c>
    </row>
    <row r="14" spans="1:20" ht="6" customHeight="1">
      <c r="B14" s="2"/>
      <c r="C14" s="10"/>
      <c r="D14" s="12"/>
      <c r="E14" s="12"/>
      <c r="F14" s="12"/>
      <c r="G14" s="12"/>
      <c r="H14" s="12"/>
      <c r="I14" s="2"/>
      <c r="J14" s="15"/>
      <c r="K14" s="2"/>
      <c r="L14" s="15"/>
      <c r="M14" s="16"/>
      <c r="N14" s="13"/>
      <c r="O14" s="13"/>
      <c r="P14" s="13"/>
    </row>
    <row r="15" spans="1:20" ht="13.8" thickBot="1">
      <c r="B15" s="21" t="s">
        <v>18</v>
      </c>
      <c r="C15" s="10"/>
      <c r="D15" s="22">
        <f>SUM(D8:D14)</f>
        <v>638</v>
      </c>
      <c r="E15" s="12"/>
      <c r="F15" s="22">
        <f>SUM(F8:F14)</f>
        <v>880</v>
      </c>
      <c r="G15" s="12"/>
      <c r="H15" s="22">
        <f>SUM(H8:H14)</f>
        <v>977</v>
      </c>
      <c r="I15" s="2"/>
      <c r="J15" s="23">
        <f>SUM(J8:J14)</f>
        <v>96.859704100000002</v>
      </c>
      <c r="K15" s="2"/>
      <c r="L15" s="23">
        <f>SUM(L8:L14)</f>
        <v>134.79214980800418</v>
      </c>
      <c r="M15" s="16"/>
      <c r="N15" s="23">
        <f>SUM(N8:N14)</f>
        <v>126.71296708947918</v>
      </c>
      <c r="O15" s="13"/>
      <c r="P15" s="23">
        <f>SUM(P8:P14)</f>
        <v>-8.0791827185249989</v>
      </c>
    </row>
    <row r="16" spans="1:20" ht="13.8" thickTop="1">
      <c r="B16" s="2"/>
      <c r="C16" s="10"/>
      <c r="D16" s="12"/>
      <c r="E16" s="12"/>
      <c r="F16" s="12"/>
      <c r="G16" s="12"/>
      <c r="H16" s="12"/>
      <c r="I16" s="2"/>
      <c r="J16" s="15"/>
      <c r="K16" s="2"/>
      <c r="L16" s="15"/>
      <c r="M16" s="16"/>
      <c r="N16" s="13"/>
      <c r="O16" s="13"/>
      <c r="P16" s="13"/>
    </row>
    <row r="17" spans="2:19" hidden="1">
      <c r="B17" s="2" t="s">
        <v>19</v>
      </c>
      <c r="C17" s="10"/>
      <c r="D17" s="12"/>
      <c r="E17" s="12"/>
      <c r="F17" s="12"/>
      <c r="G17" s="12"/>
      <c r="H17" s="12"/>
      <c r="I17" s="2"/>
      <c r="J17" s="24">
        <v>0</v>
      </c>
      <c r="K17" s="2"/>
      <c r="L17" s="24">
        <v>0</v>
      </c>
      <c r="M17" s="16"/>
      <c r="N17" s="24">
        <v>12</v>
      </c>
      <c r="O17" s="13"/>
      <c r="P17" s="24">
        <f>+N17-L17</f>
        <v>12</v>
      </c>
    </row>
    <row r="18" spans="2:19" hidden="1">
      <c r="D18" s="25"/>
      <c r="E18" s="25"/>
      <c r="F18" s="25"/>
      <c r="G18" s="25"/>
      <c r="H18" s="25"/>
      <c r="L18" s="15"/>
      <c r="N18" s="13"/>
      <c r="O18" s="13"/>
      <c r="P18" s="13"/>
    </row>
    <row r="19" spans="2:19" ht="13.8" hidden="1" thickBot="1">
      <c r="B19" s="21" t="s">
        <v>20</v>
      </c>
      <c r="C19" s="21"/>
      <c r="D19" s="22">
        <f>SUM(D8:D18)</f>
        <v>1276</v>
      </c>
      <c r="E19" s="26"/>
      <c r="F19" s="22">
        <f>SUM(F8:F18)</f>
        <v>1760</v>
      </c>
      <c r="G19" s="21"/>
      <c r="H19" s="22">
        <f>SUM(H8:H18)</f>
        <v>1954</v>
      </c>
      <c r="I19" s="21"/>
      <c r="J19" s="27">
        <f>+J17+J15</f>
        <v>96.859704100000002</v>
      </c>
      <c r="K19" s="21"/>
      <c r="L19" s="27">
        <f>+L17+L15</f>
        <v>134.79214980800418</v>
      </c>
      <c r="N19" s="27">
        <f>+N17+N15</f>
        <v>138.71296708947918</v>
      </c>
      <c r="O19" s="13"/>
      <c r="P19" s="27">
        <f>+P17+P15</f>
        <v>3.9208172814750011</v>
      </c>
    </row>
    <row r="20" spans="2:19">
      <c r="B20" s="21" t="s">
        <v>21</v>
      </c>
      <c r="C20" s="21"/>
      <c r="D20" s="28"/>
      <c r="E20" s="26"/>
      <c r="F20" s="28">
        <v>62</v>
      </c>
      <c r="G20" s="21"/>
      <c r="H20" s="28">
        <v>66</v>
      </c>
      <c r="I20" s="21"/>
      <c r="J20" s="29">
        <v>4.7</v>
      </c>
      <c r="K20" s="30"/>
      <c r="L20" s="29">
        <v>5.5</v>
      </c>
      <c r="M20" s="31"/>
      <c r="N20" s="29">
        <v>6.4</v>
      </c>
      <c r="O20" s="13"/>
      <c r="P20" s="15">
        <f>+N20-L20</f>
        <v>0.90000000000000036</v>
      </c>
    </row>
    <row r="21" spans="2:19">
      <c r="B21" s="21"/>
      <c r="C21" s="21"/>
      <c r="D21" s="28"/>
      <c r="E21" s="26"/>
      <c r="F21" s="28"/>
      <c r="G21" s="21"/>
      <c r="H21" s="28"/>
      <c r="I21" s="21"/>
      <c r="J21" s="32"/>
      <c r="K21" s="21"/>
      <c r="L21" s="32"/>
      <c r="N21" s="32"/>
      <c r="O21" s="13"/>
      <c r="P21" s="32"/>
    </row>
    <row r="22" spans="2:19" ht="13.8" thickBot="1">
      <c r="B22" s="21" t="s">
        <v>20</v>
      </c>
      <c r="D22" s="22">
        <f>D20+D15</f>
        <v>638</v>
      </c>
      <c r="F22" s="22">
        <f>F20+F15</f>
        <v>942</v>
      </c>
      <c r="H22" s="22">
        <f>H20+H15</f>
        <v>1043</v>
      </c>
      <c r="J22" s="33">
        <f>J20+J15</f>
        <v>101.5597041</v>
      </c>
      <c r="L22" s="33">
        <f>L20+L15</f>
        <v>140.29214980800418</v>
      </c>
      <c r="N22" s="33">
        <f>N20+N15</f>
        <v>133.11296708947918</v>
      </c>
      <c r="P22" s="33">
        <f>P20+P15</f>
        <v>-7.1791827185249986</v>
      </c>
    </row>
    <row r="23" spans="2:19" ht="13.8" thickTop="1"/>
    <row r="24" spans="2:19">
      <c r="R24" s="34"/>
      <c r="S24" s="34"/>
    </row>
    <row r="25" spans="2:19">
      <c r="R25" s="34"/>
      <c r="S25" s="34"/>
    </row>
    <row r="26" spans="2:19">
      <c r="R26" s="34"/>
      <c r="S26" s="34"/>
    </row>
    <row r="27" spans="2:19">
      <c r="R27" s="34"/>
      <c r="S27" s="34"/>
    </row>
    <row r="28" spans="2:19">
      <c r="R28" s="34"/>
      <c r="S28" s="34"/>
    </row>
    <row r="29" spans="2:19">
      <c r="R29" s="34"/>
      <c r="S29" s="34"/>
    </row>
    <row r="30" spans="2:19">
      <c r="R30" s="34"/>
      <c r="S30" s="34"/>
    </row>
    <row r="31" spans="2:19">
      <c r="R31" s="34"/>
      <c r="S31" s="34"/>
    </row>
    <row r="32" spans="2:19">
      <c r="R32" s="34"/>
      <c r="S32" s="34"/>
    </row>
    <row r="33" spans="1:19">
      <c r="R33" s="34"/>
      <c r="S33" s="34"/>
    </row>
    <row r="34" spans="1:19">
      <c r="R34" s="34"/>
      <c r="S34" s="34"/>
    </row>
    <row r="41" spans="1:19">
      <c r="A41" s="35" t="s">
        <v>28</v>
      </c>
    </row>
    <row r="42" spans="1:19">
      <c r="A42" s="35" t="s">
        <v>29</v>
      </c>
      <c r="B42" s="36"/>
    </row>
    <row r="43" spans="1:19">
      <c r="A43" s="37" t="s">
        <v>22</v>
      </c>
      <c r="B43" s="36"/>
    </row>
    <row r="44" spans="1:19">
      <c r="A44" s="35" t="s">
        <v>30</v>
      </c>
    </row>
    <row r="45" spans="1:19">
      <c r="A45" s="35"/>
    </row>
  </sheetData>
  <phoneticPr fontId="0" type="noConversion"/>
  <pageMargins left="0.25" right="0.25" top="0.34" bottom="0.36" header="0.31" footer="0.25"/>
  <pageSetup scale="83" orientation="landscape" r:id="rId1"/>
  <headerFooter alignWithMargins="0">
    <oddFooter xml:space="preserve">&amp;L&amp;8&amp;D   &amp;T&amp;10
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workbookViewId="0">
      <selection activeCell="D10" sqref="D10"/>
    </sheetView>
  </sheetViews>
  <sheetFormatPr defaultColWidth="10.6640625" defaultRowHeight="13.2"/>
  <cols>
    <col min="1" max="1" width="35.6640625" style="39" customWidth="1"/>
    <col min="2" max="2" width="3.109375" style="39" customWidth="1"/>
    <col min="3" max="3" width="11.77734375" style="39" customWidth="1"/>
    <col min="4" max="4" width="10.6640625" style="39"/>
    <col min="5" max="5" width="3.33203125" style="39" customWidth="1"/>
    <col min="6" max="7" width="10.6640625" style="39"/>
    <col min="8" max="8" width="3.33203125" style="39" customWidth="1"/>
    <col min="9" max="10" width="10.6640625" style="39"/>
    <col min="11" max="11" width="3.33203125" style="39" customWidth="1"/>
    <col min="12" max="13" width="10.6640625" style="39"/>
    <col min="14" max="14" width="3.33203125" style="39" customWidth="1"/>
    <col min="15" max="16" width="10.6640625" style="39"/>
    <col min="17" max="17" width="3.33203125" style="39" customWidth="1"/>
    <col min="18" max="19" width="10.6640625" style="39"/>
    <col min="20" max="20" width="3.33203125" style="39" customWidth="1"/>
    <col min="21" max="16384" width="10.6640625" style="39"/>
  </cols>
  <sheetData>
    <row r="1" spans="1:22">
      <c r="A1" s="38" t="s">
        <v>37</v>
      </c>
    </row>
    <row r="2" spans="1:22">
      <c r="A2" s="38" t="s">
        <v>41</v>
      </c>
    </row>
    <row r="5" spans="1:22" ht="15.6">
      <c r="C5" s="55" t="s">
        <v>7</v>
      </c>
      <c r="D5" s="53"/>
      <c r="E5" s="40"/>
      <c r="F5" s="53" t="s">
        <v>9</v>
      </c>
      <c r="G5" s="53"/>
      <c r="H5" s="40"/>
      <c r="I5" s="53" t="s">
        <v>11</v>
      </c>
      <c r="J5" s="53"/>
      <c r="K5" s="40"/>
      <c r="L5" s="53" t="s">
        <v>55</v>
      </c>
      <c r="M5" s="53"/>
      <c r="N5" s="40"/>
      <c r="O5" s="53" t="s">
        <v>15</v>
      </c>
      <c r="P5" s="53"/>
      <c r="Q5" s="40"/>
      <c r="R5" s="53" t="s">
        <v>17</v>
      </c>
      <c r="S5" s="53"/>
      <c r="T5" s="40"/>
      <c r="U5" s="53" t="s">
        <v>34</v>
      </c>
      <c r="V5" s="54"/>
    </row>
    <row r="6" spans="1:22" ht="26.4">
      <c r="A6" s="41" t="s">
        <v>42</v>
      </c>
      <c r="C6" s="42" t="s">
        <v>43</v>
      </c>
      <c r="D6" s="43" t="s">
        <v>31</v>
      </c>
      <c r="E6" s="44"/>
      <c r="F6" s="43" t="s">
        <v>43</v>
      </c>
      <c r="G6" s="43" t="s">
        <v>31</v>
      </c>
      <c r="H6" s="44"/>
      <c r="I6" s="43" t="s">
        <v>43</v>
      </c>
      <c r="J6" s="43" t="s">
        <v>31</v>
      </c>
      <c r="K6" s="44"/>
      <c r="L6" s="43" t="s">
        <v>43</v>
      </c>
      <c r="M6" s="43" t="s">
        <v>31</v>
      </c>
      <c r="N6" s="44"/>
      <c r="O6" s="43" t="s">
        <v>43</v>
      </c>
      <c r="P6" s="43" t="s">
        <v>31</v>
      </c>
      <c r="Q6" s="44"/>
      <c r="R6" s="43" t="s">
        <v>43</v>
      </c>
      <c r="S6" s="43" t="s">
        <v>31</v>
      </c>
      <c r="T6" s="44"/>
      <c r="U6" s="43" t="s">
        <v>43</v>
      </c>
      <c r="V6" s="45" t="s">
        <v>31</v>
      </c>
    </row>
    <row r="8" spans="1:22">
      <c r="A8" s="39" t="s">
        <v>44</v>
      </c>
      <c r="C8" s="46">
        <v>40</v>
      </c>
      <c r="D8" s="46">
        <f>29+11</f>
        <v>40</v>
      </c>
      <c r="E8" s="46"/>
      <c r="F8" s="46">
        <f>9+1+3+4.5</f>
        <v>17.5</v>
      </c>
      <c r="G8" s="46">
        <f>9+1+5+4.5-1</f>
        <v>18.5</v>
      </c>
      <c r="H8" s="46"/>
      <c r="I8" s="46">
        <v>2</v>
      </c>
      <c r="J8" s="46">
        <f>8+1+1+3</f>
        <v>13</v>
      </c>
      <c r="K8" s="46"/>
      <c r="L8" s="46">
        <v>25</v>
      </c>
      <c r="M8" s="46">
        <v>32</v>
      </c>
      <c r="N8" s="46"/>
      <c r="O8" s="46">
        <v>4</v>
      </c>
      <c r="P8" s="46">
        <v>4</v>
      </c>
      <c r="Q8" s="46"/>
      <c r="R8" s="46"/>
      <c r="S8" s="46"/>
      <c r="T8" s="46"/>
      <c r="U8" s="46">
        <f>+R8+O8+L8+I8+F8+C8</f>
        <v>88.5</v>
      </c>
      <c r="V8" s="46">
        <f>+S8+P8+M8+J8+G8+D8</f>
        <v>107.5</v>
      </c>
    </row>
    <row r="9" spans="1:22"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>
      <c r="A10" s="39" t="s">
        <v>33</v>
      </c>
      <c r="C10" s="46">
        <v>87</v>
      </c>
      <c r="D10" s="46">
        <f>65+9+5+8</f>
        <v>87</v>
      </c>
      <c r="E10" s="46"/>
      <c r="F10" s="46">
        <f>12+5+6+5+2+13</f>
        <v>43</v>
      </c>
      <c r="G10" s="46">
        <f>15+7+8+7+2+15-4</f>
        <v>50</v>
      </c>
      <c r="H10" s="46"/>
      <c r="I10" s="46">
        <f>9+2</f>
        <v>11</v>
      </c>
      <c r="J10" s="46">
        <f>17+3</f>
        <v>20</v>
      </c>
      <c r="K10" s="46"/>
      <c r="L10" s="46">
        <v>33</v>
      </c>
      <c r="M10" s="46">
        <v>34</v>
      </c>
      <c r="N10" s="46"/>
      <c r="O10" s="46">
        <v>9</v>
      </c>
      <c r="P10" s="46">
        <v>9</v>
      </c>
      <c r="Q10" s="46"/>
      <c r="R10" s="46"/>
      <c r="S10" s="46"/>
      <c r="T10" s="46"/>
      <c r="U10" s="46">
        <f>+R10+O10+L10+I10+F10+C10</f>
        <v>183</v>
      </c>
      <c r="V10" s="46">
        <f>+S10+P10+M10+J10+G10+D10</f>
        <v>200</v>
      </c>
    </row>
    <row r="11" spans="1:22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>
      <c r="A12" s="39" t="s">
        <v>32</v>
      </c>
      <c r="C12" s="46">
        <v>74</v>
      </c>
      <c r="D12" s="46">
        <f>79-5</f>
        <v>74</v>
      </c>
      <c r="E12" s="46"/>
      <c r="F12" s="46">
        <f>8+2+6</f>
        <v>16</v>
      </c>
      <c r="G12" s="46">
        <f>8+3+9-2</f>
        <v>18</v>
      </c>
      <c r="H12" s="46"/>
      <c r="I12" s="46">
        <v>2</v>
      </c>
      <c r="J12" s="46">
        <v>3</v>
      </c>
      <c r="K12" s="46"/>
      <c r="L12" s="46">
        <v>29</v>
      </c>
      <c r="M12" s="46">
        <v>29</v>
      </c>
      <c r="N12" s="46"/>
      <c r="O12" s="46">
        <v>6</v>
      </c>
      <c r="P12" s="46">
        <v>6</v>
      </c>
      <c r="Q12" s="46"/>
      <c r="R12" s="46"/>
      <c r="S12" s="46"/>
      <c r="T12" s="46"/>
      <c r="U12" s="46">
        <f>+R12+O12+L12+I12+F12+C12</f>
        <v>127</v>
      </c>
      <c r="V12" s="46">
        <f>+S12+P12+M12+J12+G12+D12</f>
        <v>130</v>
      </c>
    </row>
    <row r="13" spans="1:22"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>
      <c r="A14" s="39" t="s">
        <v>45</v>
      </c>
      <c r="C14" s="46">
        <f>22+7</f>
        <v>29</v>
      </c>
      <c r="D14" s="46">
        <f>21+8</f>
        <v>29</v>
      </c>
      <c r="E14" s="46"/>
      <c r="F14" s="46">
        <v>0</v>
      </c>
      <c r="G14" s="46">
        <v>0</v>
      </c>
      <c r="H14" s="46"/>
      <c r="I14" s="46">
        <v>0</v>
      </c>
      <c r="J14" s="46">
        <v>0</v>
      </c>
      <c r="K14" s="46"/>
      <c r="L14" s="46">
        <v>34</v>
      </c>
      <c r="M14" s="46">
        <v>52</v>
      </c>
      <c r="N14" s="46"/>
      <c r="O14" s="46">
        <v>0</v>
      </c>
      <c r="P14" s="46">
        <v>0</v>
      </c>
      <c r="Q14" s="46"/>
      <c r="R14" s="46"/>
      <c r="S14" s="46"/>
      <c r="T14" s="46"/>
      <c r="U14" s="46">
        <f>+R14+O14+L14+I14+F14+C14</f>
        <v>63</v>
      </c>
      <c r="V14" s="46">
        <f>+S14+P14+M14+J14+G14+D14</f>
        <v>81</v>
      </c>
    </row>
    <row r="15" spans="1:22"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>
      <c r="A16" s="39" t="s">
        <v>35</v>
      </c>
      <c r="C16" s="46">
        <v>71</v>
      </c>
      <c r="D16" s="46">
        <f>56+15</f>
        <v>71</v>
      </c>
      <c r="E16" s="46"/>
      <c r="F16" s="46">
        <f>8+3.5</f>
        <v>11.5</v>
      </c>
      <c r="G16" s="46">
        <f>9+3.5-1</f>
        <v>11.5</v>
      </c>
      <c r="H16" s="46"/>
      <c r="I16" s="46">
        <f>15+2</f>
        <v>17</v>
      </c>
      <c r="J16" s="46">
        <f>26+3+9</f>
        <v>38</v>
      </c>
      <c r="K16" s="46"/>
      <c r="L16" s="46">
        <f>50+16+13+23+20</f>
        <v>122</v>
      </c>
      <c r="M16" s="46">
        <f>53+45+38+23-53</f>
        <v>106</v>
      </c>
      <c r="N16" s="46"/>
      <c r="O16" s="46">
        <v>12</v>
      </c>
      <c r="P16" s="46">
        <v>11</v>
      </c>
      <c r="Q16" s="46"/>
      <c r="R16" s="46"/>
      <c r="S16" s="46"/>
      <c r="T16" s="46"/>
      <c r="U16" s="46">
        <f>+R16+O16+L16+I16+F16+C16</f>
        <v>233.5</v>
      </c>
      <c r="V16" s="46">
        <f>+S16+P16+M16+J16+G16+D16</f>
        <v>237.5</v>
      </c>
    </row>
    <row r="17" spans="1:22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>
      <c r="A18" s="39" t="s">
        <v>40</v>
      </c>
      <c r="C18" s="46"/>
      <c r="D18" s="46"/>
      <c r="E18" s="46"/>
      <c r="F18" s="46">
        <f>8+3+1</f>
        <v>12</v>
      </c>
      <c r="G18" s="46">
        <f>10+4+1-3</f>
        <v>12</v>
      </c>
      <c r="H18" s="46"/>
      <c r="I18" s="46">
        <v>2</v>
      </c>
      <c r="J18" s="46">
        <f>7+1+8</f>
        <v>16</v>
      </c>
      <c r="K18" s="46"/>
      <c r="L18" s="46">
        <v>0</v>
      </c>
      <c r="M18" s="46">
        <v>0</v>
      </c>
      <c r="N18" s="46"/>
      <c r="O18" s="46">
        <v>0</v>
      </c>
      <c r="P18" s="46">
        <v>0</v>
      </c>
      <c r="Q18" s="46"/>
      <c r="R18" s="46"/>
      <c r="S18" s="46"/>
      <c r="T18" s="46"/>
      <c r="U18" s="46">
        <f>+R18+O18+L18+I18+F18+C18</f>
        <v>14</v>
      </c>
      <c r="V18" s="46">
        <f>+S18+P18+M18+J18+G18+D18</f>
        <v>28</v>
      </c>
    </row>
    <row r="19" spans="1:22"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>
      <c r="A20" s="39" t="s">
        <v>17</v>
      </c>
      <c r="C20" s="46">
        <f>+C21+C22+C23</f>
        <v>0</v>
      </c>
      <c r="D20" s="46">
        <f>+D21+D22+D23</f>
        <v>0</v>
      </c>
      <c r="E20" s="46"/>
      <c r="F20" s="46">
        <f>+F21+F22+F23</f>
        <v>12</v>
      </c>
      <c r="G20" s="46">
        <f>+G21+G22+G23</f>
        <v>12</v>
      </c>
      <c r="H20" s="46"/>
      <c r="I20" s="46">
        <f>+I21+I22+I23</f>
        <v>6</v>
      </c>
      <c r="J20" s="46">
        <f>+J21+J22+J23</f>
        <v>3</v>
      </c>
      <c r="K20" s="46"/>
      <c r="L20" s="46">
        <f>+L21+L22+L23</f>
        <v>0</v>
      </c>
      <c r="M20" s="46">
        <f>+M21+M22+M23</f>
        <v>6</v>
      </c>
      <c r="N20" s="46"/>
      <c r="O20" s="46">
        <f>+O21+O22+O23+O24</f>
        <v>3</v>
      </c>
      <c r="P20" s="46">
        <f>+P21+P22+P23+P24</f>
        <v>3</v>
      </c>
      <c r="Q20" s="46"/>
      <c r="R20" s="46">
        <f>+R21+R22+R23</f>
        <v>0</v>
      </c>
      <c r="S20" s="46">
        <f>+S21+S22+S23</f>
        <v>0</v>
      </c>
      <c r="T20" s="46"/>
      <c r="U20" s="46">
        <f t="shared" ref="U20:V23" si="0">+R20+O20+L20+I20+F20+C20</f>
        <v>21</v>
      </c>
      <c r="V20" s="46">
        <f t="shared" si="0"/>
        <v>24</v>
      </c>
    </row>
    <row r="21" spans="1:22">
      <c r="A21" s="47" t="s">
        <v>38</v>
      </c>
      <c r="C21" s="46">
        <v>0</v>
      </c>
      <c r="D21" s="46">
        <v>0</v>
      </c>
      <c r="E21" s="46"/>
      <c r="F21" s="46">
        <v>10</v>
      </c>
      <c r="G21" s="46">
        <v>10</v>
      </c>
      <c r="H21" s="46"/>
      <c r="I21" s="46">
        <v>0</v>
      </c>
      <c r="J21" s="46">
        <v>0</v>
      </c>
      <c r="K21" s="46"/>
      <c r="L21" s="46">
        <v>0</v>
      </c>
      <c r="M21" s="46">
        <v>0</v>
      </c>
      <c r="N21" s="46"/>
      <c r="O21" s="46">
        <v>0</v>
      </c>
      <c r="P21" s="46">
        <v>0</v>
      </c>
      <c r="Q21" s="46"/>
      <c r="R21" s="46"/>
      <c r="S21" s="46"/>
      <c r="T21" s="46"/>
      <c r="U21" s="46">
        <f t="shared" si="0"/>
        <v>10</v>
      </c>
      <c r="V21" s="46">
        <f t="shared" si="0"/>
        <v>10</v>
      </c>
    </row>
    <row r="22" spans="1:22">
      <c r="A22" s="47" t="s">
        <v>39</v>
      </c>
      <c r="C22" s="46">
        <v>0</v>
      </c>
      <c r="D22" s="46">
        <v>0</v>
      </c>
      <c r="E22" s="46"/>
      <c r="F22" s="46">
        <v>2</v>
      </c>
      <c r="G22" s="46">
        <v>2</v>
      </c>
      <c r="H22" s="46"/>
      <c r="I22" s="46">
        <v>0</v>
      </c>
      <c r="J22" s="46">
        <v>0</v>
      </c>
      <c r="K22" s="46"/>
      <c r="L22" s="46">
        <v>0</v>
      </c>
      <c r="M22" s="46">
        <v>0</v>
      </c>
      <c r="N22" s="46"/>
      <c r="O22" s="46">
        <v>0</v>
      </c>
      <c r="P22" s="46">
        <v>0</v>
      </c>
      <c r="Q22" s="46"/>
      <c r="R22" s="46"/>
      <c r="S22" s="46"/>
      <c r="T22" s="46"/>
      <c r="U22" s="46">
        <f t="shared" si="0"/>
        <v>2</v>
      </c>
      <c r="V22" s="46">
        <f t="shared" si="0"/>
        <v>2</v>
      </c>
    </row>
    <row r="23" spans="1:22">
      <c r="A23" s="47" t="s">
        <v>46</v>
      </c>
      <c r="C23" s="46">
        <v>0</v>
      </c>
      <c r="D23" s="46">
        <v>0</v>
      </c>
      <c r="E23" s="46"/>
      <c r="F23" s="46">
        <v>0</v>
      </c>
      <c r="G23" s="46">
        <v>0</v>
      </c>
      <c r="H23" s="46"/>
      <c r="I23" s="46">
        <v>6</v>
      </c>
      <c r="J23" s="46">
        <f>17-14</f>
        <v>3</v>
      </c>
      <c r="K23" s="46"/>
      <c r="L23" s="46">
        <v>0</v>
      </c>
      <c r="M23" s="46">
        <v>6</v>
      </c>
      <c r="N23" s="46"/>
      <c r="O23" s="46">
        <v>0</v>
      </c>
      <c r="P23" s="46">
        <v>0</v>
      </c>
      <c r="Q23" s="46"/>
      <c r="R23" s="46"/>
      <c r="S23" s="46"/>
      <c r="T23" s="46"/>
      <c r="U23" s="46">
        <f t="shared" si="0"/>
        <v>6</v>
      </c>
      <c r="V23" s="46">
        <f t="shared" si="0"/>
        <v>9</v>
      </c>
    </row>
    <row r="24" spans="1:22">
      <c r="A24" s="47" t="s">
        <v>47</v>
      </c>
      <c r="C24" s="46">
        <v>0</v>
      </c>
      <c r="D24" s="46">
        <v>0</v>
      </c>
      <c r="E24" s="46"/>
      <c r="F24" s="46">
        <v>0</v>
      </c>
      <c r="G24" s="46">
        <v>0</v>
      </c>
      <c r="H24" s="46"/>
      <c r="I24" s="46">
        <v>0</v>
      </c>
      <c r="J24" s="46">
        <v>0</v>
      </c>
      <c r="K24" s="46"/>
      <c r="L24" s="46">
        <v>0</v>
      </c>
      <c r="M24" s="46">
        <v>0</v>
      </c>
      <c r="N24" s="46"/>
      <c r="O24" s="46">
        <v>3</v>
      </c>
      <c r="P24" s="46">
        <v>3</v>
      </c>
      <c r="Q24" s="46"/>
      <c r="R24" s="46"/>
      <c r="S24" s="46"/>
      <c r="T24" s="46"/>
      <c r="U24" s="46"/>
      <c r="V24" s="46"/>
    </row>
    <row r="25" spans="1:22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>
      <c r="A26" s="39" t="s">
        <v>36</v>
      </c>
      <c r="C26" s="46">
        <f>3+2</f>
        <v>5</v>
      </c>
      <c r="D26" s="46">
        <v>5</v>
      </c>
      <c r="E26" s="46"/>
      <c r="F26" s="46">
        <f>9+4+1</f>
        <v>14</v>
      </c>
      <c r="G26" s="46">
        <f>9+4+1</f>
        <v>14</v>
      </c>
      <c r="H26" s="46"/>
      <c r="I26" s="46">
        <f>12+2</f>
        <v>14</v>
      </c>
      <c r="J26" s="46">
        <f>19+2-6</f>
        <v>15</v>
      </c>
      <c r="K26" s="46"/>
      <c r="L26" s="46">
        <f>2+1</f>
        <v>3</v>
      </c>
      <c r="M26" s="46">
        <f>2+1</f>
        <v>3</v>
      </c>
      <c r="N26" s="46"/>
      <c r="O26" s="46">
        <v>3</v>
      </c>
      <c r="P26" s="46">
        <v>3</v>
      </c>
      <c r="Q26" s="46"/>
      <c r="R26" s="46">
        <v>2</v>
      </c>
      <c r="S26" s="46">
        <f>8+3</f>
        <v>11</v>
      </c>
      <c r="T26" s="46"/>
      <c r="U26" s="46">
        <f>+R26+O26+L26+I26+F26+C26</f>
        <v>41</v>
      </c>
      <c r="V26" s="46">
        <f>+S26+P26+M26+J26+G26+D26</f>
        <v>51</v>
      </c>
    </row>
    <row r="27" spans="1:22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>
      <c r="A28" s="39" t="s">
        <v>48</v>
      </c>
      <c r="C28" s="48">
        <f>+C26+C20+C18+C16+C14+C12+C10+C8</f>
        <v>306</v>
      </c>
      <c r="D28" s="48">
        <f>+D26+D20+D18+D16+D14+D12+D10+D8</f>
        <v>306</v>
      </c>
      <c r="E28" s="46"/>
      <c r="F28" s="48">
        <f>+F26+F20+F18+F16+F14+F12+F10+F8</f>
        <v>126</v>
      </c>
      <c r="G28" s="48">
        <f>+G26+G20+G18+G16+G14+G12+G10+G8</f>
        <v>136</v>
      </c>
      <c r="H28" s="46"/>
      <c r="I28" s="48">
        <f>+I26+I20+I18+I16+I14+I12+I10+I8</f>
        <v>54</v>
      </c>
      <c r="J28" s="48">
        <f>+J26+J20+J18+J16+J14+J12+J10+J8</f>
        <v>108</v>
      </c>
      <c r="K28" s="46"/>
      <c r="L28" s="48">
        <f>+L26+L20+L18+L16+L14+L12+L10+L8</f>
        <v>246</v>
      </c>
      <c r="M28" s="48">
        <f>+M26+M20+M18+M16+M14+M12+M10+M8</f>
        <v>262</v>
      </c>
      <c r="N28" s="46"/>
      <c r="O28" s="48">
        <f>+O26+O20+O18+O16+O14+O12+O10+O8</f>
        <v>37</v>
      </c>
      <c r="P28" s="48">
        <f>+P26+P20+P18+P16+P14+P12+P10+P8</f>
        <v>36</v>
      </c>
      <c r="Q28" s="46"/>
      <c r="R28" s="48">
        <f>+R26+R20+R18+R16+R14+R12+R10+R8</f>
        <v>2</v>
      </c>
      <c r="S28" s="48">
        <f>+S26+S20+S18+S16+S14+S12+S10+S8</f>
        <v>11</v>
      </c>
      <c r="T28" s="46"/>
      <c r="U28" s="48">
        <f>+U26+U20+U18+U16+U14+U12+U10+U8</f>
        <v>771</v>
      </c>
      <c r="V28" s="48">
        <f>+V26+V20+V18+V16+V14+V12+V10+V8</f>
        <v>859</v>
      </c>
    </row>
    <row r="29" spans="1:22"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>
      <c r="A30" s="39" t="s">
        <v>49</v>
      </c>
      <c r="C30" s="46">
        <f>+C31+C32+C33</f>
        <v>44</v>
      </c>
      <c r="D30" s="46">
        <f>+D31+D32+D33</f>
        <v>43</v>
      </c>
      <c r="E30" s="46"/>
      <c r="F30" s="46">
        <f>+F31+F32+F33</f>
        <v>8.5</v>
      </c>
      <c r="G30" s="46">
        <f>+G31+G32+G33</f>
        <v>15</v>
      </c>
      <c r="H30" s="46"/>
      <c r="I30" s="46">
        <f>+I31+I32+I33</f>
        <v>2.5</v>
      </c>
      <c r="J30" s="46">
        <f>+J31+J32+J33</f>
        <v>8</v>
      </c>
      <c r="K30" s="46"/>
      <c r="L30" s="46">
        <f>+L31+L32+L33</f>
        <v>42</v>
      </c>
      <c r="M30" s="46">
        <f>+M31+M32+M33</f>
        <v>33</v>
      </c>
      <c r="N30" s="46"/>
      <c r="O30" s="46">
        <f>+O31+O32+O33</f>
        <v>4.5</v>
      </c>
      <c r="P30" s="46">
        <f>+P31+P32+P33</f>
        <v>10</v>
      </c>
      <c r="Q30" s="46"/>
      <c r="R30" s="46">
        <f>+R31+R32+R33</f>
        <v>7.5</v>
      </c>
      <c r="S30" s="46">
        <f>+S31+S32+S33</f>
        <v>9</v>
      </c>
      <c r="T30" s="46"/>
      <c r="U30" s="46">
        <f>+U31+U32+U33</f>
        <v>109</v>
      </c>
      <c r="V30" s="46">
        <f>+V31+V32+V33</f>
        <v>118</v>
      </c>
    </row>
    <row r="31" spans="1:22">
      <c r="A31" s="47" t="s">
        <v>50</v>
      </c>
      <c r="C31" s="46">
        <v>21</v>
      </c>
      <c r="D31" s="46">
        <v>20</v>
      </c>
      <c r="E31" s="46"/>
      <c r="F31" s="46">
        <v>3</v>
      </c>
      <c r="G31" s="46">
        <v>8</v>
      </c>
      <c r="H31" s="46"/>
      <c r="I31" s="46">
        <v>1</v>
      </c>
      <c r="J31" s="46">
        <v>2</v>
      </c>
      <c r="K31" s="46"/>
      <c r="L31" s="46">
        <v>17</v>
      </c>
      <c r="M31" s="46">
        <v>17</v>
      </c>
      <c r="N31" s="46"/>
      <c r="O31" s="46">
        <v>0.5</v>
      </c>
      <c r="P31" s="46">
        <v>2</v>
      </c>
      <c r="Q31" s="46"/>
      <c r="R31" s="46">
        <v>2.5</v>
      </c>
      <c r="S31" s="46">
        <v>1</v>
      </c>
      <c r="T31" s="46"/>
      <c r="U31" s="46">
        <f t="shared" ref="U31:V33" si="1">+R31+O31+L31+I31+F31+C31</f>
        <v>45</v>
      </c>
      <c r="V31" s="46">
        <f t="shared" si="1"/>
        <v>50</v>
      </c>
    </row>
    <row r="32" spans="1:22">
      <c r="A32" s="47" t="s">
        <v>51</v>
      </c>
      <c r="C32" s="46">
        <v>16</v>
      </c>
      <c r="D32" s="46">
        <v>17</v>
      </c>
      <c r="E32" s="46"/>
      <c r="F32" s="46">
        <v>0.5</v>
      </c>
      <c r="G32" s="46">
        <v>3</v>
      </c>
      <c r="H32" s="46"/>
      <c r="I32" s="46">
        <v>0.5</v>
      </c>
      <c r="J32" s="46">
        <v>4</v>
      </c>
      <c r="K32" s="46"/>
      <c r="L32" s="46">
        <v>22</v>
      </c>
      <c r="M32" s="46">
        <f>2+14</f>
        <v>16</v>
      </c>
      <c r="N32" s="46"/>
      <c r="O32" s="46">
        <f>0.5+3</f>
        <v>3.5</v>
      </c>
      <c r="P32" s="46">
        <f>2+5</f>
        <v>7</v>
      </c>
      <c r="Q32" s="46"/>
      <c r="R32" s="46">
        <v>0.5</v>
      </c>
      <c r="S32" s="46">
        <v>2</v>
      </c>
      <c r="T32" s="46"/>
      <c r="U32" s="46">
        <f t="shared" si="1"/>
        <v>43</v>
      </c>
      <c r="V32" s="46">
        <f t="shared" si="1"/>
        <v>49</v>
      </c>
    </row>
    <row r="33" spans="1:22">
      <c r="A33" s="47" t="s">
        <v>52</v>
      </c>
      <c r="C33" s="46">
        <v>7</v>
      </c>
      <c r="D33" s="46">
        <v>6</v>
      </c>
      <c r="E33" s="46"/>
      <c r="F33" s="46">
        <v>5</v>
      </c>
      <c r="G33" s="46">
        <v>4</v>
      </c>
      <c r="H33" s="46"/>
      <c r="I33" s="46">
        <v>1</v>
      </c>
      <c r="J33" s="46">
        <v>2</v>
      </c>
      <c r="K33" s="46"/>
      <c r="L33" s="46">
        <v>3</v>
      </c>
      <c r="M33" s="46">
        <v>0</v>
      </c>
      <c r="N33" s="46"/>
      <c r="O33" s="46">
        <v>0.5</v>
      </c>
      <c r="P33" s="46">
        <v>1</v>
      </c>
      <c r="Q33" s="46"/>
      <c r="R33" s="46">
        <v>4.5</v>
      </c>
      <c r="S33" s="46">
        <v>6</v>
      </c>
      <c r="T33" s="46"/>
      <c r="U33" s="46">
        <f t="shared" si="1"/>
        <v>21</v>
      </c>
      <c r="V33" s="46">
        <f t="shared" si="1"/>
        <v>19</v>
      </c>
    </row>
    <row r="34" spans="1:22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3.8" thickBot="1">
      <c r="A35" s="50" t="s">
        <v>53</v>
      </c>
      <c r="C35" s="51">
        <f>+C30+C28</f>
        <v>350</v>
      </c>
      <c r="D35" s="51">
        <f>+D30+D28</f>
        <v>349</v>
      </c>
      <c r="E35" s="46"/>
      <c r="F35" s="51">
        <f>+F30+F28</f>
        <v>134.5</v>
      </c>
      <c r="G35" s="51">
        <f>+G30+G28</f>
        <v>151</v>
      </c>
      <c r="H35" s="46"/>
      <c r="I35" s="51">
        <f>+I30+I28</f>
        <v>56.5</v>
      </c>
      <c r="J35" s="51">
        <f>+J30+J28</f>
        <v>116</v>
      </c>
      <c r="K35" s="46"/>
      <c r="L35" s="51">
        <f>+L30+L28</f>
        <v>288</v>
      </c>
      <c r="M35" s="51">
        <f>+M30+M28</f>
        <v>295</v>
      </c>
      <c r="N35" s="46"/>
      <c r="O35" s="51">
        <f>+O30+O28</f>
        <v>41.5</v>
      </c>
      <c r="P35" s="51">
        <f>+P30+P28</f>
        <v>46</v>
      </c>
      <c r="Q35" s="46"/>
      <c r="R35" s="51">
        <f>+R30+R28</f>
        <v>9.5</v>
      </c>
      <c r="S35" s="51">
        <f>+S30+S28</f>
        <v>20</v>
      </c>
      <c r="T35" s="46"/>
      <c r="U35" s="51">
        <f>+U30+U28</f>
        <v>880</v>
      </c>
      <c r="V35" s="51">
        <f>+V30+V28</f>
        <v>977</v>
      </c>
    </row>
    <row r="36" spans="1:22" ht="13.8" thickTop="1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>
      <c r="A37" s="52" t="s">
        <v>54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 spans="1:22"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</row>
  </sheetData>
  <mergeCells count="7">
    <mergeCell ref="O5:P5"/>
    <mergeCell ref="R5:S5"/>
    <mergeCell ref="U5:V5"/>
    <mergeCell ref="C5:D5"/>
    <mergeCell ref="F5:G5"/>
    <mergeCell ref="I5:J5"/>
    <mergeCell ref="L5:M5"/>
  </mergeCells>
  <phoneticPr fontId="1" type="noConversion"/>
  <pageMargins left="0" right="0" top="1" bottom="1" header="0.5" footer="0.5"/>
  <pageSetup scale="7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Headcount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Havlíček Jan</cp:lastModifiedBy>
  <cp:lastPrinted>2001-11-02T22:39:31Z</cp:lastPrinted>
  <dcterms:created xsi:type="dcterms:W3CDTF">2001-11-02T22:38:10Z</dcterms:created>
  <dcterms:modified xsi:type="dcterms:W3CDTF">2023-09-10T16:03:07Z</dcterms:modified>
</cp:coreProperties>
</file>