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 activeTab="7"/>
  </bookViews>
  <sheets>
    <sheet name="YTD Mgmt Summary" sheetId="18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r:id="rId8"/>
    <sheet name="GrossMargin" sheetId="2" r:id="rId9"/>
    <sheet name="Hotlist - Completed" sheetId="16" state="hidden" r:id="rId10"/>
    <sheet name="Expenses" sheetId="3" r:id="rId11"/>
    <sheet name="CapChrg-AllocExp" sheetId="4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'CapChrg-AllocExp'!$B$2:$P$51</definedName>
    <definedName name="_xlnm.Print_Area" localSheetId="10">Expenses!$B$2:$K$55</definedName>
    <definedName name="_xlnm.Print_Area" localSheetId="7">'GM-WklyChnge'!$A$1:$K$59</definedName>
    <definedName name="_xlnm.Print_Area" localSheetId="3">Greensheet!$A$1:$M$143</definedName>
    <definedName name="_xlnm.Print_Area" localSheetId="8">GrossMargin!$B$2:$N$54</definedName>
    <definedName name="_xlnm.Print_Area" localSheetId="12">Headcount!$B$1:$N$48</definedName>
    <definedName name="_xlnm.Print_Area" localSheetId="9">'Hotlist - Completed'!$A$1:$Q$146</definedName>
    <definedName name="_xlnm.Print_Area" localSheetId="4">'Old Mgmt Summary'!$A$1:$V$59</definedName>
    <definedName name="_xlnm.Print_Area" localSheetId="2">'QTD Mgmt Summary'!$A$1:$M$57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  <definedName name="_xlnm.Print_Titles" localSheetId="9">'Hotlist - Completed'!$1:$5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K23" i="4"/>
  <c r="L23" i="4"/>
  <c r="M23" i="4"/>
  <c r="D24" i="4"/>
  <c r="E24" i="4"/>
  <c r="F24" i="4"/>
  <c r="K24" i="4"/>
  <c r="L24" i="4"/>
  <c r="M24" i="4"/>
  <c r="D25" i="4"/>
  <c r="E25" i="4"/>
  <c r="F25" i="4"/>
  <c r="K25" i="4"/>
  <c r="L25" i="4"/>
  <c r="M25" i="4"/>
  <c r="D26" i="4"/>
  <c r="E26" i="4"/>
  <c r="F26" i="4"/>
  <c r="K26" i="4"/>
  <c r="L26" i="4"/>
  <c r="M26" i="4"/>
  <c r="E28" i="4"/>
  <c r="F28" i="4"/>
  <c r="K28" i="4"/>
  <c r="L28" i="4"/>
  <c r="M28" i="4"/>
  <c r="E29" i="4"/>
  <c r="F29" i="4"/>
  <c r="K29" i="4"/>
  <c r="L29" i="4"/>
  <c r="M29" i="4"/>
  <c r="D30" i="4"/>
  <c r="E30" i="4"/>
  <c r="F30" i="4"/>
  <c r="K30" i="4"/>
  <c r="L30" i="4"/>
  <c r="M30" i="4"/>
  <c r="D31" i="4"/>
  <c r="E31" i="4"/>
  <c r="F31" i="4"/>
  <c r="K31" i="4"/>
  <c r="L31" i="4"/>
  <c r="M31" i="4"/>
  <c r="E33" i="4"/>
  <c r="F33" i="4"/>
  <c r="K33" i="4"/>
  <c r="L33" i="4"/>
  <c r="M33" i="4"/>
  <c r="E34" i="4"/>
  <c r="F34" i="4"/>
  <c r="K34" i="4"/>
  <c r="L34" i="4"/>
  <c r="M34" i="4"/>
  <c r="D35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D38" i="4"/>
  <c r="E38" i="4"/>
  <c r="F38" i="4"/>
  <c r="K38" i="4"/>
  <c r="L38" i="4"/>
  <c r="M38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K44" i="4"/>
  <c r="D46" i="4"/>
  <c r="E46" i="4"/>
  <c r="F46" i="4"/>
  <c r="K46" i="4"/>
  <c r="L46" i="4"/>
  <c r="M46" i="4"/>
  <c r="D48" i="4"/>
  <c r="E48" i="4"/>
  <c r="F48" i="4"/>
  <c r="K48" i="4"/>
  <c r="L48" i="4"/>
  <c r="M48" i="4"/>
  <c r="D50" i="4"/>
  <c r="E50" i="4"/>
  <c r="F50" i="4"/>
  <c r="K50" i="4"/>
  <c r="L50" i="4"/>
  <c r="M50" i="4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7" i="3"/>
  <c r="E27" i="3"/>
  <c r="F27" i="3"/>
  <c r="E28" i="3"/>
  <c r="F28" i="3"/>
  <c r="D29" i="3"/>
  <c r="E29" i="3"/>
  <c r="F29" i="3"/>
  <c r="D30" i="3"/>
  <c r="E30" i="3"/>
  <c r="F30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9" i="3"/>
  <c r="E39" i="3"/>
  <c r="F39" i="3"/>
  <c r="E41" i="3"/>
  <c r="F41" i="3"/>
  <c r="D43" i="3"/>
  <c r="E43" i="3"/>
  <c r="F43" i="3"/>
  <c r="D45" i="3"/>
  <c r="E45" i="3"/>
  <c r="F45" i="3"/>
  <c r="D47" i="3"/>
  <c r="E47" i="3"/>
  <c r="F47" i="3"/>
  <c r="D49" i="3"/>
  <c r="E49" i="3"/>
  <c r="F49" i="3"/>
  <c r="F54" i="3"/>
  <c r="F55" i="3"/>
  <c r="C9" i="9"/>
  <c r="D9" i="9"/>
  <c r="E9" i="9"/>
  <c r="F9" i="9"/>
  <c r="G9" i="9"/>
  <c r="H9" i="9"/>
  <c r="I9" i="9"/>
  <c r="K9" i="9"/>
  <c r="C10" i="9"/>
  <c r="D10" i="9"/>
  <c r="E10" i="9"/>
  <c r="F10" i="9"/>
  <c r="G10" i="9"/>
  <c r="H10" i="9"/>
  <c r="K10" i="9"/>
  <c r="C11" i="9"/>
  <c r="D11" i="9"/>
  <c r="E11" i="9"/>
  <c r="F11" i="9"/>
  <c r="G11" i="9"/>
  <c r="H11" i="9"/>
  <c r="K11" i="9"/>
  <c r="C12" i="9"/>
  <c r="D12" i="9"/>
  <c r="E12" i="9"/>
  <c r="F12" i="9"/>
  <c r="G12" i="9"/>
  <c r="H12" i="9"/>
  <c r="K12" i="9"/>
  <c r="C13" i="9"/>
  <c r="D13" i="9"/>
  <c r="E13" i="9"/>
  <c r="F13" i="9"/>
  <c r="G13" i="9"/>
  <c r="H13" i="9"/>
  <c r="K13" i="9"/>
  <c r="C14" i="9"/>
  <c r="D14" i="9"/>
  <c r="E14" i="9"/>
  <c r="F14" i="9"/>
  <c r="G14" i="9"/>
  <c r="H14" i="9"/>
  <c r="K14" i="9"/>
  <c r="C15" i="9"/>
  <c r="D15" i="9"/>
  <c r="E15" i="9"/>
  <c r="F15" i="9"/>
  <c r="G15" i="9"/>
  <c r="H15" i="9"/>
  <c r="K15" i="9"/>
  <c r="C16" i="9"/>
  <c r="D16" i="9"/>
  <c r="E16" i="9"/>
  <c r="F16" i="9"/>
  <c r="G16" i="9"/>
  <c r="H16" i="9"/>
  <c r="K16" i="9"/>
  <c r="C17" i="9"/>
  <c r="D17" i="9"/>
  <c r="E17" i="9"/>
  <c r="F17" i="9"/>
  <c r="G17" i="9"/>
  <c r="H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K21" i="9"/>
  <c r="C22" i="9"/>
  <c r="D22" i="9"/>
  <c r="E22" i="9"/>
  <c r="F22" i="9"/>
  <c r="G22" i="9"/>
  <c r="H22" i="9"/>
  <c r="K22" i="9"/>
  <c r="C23" i="9"/>
  <c r="D23" i="9"/>
  <c r="E23" i="9"/>
  <c r="F23" i="9"/>
  <c r="G23" i="9"/>
  <c r="H23" i="9"/>
  <c r="K23" i="9"/>
  <c r="C24" i="9"/>
  <c r="D24" i="9"/>
  <c r="E24" i="9"/>
  <c r="F24" i="9"/>
  <c r="G24" i="9"/>
  <c r="H24" i="9"/>
  <c r="K24" i="9"/>
  <c r="C25" i="9"/>
  <c r="D25" i="9"/>
  <c r="E25" i="9"/>
  <c r="F25" i="9"/>
  <c r="G25" i="9"/>
  <c r="H25" i="9"/>
  <c r="K25" i="9"/>
  <c r="C27" i="9"/>
  <c r="D27" i="9"/>
  <c r="E27" i="9"/>
  <c r="F27" i="9"/>
  <c r="G27" i="9"/>
  <c r="H27" i="9"/>
  <c r="J27" i="9"/>
  <c r="K27" i="9"/>
  <c r="C29" i="9"/>
  <c r="D29" i="9"/>
  <c r="E29" i="9"/>
  <c r="F29" i="9"/>
  <c r="G29" i="9"/>
  <c r="H29" i="9"/>
  <c r="K29" i="9"/>
  <c r="C30" i="9"/>
  <c r="D30" i="9"/>
  <c r="E30" i="9"/>
  <c r="F30" i="9"/>
  <c r="G30" i="9"/>
  <c r="H30" i="9"/>
  <c r="K30" i="9"/>
  <c r="C31" i="9"/>
  <c r="D31" i="9"/>
  <c r="E31" i="9"/>
  <c r="F31" i="9"/>
  <c r="G31" i="9"/>
  <c r="H31" i="9"/>
  <c r="K31" i="9"/>
  <c r="C33" i="9"/>
  <c r="D33" i="9"/>
  <c r="E33" i="9"/>
  <c r="F33" i="9"/>
  <c r="G33" i="9"/>
  <c r="H33" i="9"/>
  <c r="J33" i="9"/>
  <c r="K33" i="9"/>
  <c r="C35" i="9"/>
  <c r="D35" i="9"/>
  <c r="E35" i="9"/>
  <c r="F35" i="9"/>
  <c r="G35" i="9"/>
  <c r="H35" i="9"/>
  <c r="K35" i="9"/>
  <c r="C36" i="9"/>
  <c r="D36" i="9"/>
  <c r="E36" i="9"/>
  <c r="F36" i="9"/>
  <c r="G36" i="9"/>
  <c r="H36" i="9"/>
  <c r="K36" i="9"/>
  <c r="C37" i="9"/>
  <c r="D37" i="9"/>
  <c r="E37" i="9"/>
  <c r="F37" i="9"/>
  <c r="G37" i="9"/>
  <c r="H37" i="9"/>
  <c r="K37" i="9"/>
  <c r="C38" i="9"/>
  <c r="D38" i="9"/>
  <c r="E38" i="9"/>
  <c r="F38" i="9"/>
  <c r="G38" i="9"/>
  <c r="H38" i="9"/>
  <c r="K38" i="9"/>
  <c r="C39" i="9"/>
  <c r="D39" i="9"/>
  <c r="E39" i="9"/>
  <c r="F39" i="9"/>
  <c r="G39" i="9"/>
  <c r="H39" i="9"/>
  <c r="J39" i="9"/>
  <c r="K39" i="9"/>
  <c r="C41" i="9"/>
  <c r="D41" i="9"/>
  <c r="E41" i="9"/>
  <c r="F41" i="9"/>
  <c r="G41" i="9"/>
  <c r="H41" i="9"/>
  <c r="J41" i="9"/>
  <c r="K41" i="9"/>
  <c r="C43" i="9"/>
  <c r="D43" i="9"/>
  <c r="E43" i="9"/>
  <c r="F43" i="9"/>
  <c r="G43" i="9"/>
  <c r="H43" i="9"/>
  <c r="K43" i="9"/>
  <c r="C45" i="9"/>
  <c r="D45" i="9"/>
  <c r="E45" i="9"/>
  <c r="F45" i="9"/>
  <c r="G45" i="9"/>
  <c r="H45" i="9"/>
  <c r="K45" i="9"/>
  <c r="C47" i="9"/>
  <c r="D47" i="9"/>
  <c r="E47" i="9"/>
  <c r="F47" i="9"/>
  <c r="G47" i="9"/>
  <c r="H47" i="9"/>
  <c r="K47" i="9"/>
  <c r="C49" i="9"/>
  <c r="D49" i="9"/>
  <c r="E49" i="9"/>
  <c r="F49" i="9"/>
  <c r="G49" i="9"/>
  <c r="H49" i="9"/>
  <c r="K49" i="9"/>
  <c r="C51" i="9"/>
  <c r="D51" i="9"/>
  <c r="E51" i="9"/>
  <c r="F51" i="9"/>
  <c r="G51" i="9"/>
  <c r="H51" i="9"/>
  <c r="J51" i="9"/>
  <c r="K51" i="9"/>
  <c r="I59" i="9"/>
  <c r="J59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I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L18" i="2"/>
  <c r="M18" i="2"/>
  <c r="N18" i="2"/>
  <c r="Q18" i="2"/>
  <c r="R18" i="2"/>
  <c r="S18" i="2"/>
  <c r="D20" i="2"/>
  <c r="E20" i="2"/>
  <c r="F20" i="2"/>
  <c r="G20" i="2"/>
  <c r="H20" i="2"/>
  <c r="I20" i="2"/>
  <c r="J20" i="2"/>
  <c r="K20" i="2"/>
  <c r="L20" i="2"/>
  <c r="M20" i="2"/>
  <c r="N20" i="2"/>
  <c r="Q20" i="2"/>
  <c r="R20" i="2"/>
  <c r="S20" i="2"/>
  <c r="I22" i="2"/>
  <c r="L22" i="2"/>
  <c r="M22" i="2"/>
  <c r="N22" i="2"/>
  <c r="Q22" i="2"/>
  <c r="R22" i="2"/>
  <c r="S22" i="2"/>
  <c r="I23" i="2"/>
  <c r="L23" i="2"/>
  <c r="M23" i="2"/>
  <c r="N23" i="2"/>
  <c r="Q23" i="2"/>
  <c r="R23" i="2"/>
  <c r="S23" i="2"/>
  <c r="D24" i="2"/>
  <c r="I24" i="2"/>
  <c r="L24" i="2"/>
  <c r="M24" i="2"/>
  <c r="N24" i="2"/>
  <c r="Q24" i="2"/>
  <c r="R24" i="2"/>
  <c r="S24" i="2"/>
  <c r="I25" i="2"/>
  <c r="L25" i="2"/>
  <c r="M25" i="2"/>
  <c r="N25" i="2"/>
  <c r="Q25" i="2"/>
  <c r="R25" i="2"/>
  <c r="S25" i="2"/>
  <c r="I26" i="2"/>
  <c r="L26" i="2"/>
  <c r="M26" i="2"/>
  <c r="N26" i="2"/>
  <c r="Q26" i="2"/>
  <c r="R26" i="2"/>
  <c r="S26" i="2"/>
  <c r="D28" i="2"/>
  <c r="E28" i="2"/>
  <c r="F28" i="2"/>
  <c r="G28" i="2"/>
  <c r="H28" i="2"/>
  <c r="I28" i="2"/>
  <c r="J28" i="2"/>
  <c r="K28" i="2"/>
  <c r="L28" i="2"/>
  <c r="M28" i="2"/>
  <c r="N28" i="2"/>
  <c r="Q28" i="2"/>
  <c r="R28" i="2"/>
  <c r="S28" i="2"/>
  <c r="I30" i="2"/>
  <c r="L30" i="2"/>
  <c r="M30" i="2"/>
  <c r="N30" i="2"/>
  <c r="Q30" i="2"/>
  <c r="R30" i="2"/>
  <c r="S30" i="2"/>
  <c r="D31" i="2"/>
  <c r="I31" i="2"/>
  <c r="L31" i="2"/>
  <c r="M31" i="2"/>
  <c r="N31" i="2"/>
  <c r="Q31" i="2"/>
  <c r="R31" i="2"/>
  <c r="S31" i="2"/>
  <c r="I32" i="2"/>
  <c r="L32" i="2"/>
  <c r="M32" i="2"/>
  <c r="N32" i="2"/>
  <c r="Q32" i="2"/>
  <c r="R32" i="2"/>
  <c r="S32" i="2"/>
  <c r="D34" i="2"/>
  <c r="E34" i="2"/>
  <c r="F34" i="2"/>
  <c r="G34" i="2"/>
  <c r="H34" i="2"/>
  <c r="I34" i="2"/>
  <c r="J34" i="2"/>
  <c r="K34" i="2"/>
  <c r="L34" i="2"/>
  <c r="M34" i="2"/>
  <c r="N34" i="2"/>
  <c r="Q34" i="2"/>
  <c r="R34" i="2"/>
  <c r="S34" i="2"/>
  <c r="I36" i="2"/>
  <c r="L36" i="2"/>
  <c r="M36" i="2"/>
  <c r="N36" i="2"/>
  <c r="Q36" i="2"/>
  <c r="R36" i="2"/>
  <c r="S36" i="2"/>
  <c r="I37" i="2"/>
  <c r="L37" i="2"/>
  <c r="M37" i="2"/>
  <c r="N37" i="2"/>
  <c r="Q37" i="2"/>
  <c r="R37" i="2"/>
  <c r="S37" i="2"/>
  <c r="E38" i="2"/>
  <c r="F38" i="2"/>
  <c r="I38" i="2"/>
  <c r="J38" i="2"/>
  <c r="L38" i="2"/>
  <c r="M38" i="2"/>
  <c r="N38" i="2"/>
  <c r="Q38" i="2"/>
  <c r="R38" i="2"/>
  <c r="S38" i="2"/>
  <c r="I39" i="2"/>
  <c r="L39" i="2"/>
  <c r="M39" i="2"/>
  <c r="N39" i="2"/>
  <c r="Q39" i="2"/>
  <c r="R39" i="2"/>
  <c r="S39" i="2"/>
  <c r="D40" i="2"/>
  <c r="E40" i="2"/>
  <c r="F40" i="2"/>
  <c r="G40" i="2"/>
  <c r="H40" i="2"/>
  <c r="I40" i="2"/>
  <c r="K40" i="2"/>
  <c r="L40" i="2"/>
  <c r="M40" i="2"/>
  <c r="N40" i="2"/>
  <c r="D42" i="2"/>
  <c r="E42" i="2"/>
  <c r="F42" i="2"/>
  <c r="G42" i="2"/>
  <c r="H42" i="2"/>
  <c r="I42" i="2"/>
  <c r="J42" i="2"/>
  <c r="K42" i="2"/>
  <c r="L42" i="2"/>
  <c r="M42" i="2"/>
  <c r="N42" i="2"/>
  <c r="Q42" i="2"/>
  <c r="R42" i="2"/>
  <c r="S42" i="2"/>
  <c r="I44" i="2"/>
  <c r="L44" i="2"/>
  <c r="M44" i="2"/>
  <c r="N44" i="2"/>
  <c r="Q44" i="2"/>
  <c r="R44" i="2"/>
  <c r="S44" i="2"/>
  <c r="I46" i="2"/>
  <c r="L46" i="2"/>
  <c r="N46" i="2"/>
  <c r="I48" i="2"/>
  <c r="L48" i="2"/>
  <c r="M48" i="2"/>
  <c r="N48" i="2"/>
  <c r="I50" i="2"/>
  <c r="L50" i="2"/>
  <c r="N50" i="2"/>
  <c r="D52" i="2"/>
  <c r="E52" i="2"/>
  <c r="F52" i="2"/>
  <c r="G52" i="2"/>
  <c r="H52" i="2"/>
  <c r="I52" i="2"/>
  <c r="J52" i="2"/>
  <c r="K52" i="2"/>
  <c r="L52" i="2"/>
  <c r="M52" i="2"/>
  <c r="N52" i="2"/>
  <c r="D55" i="2"/>
  <c r="D60" i="2"/>
  <c r="D61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9" i="8"/>
  <c r="E39" i="8"/>
  <c r="F39" i="8"/>
  <c r="H39" i="8"/>
  <c r="I39" i="8"/>
  <c r="J39" i="8"/>
  <c r="L39" i="8"/>
  <c r="M39" i="8"/>
  <c r="N39" i="8"/>
  <c r="F40" i="8"/>
  <c r="J40" i="8"/>
  <c r="N40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E45" i="8"/>
  <c r="F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L3" i="16"/>
  <c r="D16" i="16"/>
  <c r="E16" i="16"/>
  <c r="G16" i="16"/>
  <c r="H16" i="16"/>
  <c r="J16" i="16"/>
  <c r="K16" i="16"/>
  <c r="L16" i="16"/>
  <c r="M16" i="16"/>
  <c r="N16" i="16"/>
  <c r="O16" i="16"/>
  <c r="P16" i="16"/>
  <c r="Q16" i="16"/>
  <c r="D27" i="16"/>
  <c r="E27" i="16"/>
  <c r="G27" i="16"/>
  <c r="H27" i="16"/>
  <c r="J27" i="16"/>
  <c r="K27" i="16"/>
  <c r="L27" i="16"/>
  <c r="M27" i="16"/>
  <c r="N27" i="16"/>
  <c r="O27" i="16"/>
  <c r="P27" i="16"/>
  <c r="Q2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D49" i="16"/>
  <c r="E49" i="16"/>
  <c r="G49" i="16"/>
  <c r="H49" i="16"/>
  <c r="J49" i="16"/>
  <c r="K49" i="16"/>
  <c r="L49" i="16"/>
  <c r="M49" i="16"/>
  <c r="N49" i="16"/>
  <c r="O49" i="16"/>
  <c r="P49" i="16"/>
  <c r="Q49" i="16"/>
  <c r="D60" i="16"/>
  <c r="E60" i="16"/>
  <c r="G60" i="16"/>
  <c r="H60" i="16"/>
  <c r="J60" i="16"/>
  <c r="K60" i="16"/>
  <c r="L60" i="16"/>
  <c r="M60" i="16"/>
  <c r="N60" i="16"/>
  <c r="O60" i="16"/>
  <c r="P60" i="16"/>
  <c r="Q60" i="16"/>
  <c r="D71" i="16"/>
  <c r="E71" i="16"/>
  <c r="G71" i="16"/>
  <c r="H71" i="16"/>
  <c r="J71" i="16"/>
  <c r="K71" i="16"/>
  <c r="L71" i="16"/>
  <c r="M71" i="16"/>
  <c r="N71" i="16"/>
  <c r="O71" i="16"/>
  <c r="P71" i="16"/>
  <c r="Q71" i="16"/>
  <c r="D78" i="16"/>
  <c r="E78" i="16"/>
  <c r="G78" i="16"/>
  <c r="H78" i="16"/>
  <c r="J78" i="16"/>
  <c r="K78" i="16"/>
  <c r="L78" i="16"/>
  <c r="M78" i="16"/>
  <c r="N78" i="16"/>
  <c r="O78" i="16"/>
  <c r="P78" i="16"/>
  <c r="Q78" i="16"/>
  <c r="D89" i="16"/>
  <c r="E89" i="16"/>
  <c r="G89" i="16"/>
  <c r="H89" i="16"/>
  <c r="J89" i="16"/>
  <c r="K89" i="16"/>
  <c r="L89" i="16"/>
  <c r="M89" i="16"/>
  <c r="N89" i="16"/>
  <c r="O89" i="16"/>
  <c r="P89" i="16"/>
  <c r="Q89" i="16"/>
  <c r="D100" i="16"/>
  <c r="E100" i="16"/>
  <c r="G100" i="16"/>
  <c r="H100" i="16"/>
  <c r="J100" i="16"/>
  <c r="K100" i="16"/>
  <c r="L100" i="16"/>
  <c r="M100" i="16"/>
  <c r="N100" i="16"/>
  <c r="O100" i="16"/>
  <c r="P100" i="16"/>
  <c r="Q100" i="16"/>
  <c r="D111" i="16"/>
  <c r="E111" i="16"/>
  <c r="G111" i="16"/>
  <c r="H111" i="16"/>
  <c r="J111" i="16"/>
  <c r="K111" i="16"/>
  <c r="L111" i="16"/>
  <c r="M111" i="16"/>
  <c r="N111" i="16"/>
  <c r="O111" i="16"/>
  <c r="P111" i="16"/>
  <c r="Q111" i="16"/>
  <c r="D122" i="16"/>
  <c r="E122" i="16"/>
  <c r="G122" i="16"/>
  <c r="H122" i="16"/>
  <c r="J122" i="16"/>
  <c r="K122" i="16"/>
  <c r="M122" i="16"/>
  <c r="N122" i="16"/>
  <c r="O122" i="16"/>
  <c r="P122" i="16"/>
  <c r="Q122" i="16"/>
  <c r="D133" i="16"/>
  <c r="E133" i="16"/>
  <c r="G133" i="16"/>
  <c r="H133" i="16"/>
  <c r="J133" i="16"/>
  <c r="K133" i="16"/>
  <c r="M133" i="16"/>
  <c r="N133" i="16"/>
  <c r="O133" i="16"/>
  <c r="P133" i="16"/>
  <c r="Q133" i="16"/>
  <c r="D144" i="16"/>
  <c r="E144" i="16"/>
  <c r="G144" i="16"/>
  <c r="H144" i="16"/>
  <c r="J144" i="16"/>
  <c r="K144" i="16"/>
  <c r="L144" i="16"/>
  <c r="M144" i="16"/>
  <c r="N144" i="16"/>
  <c r="O144" i="16"/>
  <c r="P144" i="16"/>
  <c r="Q144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K10" i="1"/>
  <c r="L10" i="1"/>
  <c r="M10" i="1"/>
  <c r="N10" i="1"/>
  <c r="O10" i="1"/>
  <c r="Q10" i="1"/>
  <c r="R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C29" i="1"/>
  <c r="D29" i="1"/>
  <c r="E29" i="1"/>
  <c r="G29" i="1"/>
  <c r="H29" i="1"/>
  <c r="I29" i="1"/>
  <c r="J29" i="1"/>
  <c r="L29" i="1"/>
  <c r="M29" i="1"/>
  <c r="N29" i="1"/>
  <c r="O29" i="1"/>
  <c r="Q29" i="1"/>
  <c r="S29" i="1"/>
  <c r="T29" i="1"/>
  <c r="U29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9" i="1"/>
  <c r="E39" i="1"/>
  <c r="G39" i="1"/>
  <c r="I39" i="1"/>
  <c r="J39" i="1"/>
  <c r="O39" i="1"/>
  <c r="Q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D45" i="1"/>
  <c r="E45" i="1"/>
  <c r="M45" i="1"/>
  <c r="N45" i="1"/>
  <c r="O45" i="1"/>
  <c r="T45" i="1"/>
  <c r="U45" i="1"/>
  <c r="V45" i="1"/>
  <c r="C47" i="1"/>
  <c r="D47" i="1"/>
  <c r="E47" i="1"/>
  <c r="G47" i="1"/>
  <c r="H47" i="1"/>
  <c r="I47" i="1"/>
  <c r="J47" i="1"/>
  <c r="M47" i="1"/>
  <c r="O47" i="1"/>
  <c r="Q47" i="1"/>
  <c r="T47" i="1"/>
  <c r="V47" i="1"/>
  <c r="D49" i="1"/>
  <c r="E49" i="1"/>
  <c r="J49" i="1"/>
  <c r="L49" i="1"/>
  <c r="O49" i="1"/>
  <c r="S49" i="1"/>
  <c r="V49" i="1"/>
  <c r="V50" i="1"/>
  <c r="C51" i="1"/>
  <c r="D51" i="1"/>
  <c r="E51" i="1"/>
  <c r="G51" i="1"/>
  <c r="H51" i="1"/>
  <c r="I51" i="1"/>
  <c r="J51" i="1"/>
  <c r="K51" i="1"/>
  <c r="L51" i="1"/>
  <c r="M51" i="1"/>
  <c r="N51" i="1"/>
  <c r="O51" i="1"/>
  <c r="Q51" i="1"/>
  <c r="R51" i="1"/>
  <c r="S51" i="1"/>
  <c r="T51" i="1"/>
  <c r="U51" i="1"/>
  <c r="V51" i="1"/>
  <c r="E53" i="1"/>
  <c r="O53" i="1"/>
  <c r="T53" i="1"/>
  <c r="V53" i="1"/>
  <c r="C55" i="1"/>
  <c r="D55" i="1"/>
  <c r="E55" i="1"/>
  <c r="G55" i="1"/>
  <c r="H55" i="1"/>
  <c r="I55" i="1"/>
  <c r="J55" i="1"/>
  <c r="K55" i="1"/>
  <c r="L55" i="1"/>
  <c r="M55" i="1"/>
  <c r="N55" i="1"/>
  <c r="O55" i="1"/>
  <c r="Q55" i="1"/>
  <c r="R55" i="1"/>
  <c r="S55" i="1"/>
  <c r="T55" i="1"/>
  <c r="U55" i="1"/>
  <c r="V55" i="1"/>
  <c r="G57" i="1"/>
  <c r="C8" i="17"/>
  <c r="E8" i="17"/>
  <c r="G8" i="17"/>
  <c r="H8" i="17"/>
  <c r="I8" i="17"/>
  <c r="K8" i="17"/>
  <c r="L8" i="17"/>
  <c r="M8" i="17"/>
  <c r="C9" i="17"/>
  <c r="D9" i="17"/>
  <c r="E9" i="17"/>
  <c r="G9" i="17"/>
  <c r="H9" i="17"/>
  <c r="I9" i="17"/>
  <c r="K9" i="17"/>
  <c r="L9" i="17"/>
  <c r="M9" i="17"/>
  <c r="E10" i="17"/>
  <c r="I10" i="17"/>
  <c r="K10" i="17"/>
  <c r="L10" i="17"/>
  <c r="M10" i="17"/>
  <c r="E11" i="17"/>
  <c r="I11" i="17"/>
  <c r="K11" i="17"/>
  <c r="L11" i="17"/>
  <c r="M11" i="17"/>
  <c r="E12" i="17"/>
  <c r="I12" i="17"/>
  <c r="K12" i="17"/>
  <c r="L12" i="17"/>
  <c r="M12" i="17"/>
  <c r="E13" i="17"/>
  <c r="I13" i="17"/>
  <c r="K13" i="17"/>
  <c r="L13" i="17"/>
  <c r="M13" i="17"/>
  <c r="E14" i="17"/>
  <c r="I14" i="17"/>
  <c r="K14" i="17"/>
  <c r="L14" i="17"/>
  <c r="M14" i="17"/>
  <c r="E15" i="17"/>
  <c r="I15" i="17"/>
  <c r="K15" i="17"/>
  <c r="L15" i="17"/>
  <c r="M15" i="17"/>
  <c r="E16" i="17"/>
  <c r="I16" i="17"/>
  <c r="K16" i="17"/>
  <c r="L16" i="17"/>
  <c r="M16" i="17"/>
  <c r="C17" i="17"/>
  <c r="D17" i="17"/>
  <c r="E17" i="17"/>
  <c r="G17" i="17"/>
  <c r="H17" i="17"/>
  <c r="I17" i="17"/>
  <c r="M17" i="17"/>
  <c r="E19" i="17"/>
  <c r="I19" i="17"/>
  <c r="K19" i="17"/>
  <c r="L19" i="17"/>
  <c r="M19" i="17"/>
  <c r="E20" i="17"/>
  <c r="I20" i="17"/>
  <c r="K20" i="17"/>
  <c r="L20" i="17"/>
  <c r="M20" i="17"/>
  <c r="E21" i="17"/>
  <c r="G21" i="17"/>
  <c r="H21" i="17"/>
  <c r="I21" i="17"/>
  <c r="K21" i="17"/>
  <c r="L21" i="17"/>
  <c r="M21" i="17"/>
  <c r="E22" i="17"/>
  <c r="I22" i="17"/>
  <c r="K22" i="17"/>
  <c r="L22" i="17"/>
  <c r="M22" i="17"/>
  <c r="E23" i="17"/>
  <c r="I23" i="17"/>
  <c r="K23" i="17"/>
  <c r="L23" i="17"/>
  <c r="M23" i="17"/>
  <c r="C24" i="17"/>
  <c r="D24" i="17"/>
  <c r="E24" i="17"/>
  <c r="G24" i="17"/>
  <c r="H24" i="17"/>
  <c r="I24" i="17"/>
  <c r="M24" i="17"/>
  <c r="E26" i="17"/>
  <c r="I26" i="17"/>
  <c r="K26" i="17"/>
  <c r="L26" i="17"/>
  <c r="M26" i="17"/>
  <c r="E27" i="17"/>
  <c r="I27" i="17"/>
  <c r="K27" i="17"/>
  <c r="L27" i="17"/>
  <c r="M27" i="17"/>
  <c r="E28" i="17"/>
  <c r="I28" i="17"/>
  <c r="K28" i="17"/>
  <c r="L28" i="17"/>
  <c r="M28" i="17"/>
  <c r="C29" i="17"/>
  <c r="D29" i="17"/>
  <c r="E29" i="17"/>
  <c r="G29" i="17"/>
  <c r="H29" i="17"/>
  <c r="I29" i="17"/>
  <c r="M29" i="17"/>
  <c r="E31" i="17"/>
  <c r="I31" i="17"/>
  <c r="K31" i="17"/>
  <c r="L31" i="17"/>
  <c r="M31" i="17"/>
  <c r="E32" i="17"/>
  <c r="I32" i="17"/>
  <c r="K32" i="17"/>
  <c r="L32" i="17"/>
  <c r="M32" i="17"/>
  <c r="C33" i="17"/>
  <c r="E33" i="17"/>
  <c r="G33" i="17"/>
  <c r="H33" i="17"/>
  <c r="I33" i="17"/>
  <c r="K33" i="17"/>
  <c r="L33" i="17"/>
  <c r="M33" i="17"/>
  <c r="C34" i="17"/>
  <c r="D34" i="17"/>
  <c r="E34" i="17"/>
  <c r="G34" i="17"/>
  <c r="H34" i="17"/>
  <c r="I34" i="17"/>
  <c r="M34" i="17"/>
  <c r="E36" i="17"/>
  <c r="I36" i="17"/>
  <c r="K36" i="17"/>
  <c r="L36" i="17"/>
  <c r="M36" i="17"/>
  <c r="E37" i="17"/>
  <c r="I37" i="17"/>
  <c r="K37" i="17"/>
  <c r="L37" i="17"/>
  <c r="M37" i="17"/>
  <c r="E38" i="17"/>
  <c r="I38" i="17"/>
  <c r="K38" i="17"/>
  <c r="L38" i="17"/>
  <c r="M38" i="17"/>
  <c r="C39" i="17"/>
  <c r="D39" i="17"/>
  <c r="E39" i="17"/>
  <c r="G39" i="17"/>
  <c r="H39" i="17"/>
  <c r="I39" i="17"/>
  <c r="M39" i="17"/>
  <c r="E41" i="17"/>
  <c r="I41" i="17"/>
  <c r="K41" i="17"/>
  <c r="L41" i="17"/>
  <c r="M41" i="17"/>
  <c r="E42" i="17"/>
  <c r="I42" i="17"/>
  <c r="K42" i="17"/>
  <c r="L42" i="17"/>
  <c r="M42" i="17"/>
  <c r="E43" i="17"/>
  <c r="I43" i="17"/>
  <c r="K43" i="17"/>
  <c r="L43" i="17"/>
  <c r="M43" i="17"/>
  <c r="C44" i="17"/>
  <c r="D44" i="17"/>
  <c r="E44" i="17"/>
  <c r="I44" i="17"/>
  <c r="K44" i="17"/>
  <c r="L44" i="17"/>
  <c r="M44" i="17"/>
  <c r="C45" i="17"/>
  <c r="D45" i="17"/>
  <c r="E45" i="17"/>
  <c r="G45" i="17"/>
  <c r="H45" i="17"/>
  <c r="I45" i="17"/>
  <c r="M45" i="17"/>
  <c r="E46" i="17"/>
  <c r="I46" i="17"/>
  <c r="K46" i="17"/>
  <c r="L46" i="17"/>
  <c r="M46" i="17"/>
  <c r="C47" i="17"/>
  <c r="D47" i="17"/>
  <c r="E47" i="17"/>
  <c r="G47" i="17"/>
  <c r="H47" i="17"/>
  <c r="I47" i="17"/>
  <c r="M47" i="17"/>
  <c r="M3" i="13"/>
  <c r="C8" i="13"/>
  <c r="D8" i="13"/>
  <c r="E8" i="13"/>
  <c r="G8" i="13"/>
  <c r="H8" i="13"/>
  <c r="I8" i="13"/>
  <c r="K8" i="13"/>
  <c r="L8" i="13"/>
  <c r="M8" i="13"/>
  <c r="C9" i="13"/>
  <c r="D9" i="13"/>
  <c r="E9" i="13"/>
  <c r="G9" i="13"/>
  <c r="H9" i="13"/>
  <c r="I9" i="13"/>
  <c r="K9" i="13"/>
  <c r="L9" i="13"/>
  <c r="M9" i="13"/>
  <c r="C10" i="13"/>
  <c r="D10" i="13"/>
  <c r="E10" i="13"/>
  <c r="G10" i="13"/>
  <c r="H10" i="13"/>
  <c r="I10" i="13"/>
  <c r="K10" i="13"/>
  <c r="L10" i="13"/>
  <c r="M10" i="13"/>
  <c r="C11" i="13"/>
  <c r="D11" i="13"/>
  <c r="E11" i="13"/>
  <c r="G11" i="13"/>
  <c r="H11" i="13"/>
  <c r="I11" i="13"/>
  <c r="K11" i="13"/>
  <c r="L11" i="13"/>
  <c r="M11" i="13"/>
  <c r="C12" i="13"/>
  <c r="D12" i="13"/>
  <c r="E12" i="13"/>
  <c r="G12" i="13"/>
  <c r="H12" i="13"/>
  <c r="I12" i="13"/>
  <c r="K12" i="13"/>
  <c r="L12" i="13"/>
  <c r="M12" i="13"/>
  <c r="C13" i="13"/>
  <c r="D13" i="13"/>
  <c r="E13" i="13"/>
  <c r="G13" i="13"/>
  <c r="H13" i="13"/>
  <c r="I13" i="13"/>
  <c r="K13" i="13"/>
  <c r="L13" i="13"/>
  <c r="M13" i="13"/>
  <c r="C14" i="13"/>
  <c r="D14" i="13"/>
  <c r="E14" i="13"/>
  <c r="G14" i="13"/>
  <c r="H14" i="13"/>
  <c r="I14" i="13"/>
  <c r="K14" i="13"/>
  <c r="L14" i="13"/>
  <c r="M14" i="13"/>
  <c r="C15" i="13"/>
  <c r="D15" i="13"/>
  <c r="E15" i="13"/>
  <c r="G15" i="13"/>
  <c r="H15" i="13"/>
  <c r="I15" i="13"/>
  <c r="K15" i="13"/>
  <c r="L15" i="13"/>
  <c r="M15" i="13"/>
  <c r="C16" i="13"/>
  <c r="D16" i="13"/>
  <c r="E16" i="13"/>
  <c r="G16" i="13"/>
  <c r="H16" i="13"/>
  <c r="I16" i="13"/>
  <c r="K16" i="13"/>
  <c r="L16" i="13"/>
  <c r="M16" i="13"/>
  <c r="C17" i="13"/>
  <c r="D17" i="13"/>
  <c r="E17" i="13"/>
  <c r="F17" i="13"/>
  <c r="G17" i="13"/>
  <c r="H17" i="13"/>
  <c r="I17" i="13"/>
  <c r="K17" i="13"/>
  <c r="L17" i="13"/>
  <c r="M17" i="13"/>
  <c r="C19" i="13"/>
  <c r="D19" i="13"/>
  <c r="E19" i="13"/>
  <c r="G19" i="13"/>
  <c r="H19" i="13"/>
  <c r="I19" i="13"/>
  <c r="K19" i="13"/>
  <c r="L19" i="13"/>
  <c r="M19" i="13"/>
  <c r="C20" i="13"/>
  <c r="D20" i="13"/>
  <c r="E20" i="13"/>
  <c r="G20" i="13"/>
  <c r="H20" i="13"/>
  <c r="I20" i="13"/>
  <c r="K20" i="13"/>
  <c r="L20" i="13"/>
  <c r="M20" i="13"/>
  <c r="C21" i="13"/>
  <c r="D21" i="13"/>
  <c r="E21" i="13"/>
  <c r="G21" i="13"/>
  <c r="H21" i="13"/>
  <c r="I21" i="13"/>
  <c r="K21" i="13"/>
  <c r="L21" i="13"/>
  <c r="M21" i="13"/>
  <c r="C22" i="13"/>
  <c r="D22" i="13"/>
  <c r="E22" i="13"/>
  <c r="G22" i="13"/>
  <c r="H22" i="13"/>
  <c r="I22" i="13"/>
  <c r="K22" i="13"/>
  <c r="L22" i="13"/>
  <c r="M22" i="13"/>
  <c r="C23" i="13"/>
  <c r="D23" i="13"/>
  <c r="E23" i="13"/>
  <c r="G23" i="13"/>
  <c r="H23" i="13"/>
  <c r="I23" i="13"/>
  <c r="K23" i="13"/>
  <c r="L23" i="13"/>
  <c r="M23" i="13"/>
  <c r="C24" i="13"/>
  <c r="D24" i="13"/>
  <c r="E24" i="13"/>
  <c r="F24" i="13"/>
  <c r="G24" i="13"/>
  <c r="H24" i="13"/>
  <c r="I24" i="13"/>
  <c r="K24" i="13"/>
  <c r="L24" i="13"/>
  <c r="M24" i="13"/>
  <c r="C26" i="13"/>
  <c r="D26" i="13"/>
  <c r="E26" i="13"/>
  <c r="G26" i="13"/>
  <c r="H26" i="13"/>
  <c r="I26" i="13"/>
  <c r="K26" i="13"/>
  <c r="L26" i="13"/>
  <c r="M26" i="13"/>
  <c r="C27" i="13"/>
  <c r="D27" i="13"/>
  <c r="E27" i="13"/>
  <c r="G27" i="13"/>
  <c r="H27" i="13"/>
  <c r="I27" i="13"/>
  <c r="K27" i="13"/>
  <c r="L27" i="13"/>
  <c r="M27" i="13"/>
  <c r="C28" i="13"/>
  <c r="D28" i="13"/>
  <c r="E28" i="13"/>
  <c r="G28" i="13"/>
  <c r="H28" i="13"/>
  <c r="I28" i="13"/>
  <c r="K28" i="13"/>
  <c r="L28" i="13"/>
  <c r="M28" i="13"/>
  <c r="C29" i="13"/>
  <c r="D29" i="13"/>
  <c r="E29" i="13"/>
  <c r="G29" i="13"/>
  <c r="H29" i="13"/>
  <c r="I29" i="13"/>
  <c r="K29" i="13"/>
  <c r="L29" i="13"/>
  <c r="M29" i="13"/>
  <c r="C31" i="13"/>
  <c r="D31" i="13"/>
  <c r="E31" i="13"/>
  <c r="G31" i="13"/>
  <c r="H31" i="13"/>
  <c r="I31" i="13"/>
  <c r="K31" i="13"/>
  <c r="L31" i="13"/>
  <c r="M31" i="13"/>
  <c r="C32" i="13"/>
  <c r="D32" i="13"/>
  <c r="E32" i="13"/>
  <c r="G32" i="13"/>
  <c r="H32" i="13"/>
  <c r="I32" i="13"/>
  <c r="K32" i="13"/>
  <c r="L32" i="13"/>
  <c r="M32" i="13"/>
  <c r="C33" i="13"/>
  <c r="D33" i="13"/>
  <c r="E33" i="13"/>
  <c r="G33" i="13"/>
  <c r="H33" i="13"/>
  <c r="I33" i="13"/>
  <c r="K33" i="13"/>
  <c r="L33" i="13"/>
  <c r="M33" i="13"/>
  <c r="C34" i="13"/>
  <c r="D34" i="13"/>
  <c r="E34" i="13"/>
  <c r="G34" i="13"/>
  <c r="H34" i="13"/>
  <c r="I34" i="13"/>
  <c r="K34" i="13"/>
  <c r="L34" i="13"/>
  <c r="M34" i="13"/>
  <c r="C36" i="13"/>
  <c r="D36" i="13"/>
  <c r="E36" i="13"/>
  <c r="G36" i="13"/>
  <c r="H36" i="13"/>
  <c r="I36" i="13"/>
  <c r="K36" i="13"/>
  <c r="L36" i="13"/>
  <c r="M36" i="13"/>
  <c r="C37" i="13"/>
  <c r="D37" i="13"/>
  <c r="E37" i="13"/>
  <c r="G37" i="13"/>
  <c r="H37" i="13"/>
  <c r="I37" i="13"/>
  <c r="K37" i="13"/>
  <c r="L37" i="13"/>
  <c r="M37" i="13"/>
  <c r="C38" i="13"/>
  <c r="D38" i="13"/>
  <c r="E38" i="13"/>
  <c r="G38" i="13"/>
  <c r="H38" i="13"/>
  <c r="I38" i="13"/>
  <c r="K38" i="13"/>
  <c r="L38" i="13"/>
  <c r="M38" i="13"/>
  <c r="C39" i="13"/>
  <c r="D39" i="13"/>
  <c r="E39" i="13"/>
  <c r="G39" i="13"/>
  <c r="H39" i="13"/>
  <c r="I39" i="13"/>
  <c r="K39" i="13"/>
  <c r="L39" i="13"/>
  <c r="M39" i="13"/>
  <c r="E41" i="13"/>
  <c r="I41" i="13"/>
  <c r="K41" i="13"/>
  <c r="L41" i="13"/>
  <c r="M41" i="13"/>
  <c r="E42" i="13"/>
  <c r="G42" i="13"/>
  <c r="H42" i="13"/>
  <c r="I42" i="13"/>
  <c r="K42" i="13"/>
  <c r="L42" i="13"/>
  <c r="M42" i="13"/>
  <c r="C43" i="13"/>
  <c r="D43" i="13"/>
  <c r="E43" i="13"/>
  <c r="G43" i="13"/>
  <c r="H43" i="13"/>
  <c r="I43" i="13"/>
  <c r="K43" i="13"/>
  <c r="L43" i="13"/>
  <c r="M43" i="13"/>
  <c r="E44" i="13"/>
  <c r="G44" i="13"/>
  <c r="H44" i="13"/>
  <c r="I44" i="13"/>
  <c r="K44" i="13"/>
  <c r="L44" i="13"/>
  <c r="M44" i="13"/>
  <c r="C45" i="13"/>
  <c r="D45" i="13"/>
  <c r="E45" i="13"/>
  <c r="G45" i="13"/>
  <c r="H45" i="13"/>
  <c r="I45" i="13"/>
  <c r="K45" i="13"/>
  <c r="L45" i="13"/>
  <c r="M45" i="13"/>
  <c r="E46" i="13"/>
  <c r="G46" i="13"/>
  <c r="H46" i="13"/>
  <c r="I46" i="13"/>
  <c r="K46" i="13"/>
  <c r="L46" i="13"/>
  <c r="M46" i="13"/>
  <c r="C47" i="13"/>
  <c r="D47" i="13"/>
  <c r="E47" i="13"/>
  <c r="G47" i="13"/>
  <c r="H47" i="13"/>
  <c r="I47" i="13"/>
  <c r="K47" i="13"/>
  <c r="L47" i="13"/>
  <c r="M47" i="13"/>
  <c r="C52" i="13"/>
  <c r="C53" i="13"/>
  <c r="C54" i="13"/>
  <c r="C55" i="13"/>
  <c r="C56" i="13"/>
  <c r="C57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M3" i="18"/>
  <c r="C8" i="18"/>
  <c r="D8" i="18"/>
  <c r="E8" i="18"/>
  <c r="G8" i="18"/>
  <c r="H8" i="18"/>
  <c r="I8" i="18"/>
  <c r="K8" i="18"/>
  <c r="L8" i="18"/>
  <c r="M8" i="18"/>
  <c r="C9" i="18"/>
  <c r="D9" i="18"/>
  <c r="E9" i="18"/>
  <c r="G9" i="18"/>
  <c r="H9" i="18"/>
  <c r="I9" i="18"/>
  <c r="K9" i="18"/>
  <c r="L9" i="18"/>
  <c r="M9" i="18"/>
  <c r="C10" i="18"/>
  <c r="D10" i="18"/>
  <c r="E10" i="18"/>
  <c r="G10" i="18"/>
  <c r="H10" i="18"/>
  <c r="I10" i="18"/>
  <c r="K10" i="18"/>
  <c r="L10" i="18"/>
  <c r="M10" i="18"/>
  <c r="C11" i="18"/>
  <c r="D11" i="18"/>
  <c r="E11" i="18"/>
  <c r="G11" i="18"/>
  <c r="H11" i="18"/>
  <c r="I11" i="18"/>
  <c r="K11" i="18"/>
  <c r="L11" i="18"/>
  <c r="M11" i="18"/>
  <c r="C12" i="18"/>
  <c r="D12" i="18"/>
  <c r="E12" i="18"/>
  <c r="G12" i="18"/>
  <c r="H12" i="18"/>
  <c r="I12" i="18"/>
  <c r="K12" i="18"/>
  <c r="L12" i="18"/>
  <c r="M12" i="18"/>
  <c r="C13" i="18"/>
  <c r="D13" i="18"/>
  <c r="E13" i="18"/>
  <c r="G13" i="18"/>
  <c r="H13" i="18"/>
  <c r="I13" i="18"/>
  <c r="K13" i="18"/>
  <c r="L13" i="18"/>
  <c r="M13" i="18"/>
  <c r="C14" i="18"/>
  <c r="D14" i="18"/>
  <c r="E14" i="18"/>
  <c r="G14" i="18"/>
  <c r="H14" i="18"/>
  <c r="I14" i="18"/>
  <c r="K14" i="18"/>
  <c r="L14" i="18"/>
  <c r="M14" i="18"/>
  <c r="C15" i="18"/>
  <c r="D15" i="18"/>
  <c r="E15" i="18"/>
  <c r="G15" i="18"/>
  <c r="H15" i="18"/>
  <c r="I15" i="18"/>
  <c r="K15" i="18"/>
  <c r="L15" i="18"/>
  <c r="M15" i="18"/>
  <c r="C16" i="18"/>
  <c r="D16" i="18"/>
  <c r="E16" i="18"/>
  <c r="G16" i="18"/>
  <c r="H16" i="18"/>
  <c r="I16" i="18"/>
  <c r="K16" i="18"/>
  <c r="L16" i="18"/>
  <c r="M16" i="18"/>
  <c r="C17" i="18"/>
  <c r="D17" i="18"/>
  <c r="E17" i="18"/>
  <c r="G17" i="18"/>
  <c r="H17" i="18"/>
  <c r="I17" i="18"/>
  <c r="M17" i="18"/>
  <c r="C19" i="18"/>
  <c r="D19" i="18"/>
  <c r="E19" i="18"/>
  <c r="G19" i="18"/>
  <c r="H19" i="18"/>
  <c r="I19" i="18"/>
  <c r="K19" i="18"/>
  <c r="L19" i="18"/>
  <c r="M19" i="18"/>
  <c r="C20" i="18"/>
  <c r="D20" i="18"/>
  <c r="E20" i="18"/>
  <c r="G20" i="18"/>
  <c r="H20" i="18"/>
  <c r="I20" i="18"/>
  <c r="K20" i="18"/>
  <c r="L20" i="18"/>
  <c r="M20" i="18"/>
  <c r="C21" i="18"/>
  <c r="D21" i="18"/>
  <c r="E21" i="18"/>
  <c r="G21" i="18"/>
  <c r="H21" i="18"/>
  <c r="I21" i="18"/>
  <c r="K21" i="18"/>
  <c r="L21" i="18"/>
  <c r="M21" i="18"/>
  <c r="C22" i="18"/>
  <c r="D22" i="18"/>
  <c r="E22" i="18"/>
  <c r="G22" i="18"/>
  <c r="H22" i="18"/>
  <c r="I22" i="18"/>
  <c r="K22" i="18"/>
  <c r="L22" i="18"/>
  <c r="M22" i="18"/>
  <c r="C23" i="18"/>
  <c r="D23" i="18"/>
  <c r="E23" i="18"/>
  <c r="G23" i="18"/>
  <c r="H23" i="18"/>
  <c r="I23" i="18"/>
  <c r="K23" i="18"/>
  <c r="L23" i="18"/>
  <c r="M23" i="18"/>
  <c r="C24" i="18"/>
  <c r="D24" i="18"/>
  <c r="E24" i="18"/>
  <c r="G24" i="18"/>
  <c r="H24" i="18"/>
  <c r="I24" i="18"/>
  <c r="M24" i="18"/>
  <c r="C26" i="18"/>
  <c r="D26" i="18"/>
  <c r="E26" i="18"/>
  <c r="G26" i="18"/>
  <c r="H26" i="18"/>
  <c r="I26" i="18"/>
  <c r="K26" i="18"/>
  <c r="L26" i="18"/>
  <c r="M26" i="18"/>
  <c r="C27" i="18"/>
  <c r="D27" i="18"/>
  <c r="E27" i="18"/>
  <c r="G27" i="18"/>
  <c r="H27" i="18"/>
  <c r="I27" i="18"/>
  <c r="K27" i="18"/>
  <c r="L27" i="18"/>
  <c r="M27" i="18"/>
  <c r="C28" i="18"/>
  <c r="D28" i="18"/>
  <c r="E28" i="18"/>
  <c r="G28" i="18"/>
  <c r="H28" i="18"/>
  <c r="I28" i="18"/>
  <c r="K28" i="18"/>
  <c r="L28" i="18"/>
  <c r="M28" i="18"/>
  <c r="C29" i="18"/>
  <c r="D29" i="18"/>
  <c r="E29" i="18"/>
  <c r="G29" i="18"/>
  <c r="H29" i="18"/>
  <c r="I29" i="18"/>
  <c r="M29" i="18"/>
  <c r="C31" i="18"/>
  <c r="D31" i="18"/>
  <c r="E31" i="18"/>
  <c r="G31" i="18"/>
  <c r="H31" i="18"/>
  <c r="I31" i="18"/>
  <c r="K31" i="18"/>
  <c r="L31" i="18"/>
  <c r="M31" i="18"/>
  <c r="C32" i="18"/>
  <c r="D32" i="18"/>
  <c r="E32" i="18"/>
  <c r="G32" i="18"/>
  <c r="H32" i="18"/>
  <c r="I32" i="18"/>
  <c r="K32" i="18"/>
  <c r="L32" i="18"/>
  <c r="M32" i="18"/>
  <c r="C33" i="18"/>
  <c r="D33" i="18"/>
  <c r="E33" i="18"/>
  <c r="G33" i="18"/>
  <c r="H33" i="18"/>
  <c r="I33" i="18"/>
  <c r="K33" i="18"/>
  <c r="L33" i="18"/>
  <c r="M33" i="18"/>
  <c r="C34" i="18"/>
  <c r="D34" i="18"/>
  <c r="E34" i="18"/>
  <c r="G34" i="18"/>
  <c r="H34" i="18"/>
  <c r="I34" i="18"/>
  <c r="M34" i="18"/>
  <c r="C36" i="18"/>
  <c r="D36" i="18"/>
  <c r="E36" i="18"/>
  <c r="G36" i="18"/>
  <c r="H36" i="18"/>
  <c r="I36" i="18"/>
  <c r="K36" i="18"/>
  <c r="L36" i="18"/>
  <c r="M36" i="18"/>
  <c r="C37" i="18"/>
  <c r="D37" i="18"/>
  <c r="E37" i="18"/>
  <c r="G37" i="18"/>
  <c r="H37" i="18"/>
  <c r="I37" i="18"/>
  <c r="K37" i="18"/>
  <c r="L37" i="18"/>
  <c r="M37" i="18"/>
  <c r="C38" i="18"/>
  <c r="D38" i="18"/>
  <c r="E38" i="18"/>
  <c r="G38" i="18"/>
  <c r="H38" i="18"/>
  <c r="I38" i="18"/>
  <c r="K38" i="18"/>
  <c r="L38" i="18"/>
  <c r="M38" i="18"/>
  <c r="C39" i="18"/>
  <c r="D39" i="18"/>
  <c r="E39" i="18"/>
  <c r="G39" i="18"/>
  <c r="H39" i="18"/>
  <c r="I39" i="18"/>
  <c r="M39" i="18"/>
  <c r="C41" i="18"/>
  <c r="D41" i="18"/>
  <c r="E41" i="18"/>
  <c r="G41" i="18"/>
  <c r="H41" i="18"/>
  <c r="I41" i="18"/>
  <c r="K41" i="18"/>
  <c r="L41" i="18"/>
  <c r="M41" i="18"/>
  <c r="C42" i="18"/>
  <c r="D42" i="18"/>
  <c r="E42" i="18"/>
  <c r="G42" i="18"/>
  <c r="H42" i="18"/>
  <c r="I42" i="18"/>
  <c r="K42" i="18"/>
  <c r="L42" i="18"/>
  <c r="M42" i="18"/>
  <c r="C43" i="18"/>
  <c r="D43" i="18"/>
  <c r="E43" i="18"/>
  <c r="G43" i="18"/>
  <c r="H43" i="18"/>
  <c r="I43" i="18"/>
  <c r="K43" i="18"/>
  <c r="L43" i="18"/>
  <c r="M43" i="18"/>
  <c r="C44" i="18"/>
  <c r="D44" i="18"/>
  <c r="E44" i="18"/>
  <c r="G44" i="18"/>
  <c r="H44" i="18"/>
  <c r="I44" i="18"/>
  <c r="K44" i="18"/>
  <c r="L44" i="18"/>
  <c r="M44" i="18"/>
  <c r="C45" i="18"/>
  <c r="D45" i="18"/>
  <c r="E45" i="18"/>
  <c r="G45" i="18"/>
  <c r="H45" i="18"/>
  <c r="I45" i="18"/>
  <c r="M45" i="18"/>
  <c r="C46" i="18"/>
  <c r="D46" i="18"/>
  <c r="E46" i="18"/>
  <c r="G46" i="18"/>
  <c r="H46" i="18"/>
  <c r="I46" i="18"/>
  <c r="K46" i="18"/>
  <c r="L46" i="18"/>
  <c r="M46" i="18"/>
  <c r="C47" i="18"/>
  <c r="D47" i="18"/>
  <c r="E47" i="18"/>
  <c r="G47" i="18"/>
  <c r="H47" i="18"/>
  <c r="I47" i="18"/>
  <c r="M47" i="18"/>
  <c r="C52" i="18"/>
  <c r="C53" i="18"/>
  <c r="C54" i="18"/>
  <c r="C55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<sst xmlns="http://schemas.openxmlformats.org/spreadsheetml/2006/main" count="1254" uniqueCount="272">
  <si>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</si>
  <si>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</si>
  <si>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</si>
  <si>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</si>
  <si>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</si>
  <si>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</si>
  <si>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</si>
  <si>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</si>
  <si>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</si>
  <si>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</si>
  <si>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</si>
  <si>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</si>
  <si>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</si>
  <si>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</si>
  <si>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</si>
  <si>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</si>
  <si>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</si>
  <si>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</si>
  <si>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</si>
  <si>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</si>
  <si>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</si>
  <si>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</si>
  <si>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</si>
  <si>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</si>
  <si>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</si>
  <si>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</si>
  <si>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</si>
  <si>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</si>
  <si>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</si>
  <si>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</si>
  <si>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</si>
  <si>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</si>
  <si>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</si>
  <si>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</si>
  <si>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</si>
  <si>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</si>
  <si>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</si>
  <si>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</si>
  <si>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</si>
  <si>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</si>
  <si>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</si>
  <si>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</si>
  <si>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</si>
  <si>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</si>
  <si>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</si>
  <si>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</si>
  <si>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</si>
  <si>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</si>
  <si>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</si>
  <si>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</si>
  <si>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</si>
  <si>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</si>
  <si>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</si>
  <si>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</si>
  <si>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</si>
  <si>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</si>
  <si>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</si>
  <si>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</si>
  <si>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</si>
  <si>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</si>
  <si>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</si>
  <si>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</si>
  <si>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</si>
  <si>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</si>
  <si>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</si>
  <si>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</si>
  <si>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</si>
  <si>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</si>
  <si>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</si>
  <si>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</si>
  <si>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</si>
  <si>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</si>
  <si>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</si>
  <si>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</si>
  <si>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</si>
  <si>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</si>
  <si>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</si>
  <si>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</si>
  <si>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</si>
  <si>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</si>
  <si>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</si>
  <si>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</si>
  <si>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</si>
  <si>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</si>
  <si>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</si>
  <si>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</si>
  <si>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</si>
  <si>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</si>
  <si>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</si>
  <si>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</si>
  <si>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</si>
  <si>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</si>
  <si>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</si>
  <si>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</si>
  <si>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</si>
  <si>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</si>
  <si>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</si>
  <si>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</si>
  <si>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</si>
  <si>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</si>
  <si>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</si>
  <si>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</si>
  <si>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</si>
  <si>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</si>
  <si>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</si>
  <si>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</si>
  <si>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</si>
  <si>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</si>
  <si>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</si>
  <si>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</si>
  <si>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</si>
  <si>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</si>
  <si>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</si>
  <si>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</si>
  <si>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</si>
  <si>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</si>
  <si>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</si>
  <si>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</si>
  <si>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</si>
  <si>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</si>
  <si>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</si>
  <si>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</si>
  <si>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</si>
  <si>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</si>
  <si>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</si>
  <si>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</si>
  <si>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</si>
  <si>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</si>
  <si>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</si>
  <si>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</si>
  <si>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</si>
  <si>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</si>
  <si>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</si>
  <si>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</si>
  <si>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</si>
  <si>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</si>
  <si>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</si>
  <si>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</si>
  <si>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</si>
  <si>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</si>
  <si>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</si>
  <si>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</si>
  <si>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</si>
  <si>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</si>
  <si>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</si>
  <si>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</si>
  <si>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</si>
  <si>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</si>
  <si>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</si>
  <si>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</si>
  <si>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</si>
  <si>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</si>
  <si>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</si>
  <si>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</si>
  <si>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</si>
  <si>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</si>
  <si>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</si>
  <si>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</si>
  <si>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</si>
  <si>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</si>
  <si>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</si>
  <si>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</si>
  <si>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</si>
  <si>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</si>
  <si>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</si>
  <si>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</si>
  <si>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</si>
  <si>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</si>
  <si>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</si>
  <si>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</si>
  <si>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</si>
  <si>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</si>
  <si>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</si>
  <si>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</si>
  <si>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</si>
  <si>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</si>
  <si>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</si>
  <si>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</si>
  <si>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</si>
  <si>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</si>
  <si>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</si>
  <si>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</si>
  <si>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DPR Change:</t>
  </si>
  <si>
    <t>Other Margin Changes:</t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</si>
  <si>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</si>
  <si>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</si>
  <si>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</si>
  <si>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</si>
  <si>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</si>
  <si>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</si>
  <si>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</si>
  <si>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</si>
  <si>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</si>
  <si>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</si>
  <si>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</si>
  <si>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</si>
  <si>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</si>
  <si>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</si>
  <si>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</si>
  <si>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</si>
  <si>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</si>
  <si>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</si>
  <si>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</si>
  <si>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</si>
  <si>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</si>
  <si>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</si>
  <si>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</si>
  <si>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</si>
  <si>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</si>
  <si>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</si>
  <si>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</si>
  <si>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</si>
  <si>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</si>
  <si>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</si>
  <si>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</si>
  <si>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</si>
  <si>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</si>
  <si>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</si>
  <si>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</si>
  <si>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</si>
  <si>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</si>
  <si>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</si>
  <si>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</si>
  <si>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</si>
  <si>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</si>
  <si>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</si>
  <si>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</si>
  <si>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</si>
  <si>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</si>
  <si>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</si>
  <si>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</si>
  <si>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</si>
  <si>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</si>
  <si>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</si>
  <si>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</si>
  <si>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</si>
  <si>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Budget</t>
  </si>
  <si>
    <t>West</t>
  </si>
  <si>
    <t xml:space="preserve">Industrial </t>
  </si>
  <si>
    <t>Downstream</t>
  </si>
  <si>
    <t>IPP</t>
  </si>
  <si>
    <t>GRM</t>
  </si>
  <si>
    <t>New Products</t>
  </si>
  <si>
    <t>Generation</t>
  </si>
  <si>
    <t>Investments</t>
  </si>
  <si>
    <t>Principal</t>
  </si>
  <si>
    <t>Investing</t>
  </si>
  <si>
    <t>Energy</t>
  </si>
  <si>
    <t>Restructuring</t>
  </si>
  <si>
    <t>EBIT</t>
  </si>
  <si>
    <t>EEX Insurance</t>
  </si>
  <si>
    <t>Overdyke</t>
  </si>
  <si>
    <t>Plan*</t>
  </si>
  <si>
    <t>Industrial Downstream</t>
  </si>
  <si>
    <t>Actual margin changes from:</t>
  </si>
  <si>
    <t>DWNSTRM_IND_ORIG</t>
  </si>
  <si>
    <t>GAS_TRAD</t>
  </si>
  <si>
    <t>GAS_trad</t>
  </si>
  <si>
    <t xml:space="preserve">Industrial Downstream </t>
  </si>
  <si>
    <t>Other Marketing</t>
  </si>
  <si>
    <t>CP&amp;L</t>
  </si>
  <si>
    <t>DEALS COMPLETED</t>
  </si>
  <si>
    <t>DEALS IDENTIFIED</t>
  </si>
  <si>
    <t>Prior Week:</t>
  </si>
  <si>
    <t>This Week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</si>
  <si>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</si>
  <si>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</si>
  <si>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</si>
  <si>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</si>
  <si>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</si>
  <si>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</si>
  <si>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Results based on Activity through April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</si>
</sst>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sz val="16"/>
      <color indexed="8"/>
      <name val="Arial"/>
      <family val="2"/>
    </font>
    <font>
      <b/>
      <sz val="11"/>
      <color indexed="10"/>
      <name val="Arial Narrow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sz val="14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" fillId="0" borderId="2" xfId="0" quotePrefix="1" applyFont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39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39" fillId="0" borderId="0" xfId="0" applyFont="1" applyFill="1" applyAlignment="1">
      <alignment vertical="top"/>
    </xf>
    <xf numFmtId="0" fontId="33" fillId="0" borderId="0" xfId="0" applyFont="1" applyFill="1" applyAlignment="1">
      <alignment horizontal="left" vertical="top"/>
    </xf>
    <xf numFmtId="166" fontId="32" fillId="0" borderId="0" xfId="0" quotePrefix="1" applyNumberFormat="1" applyFont="1" applyFill="1" applyAlignment="1">
      <alignment horizontal="right"/>
    </xf>
    <xf numFmtId="0" fontId="35" fillId="0" borderId="0" xfId="0" applyFont="1" applyFill="1" applyAlignment="1">
      <alignment horizontal="right" vertical="top"/>
    </xf>
    <xf numFmtId="165" fontId="42" fillId="0" borderId="5" xfId="1" applyNumberFormat="1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165" fontId="42" fillId="0" borderId="7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 textRotation="90"/>
    </xf>
    <xf numFmtId="165" fontId="42" fillId="0" borderId="2" xfId="1" applyNumberFormat="1" applyFont="1" applyBorder="1" applyAlignment="1">
      <alignment horizontal="center"/>
    </xf>
    <xf numFmtId="165" fontId="42" fillId="0" borderId="0" xfId="1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169" fontId="43" fillId="2" borderId="15" xfId="2" applyNumberFormat="1" applyFont="1" applyFill="1" applyBorder="1"/>
    <xf numFmtId="0" fontId="41" fillId="0" borderId="6" xfId="0" applyFont="1" applyBorder="1" applyAlignment="1">
      <alignment horizontal="center" vertical="center" textRotation="90"/>
    </xf>
    <xf numFmtId="165" fontId="42" fillId="0" borderId="11" xfId="1" applyNumberFormat="1" applyFont="1" applyBorder="1" applyAlignment="1">
      <alignment horizontal="center"/>
    </xf>
    <xf numFmtId="0" fontId="9" fillId="0" borderId="0" xfId="0" applyFont="1" applyAlignment="1"/>
    <xf numFmtId="0" fontId="41" fillId="0" borderId="0" xfId="0" applyFont="1" applyBorder="1" applyAlignment="1">
      <alignment horizontal="center" vertical="center" textRotation="90"/>
    </xf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45" fillId="0" borderId="10" xfId="0" applyFont="1" applyFill="1" applyBorder="1"/>
    <xf numFmtId="0" fontId="45" fillId="0" borderId="11" xfId="0" applyFont="1" applyFill="1" applyBorder="1"/>
    <xf numFmtId="165" fontId="13" fillId="0" borderId="4" xfId="0" applyNumberFormat="1" applyFont="1" applyBorder="1"/>
    <xf numFmtId="165" fontId="13" fillId="0" borderId="1" xfId="0" applyNumberFormat="1" applyFont="1" applyBorder="1"/>
    <xf numFmtId="0" fontId="0" fillId="0" borderId="4" xfId="0" applyBorder="1"/>
    <xf numFmtId="165" fontId="0" fillId="0" borderId="1" xfId="0" applyNumberFormat="1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165" fontId="9" fillId="0" borderId="2" xfId="1" applyNumberFormat="1" applyFont="1" applyBorder="1" applyAlignment="1"/>
    <xf numFmtId="165" fontId="9" fillId="0" borderId="0" xfId="1" applyNumberFormat="1" applyFont="1" applyBorder="1" applyAlignment="1">
      <alignment horizontal="center"/>
    </xf>
    <xf numFmtId="165" fontId="9" fillId="0" borderId="0" xfId="1" applyNumberFormat="1" applyFont="1" applyBorder="1" applyAlignment="1"/>
    <xf numFmtId="0" fontId="46" fillId="0" borderId="0" xfId="0" applyFont="1" applyFill="1" applyAlignment="1">
      <alignment horizontal="right"/>
    </xf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44" fillId="2" borderId="25" xfId="1" applyNumberFormat="1" applyFont="1" applyFill="1" applyBorder="1" applyAlignment="1">
      <alignment vertical="center"/>
    </xf>
    <xf numFmtId="0" fontId="45" fillId="2" borderId="10" xfId="0" applyFont="1" applyFill="1" applyBorder="1"/>
    <xf numFmtId="0" fontId="45" fillId="2" borderId="11" xfId="0" applyFont="1" applyFill="1" applyBorder="1"/>
    <xf numFmtId="169" fontId="45" fillId="2" borderId="12" xfId="0" applyNumberFormat="1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15" fillId="0" borderId="10" xfId="0" applyFont="1" applyBorder="1"/>
    <xf numFmtId="175" fontId="15" fillId="0" borderId="11" xfId="0" applyNumberFormat="1" applyFont="1" applyBorder="1" applyAlignment="1">
      <alignment horizontal="right"/>
    </xf>
    <xf numFmtId="169" fontId="45" fillId="0" borderId="12" xfId="2" applyNumberFormat="1" applyFont="1" applyBorder="1"/>
    <xf numFmtId="165" fontId="9" fillId="0" borderId="2" xfId="1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44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5" fillId="0" borderId="12" xfId="1" applyNumberFormat="1" applyFont="1" applyFill="1" applyBorder="1"/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37" fillId="0" borderId="42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175" fontId="45" fillId="2" borderId="11" xfId="0" applyNumberFormat="1" applyFont="1" applyFill="1" applyBorder="1" applyAlignment="1">
      <alignment horizontal="right"/>
    </xf>
    <xf numFmtId="175" fontId="45" fillId="2" borderId="12" xfId="0" applyNumberFormat="1" applyFont="1" applyFill="1" applyBorder="1" applyAlignment="1">
      <alignment horizontal="right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41" fillId="0" borderId="5" xfId="0" applyFont="1" applyBorder="1" applyAlignment="1">
      <alignment horizontal="center" vertical="center" textRotation="90"/>
    </xf>
    <xf numFmtId="0" fontId="41" fillId="0" borderId="2" xfId="0" applyFont="1" applyBorder="1" applyAlignment="1">
      <alignment horizontal="center" vertical="center" textRotation="90"/>
    </xf>
    <xf numFmtId="0" fontId="41" fillId="0" borderId="8" xfId="0" applyFont="1" applyBorder="1" applyAlignment="1">
      <alignment horizontal="center" vertical="center" textRotation="90"/>
    </xf>
    <xf numFmtId="0" fontId="41" fillId="0" borderId="7" xfId="0" applyFont="1" applyBorder="1" applyAlignment="1">
      <alignment horizontal="center" vertical="center" textRotation="90"/>
    </xf>
    <xf numFmtId="0" fontId="41" fillId="0" borderId="1" xfId="0" applyFont="1" applyBorder="1" applyAlignment="1">
      <alignment horizontal="center" vertical="center" textRotation="90"/>
    </xf>
    <xf numFmtId="0" fontId="41" fillId="0" borderId="14" xfId="0" applyFont="1" applyBorder="1" applyAlignment="1">
      <alignment horizontal="center" vertical="center" textRotation="90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166" fontId="33" fillId="0" borderId="0" xfId="0" applyNumberFormat="1" applyFont="1" applyFill="1" applyAlignment="1">
      <alignment horizontal="right" vertical="top"/>
    </xf>
    <xf numFmtId="0" fontId="41" fillId="0" borderId="6" xfId="0" applyFont="1" applyBorder="1" applyAlignment="1">
      <alignment horizontal="center" vertical="center" textRotation="90"/>
    </xf>
    <xf numFmtId="0" fontId="41" fillId="0" borderId="0" xfId="0" applyFont="1" applyBorder="1" applyAlignment="1">
      <alignment horizontal="center" vertical="center" textRotation="90"/>
    </xf>
    <xf numFmtId="0" fontId="41" fillId="0" borderId="9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69113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118360" y="800100"/>
          <a:ext cx="4724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69113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118360" y="800100"/>
          <a:ext cx="4724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11</xdr:col>
      <xdr:colOff>868680</xdr:colOff>
      <xdr:row>0</xdr:row>
      <xdr:rowOff>45720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>
          <a:off x="0" y="45720"/>
          <a:ext cx="7383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83820</xdr:rowOff>
    </xdr:from>
    <xdr:to>
      <xdr:col>17</xdr:col>
      <xdr:colOff>7620</xdr:colOff>
      <xdr:row>3</xdr:row>
      <xdr:rowOff>83820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4343400" y="716280"/>
          <a:ext cx="5730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868680</xdr:colOff>
      <xdr:row>0</xdr:row>
      <xdr:rowOff>45720</xdr:rowOff>
    </xdr:to>
    <xdr:sp macro="" textlink="">
      <xdr:nvSpPr>
        <xdr:cNvPr id="22531" name="Line 3"/>
        <xdr:cNvSpPr>
          <a:spLocks noChangeShapeType="1"/>
        </xdr:cNvSpPr>
      </xdr:nvSpPr>
      <xdr:spPr bwMode="auto">
        <a:xfrm flipH="1">
          <a:off x="0" y="45720"/>
          <a:ext cx="7383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83820</xdr:rowOff>
    </xdr:from>
    <xdr:to>
      <xdr:col>17</xdr:col>
      <xdr:colOff>7620</xdr:colOff>
      <xdr:row>3</xdr:row>
      <xdr:rowOff>83820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4343400" y="716280"/>
          <a:ext cx="5730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776478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153400" y="24384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69113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118360" y="800100"/>
          <a:ext cx="4724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69113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118360" y="800100"/>
          <a:ext cx="4724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69113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118360" y="800100"/>
          <a:ext cx="4724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69113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118360" y="800100"/>
          <a:ext cx="4724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45820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94588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6770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030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-0410a_revis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%20form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list"/>
      <sheetName val="Greensheet"/>
      <sheetName val="web_summary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Headcount"/>
    </sheetNames>
    <sheetDataSet>
      <sheetData sheetId="0"/>
      <sheetData sheetId="1"/>
      <sheetData sheetId="2">
        <row r="62">
          <cell r="C62">
            <v>-8488</v>
          </cell>
        </row>
      </sheetData>
      <sheetData sheetId="3"/>
      <sheetData sheetId="4"/>
      <sheetData sheetId="5"/>
      <sheetData sheetId="6">
        <row r="10">
          <cell r="D10">
            <v>1800</v>
          </cell>
        </row>
        <row r="11">
          <cell r="D11">
            <v>-8194</v>
          </cell>
        </row>
        <row r="12">
          <cell r="D12">
            <v>2263</v>
          </cell>
        </row>
        <row r="13">
          <cell r="D13">
            <v>-5497</v>
          </cell>
        </row>
        <row r="14">
          <cell r="D14">
            <v>2314</v>
          </cell>
          <cell r="E14">
            <v>1822</v>
          </cell>
        </row>
        <row r="15">
          <cell r="D15">
            <v>-3</v>
          </cell>
          <cell r="E15">
            <v>3</v>
          </cell>
        </row>
        <row r="16">
          <cell r="D16">
            <v>221</v>
          </cell>
        </row>
        <row r="17">
          <cell r="D17">
            <v>-1172</v>
          </cell>
        </row>
        <row r="24">
          <cell r="D24">
            <v>643</v>
          </cell>
        </row>
        <row r="28">
          <cell r="F28">
            <v>0</v>
          </cell>
          <cell r="G28">
            <v>0</v>
          </cell>
          <cell r="H28">
            <v>0</v>
          </cell>
        </row>
        <row r="31">
          <cell r="D31">
            <v>0</v>
          </cell>
          <cell r="G31">
            <v>16373</v>
          </cell>
        </row>
        <row r="32">
          <cell r="D32">
            <v>2908</v>
          </cell>
        </row>
        <row r="36">
          <cell r="E36">
            <v>-6852</v>
          </cell>
        </row>
        <row r="37">
          <cell r="E37">
            <v>-883</v>
          </cell>
        </row>
        <row r="38">
          <cell r="E38">
            <v>-6180</v>
          </cell>
        </row>
        <row r="39">
          <cell r="E39">
            <v>-8054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workbookViewId="0">
      <selection activeCell="C33" sqref="C33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3" width="8.33203125" style="27" customWidth="1"/>
    <col min="4" max="5" width="8.6640625" style="27" customWidth="1"/>
    <col min="6" max="6" width="0.88671875" style="27" customWidth="1"/>
    <col min="7" max="8" width="7.6640625" style="27" customWidth="1"/>
    <col min="9" max="9" width="8.5546875" style="27" customWidth="1"/>
    <col min="10" max="10" width="0.88671875" style="27" customWidth="1"/>
    <col min="11" max="13" width="8.6640625" style="27" customWidth="1"/>
    <col min="14" max="14" width="0.88671875" style="27" customWidth="1"/>
    <col min="15" max="15" width="8.6640625" style="27" customWidth="1"/>
    <col min="16" max="19" width="7.6640625" style="27" customWidth="1"/>
    <col min="20" max="21" width="8.6640625" style="27" customWidth="1"/>
    <col min="22" max="22" width="0.88671875" style="27" customWidth="1"/>
    <col min="23" max="16384" width="9.109375" style="27"/>
  </cols>
  <sheetData>
    <row r="1" spans="1:22" s="195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4"/>
    </row>
    <row r="2" spans="1:22" s="200" customFormat="1" ht="29.25" customHeight="1" x14ac:dyDescent="0.5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 t="s">
        <v>270</v>
      </c>
      <c r="N2" s="197"/>
      <c r="O2" s="197"/>
      <c r="P2" s="197"/>
      <c r="Q2" s="197"/>
      <c r="R2" s="197"/>
      <c r="S2" s="197"/>
      <c r="T2" s="197"/>
      <c r="V2" s="199"/>
    </row>
    <row r="3" spans="1:22" s="195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 s="201" t="str">
        <f>'Old Mgmt Summary'!A3</f>
        <v>Results based on Activity through April 14, 2000</v>
      </c>
      <c r="N3"/>
      <c r="O3"/>
      <c r="P3"/>
      <c r="Q3"/>
      <c r="R3"/>
      <c r="S3"/>
      <c r="T3"/>
      <c r="V3" s="199"/>
    </row>
    <row r="4" spans="1:22" s="195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2"/>
    </row>
    <row r="5" spans="1:22" s="203" customFormat="1" ht="18" customHeight="1" x14ac:dyDescent="0.25">
      <c r="A5" s="228"/>
      <c r="B5" s="269"/>
      <c r="C5" s="307" t="s">
        <v>21</v>
      </c>
      <c r="D5" s="308"/>
      <c r="E5" s="309"/>
      <c r="F5" s="272"/>
      <c r="G5" s="307" t="s">
        <v>59</v>
      </c>
      <c r="H5" s="308"/>
      <c r="I5" s="309"/>
      <c r="J5" s="260"/>
      <c r="K5" s="307" t="s">
        <v>249</v>
      </c>
      <c r="L5" s="308"/>
      <c r="M5" s="309"/>
    </row>
    <row r="6" spans="1:22" ht="12" customHeight="1" thickBot="1" x14ac:dyDescent="0.35">
      <c r="A6" s="282" t="s">
        <v>16</v>
      </c>
      <c r="B6" s="270"/>
      <c r="C6" s="283" t="s">
        <v>71</v>
      </c>
      <c r="D6" s="284" t="s">
        <v>15</v>
      </c>
      <c r="E6" s="285" t="s">
        <v>20</v>
      </c>
      <c r="F6" s="286"/>
      <c r="G6" s="283" t="s">
        <v>13</v>
      </c>
      <c r="H6" s="284" t="s">
        <v>252</v>
      </c>
      <c r="I6" s="285" t="s">
        <v>20</v>
      </c>
      <c r="J6" s="286"/>
      <c r="K6" s="283" t="s">
        <v>13</v>
      </c>
      <c r="L6" s="284" t="s">
        <v>15</v>
      </c>
      <c r="M6" s="285" t="s">
        <v>20</v>
      </c>
    </row>
    <row r="7" spans="1:22" ht="12" customHeight="1" x14ac:dyDescent="0.2">
      <c r="A7" s="230"/>
      <c r="B7" s="270"/>
      <c r="C7" s="231"/>
      <c r="D7" s="36"/>
      <c r="E7" s="232"/>
      <c r="F7" s="273"/>
      <c r="G7" s="231"/>
      <c r="H7" s="36"/>
      <c r="I7" s="232"/>
      <c r="J7" s="229"/>
      <c r="K7" s="231"/>
      <c r="L7" s="36"/>
      <c r="M7" s="232"/>
    </row>
    <row r="8" spans="1:22" ht="12" customHeight="1" x14ac:dyDescent="0.2">
      <c r="A8" s="230" t="s">
        <v>3</v>
      </c>
      <c r="B8" s="270"/>
      <c r="C8" s="304">
        <f>'Q1 Mgmt Summary'!C8+'QTD Mgmt Summary'!C8</f>
        <v>73499</v>
      </c>
      <c r="D8" s="60">
        <f>'Q1 Mgmt Summary'!D8+'QTD Mgmt Summary'!D8</f>
        <v>83089</v>
      </c>
      <c r="E8" s="234">
        <f>+C8-D8</f>
        <v>-9590</v>
      </c>
      <c r="F8" s="274"/>
      <c r="G8" s="304">
        <f>'Q1 Mgmt Summary'!G8+'QTD Mgmt Summary'!G8</f>
        <v>29939</v>
      </c>
      <c r="H8" s="60">
        <f>'Q1 Mgmt Summary'!H8+'QTD Mgmt Summary'!H8</f>
        <v>31131</v>
      </c>
      <c r="I8" s="234">
        <f>+H8-G8</f>
        <v>1192</v>
      </c>
      <c r="J8" s="237"/>
      <c r="K8" s="233">
        <f>+C8-G8</f>
        <v>43560</v>
      </c>
      <c r="L8" s="59">
        <f>+D8-H8</f>
        <v>51958</v>
      </c>
      <c r="M8" s="234">
        <f>+K8-L8</f>
        <v>-8398</v>
      </c>
    </row>
    <row r="9" spans="1:22" ht="12" customHeight="1" x14ac:dyDescent="0.2">
      <c r="A9" s="230" t="s">
        <v>106</v>
      </c>
      <c r="B9" s="270"/>
      <c r="C9" s="305">
        <f>+'Q1 Mgmt Summary'!C9+'QTD Mgmt Summary'!C9</f>
        <v>76963</v>
      </c>
      <c r="D9" s="43">
        <f>+'Q1 Mgmt Summary'!D9+'QTD Mgmt Summary'!D9</f>
        <v>97187</v>
      </c>
      <c r="E9" s="236">
        <f>+C9-D9</f>
        <v>-20224</v>
      </c>
      <c r="F9" s="274"/>
      <c r="G9" s="305">
        <f>+'Q1 Mgmt Summary'!G9+'QTD Mgmt Summary'!G9</f>
        <v>50370</v>
      </c>
      <c r="H9" s="43">
        <f>+'Q1 Mgmt Summary'!H9+'QTD Mgmt Summary'!H9</f>
        <v>52050</v>
      </c>
      <c r="I9" s="236">
        <f>+H9-G9</f>
        <v>1680</v>
      </c>
      <c r="J9" s="237"/>
      <c r="K9" s="235">
        <f>+C9-G9</f>
        <v>26593</v>
      </c>
      <c r="L9" s="41">
        <f>+D9-H9</f>
        <v>45137</v>
      </c>
      <c r="M9" s="236">
        <f>+K9-L9</f>
        <v>-18544</v>
      </c>
    </row>
    <row r="10" spans="1:22" ht="12" customHeight="1" x14ac:dyDescent="0.2">
      <c r="A10" s="230" t="s">
        <v>132</v>
      </c>
      <c r="B10" s="270"/>
      <c r="C10" s="305">
        <f>+'Q1 Mgmt Summary'!C10+'QTD Mgmt Summary'!C10</f>
        <v>30575</v>
      </c>
      <c r="D10" s="43">
        <f>+'Q1 Mgmt Summary'!D10+'QTD Mgmt Summary'!D10</f>
        <v>44804</v>
      </c>
      <c r="E10" s="236">
        <f t="shared" ref="E10:E16" si="0">+C10-D10</f>
        <v>-14229</v>
      </c>
      <c r="F10" s="274"/>
      <c r="G10" s="305">
        <f>+'Q1 Mgmt Summary'!G10+'QTD Mgmt Summary'!G10</f>
        <v>3441</v>
      </c>
      <c r="H10" s="43">
        <f>+'Q1 Mgmt Summary'!H10+'QTD Mgmt Summary'!H10</f>
        <v>3237</v>
      </c>
      <c r="I10" s="236">
        <f t="shared" ref="I10:I16" si="1">+H10-G10</f>
        <v>-204</v>
      </c>
      <c r="J10" s="237"/>
      <c r="K10" s="235">
        <f t="shared" ref="K10:L16" si="2">+C10-G10</f>
        <v>27134</v>
      </c>
      <c r="L10" s="41">
        <f t="shared" si="2"/>
        <v>41567</v>
      </c>
      <c r="M10" s="236">
        <f t="shared" ref="M10:M16" si="3">+K10-L10</f>
        <v>-14433</v>
      </c>
    </row>
    <row r="11" spans="1:22" ht="12" customHeight="1" x14ac:dyDescent="0.2">
      <c r="A11" s="230" t="s">
        <v>133</v>
      </c>
      <c r="B11" s="270"/>
      <c r="C11" s="305">
        <f>+'Q1 Mgmt Summary'!C11+'QTD Mgmt Summary'!C11</f>
        <v>30174</v>
      </c>
      <c r="D11" s="43">
        <f>+'Q1 Mgmt Summary'!D11+'QTD Mgmt Summary'!D11</f>
        <v>22894</v>
      </c>
      <c r="E11" s="236">
        <f t="shared" si="0"/>
        <v>7280</v>
      </c>
      <c r="F11" s="274"/>
      <c r="G11" s="305">
        <f>+'Q1 Mgmt Summary'!G11+'QTD Mgmt Summary'!G11</f>
        <v>4350</v>
      </c>
      <c r="H11" s="43">
        <f>+'Q1 Mgmt Summary'!H11+'QTD Mgmt Summary'!H11</f>
        <v>4932</v>
      </c>
      <c r="I11" s="236">
        <f t="shared" si="1"/>
        <v>582</v>
      </c>
      <c r="J11" s="237"/>
      <c r="K11" s="235">
        <f t="shared" si="2"/>
        <v>25824</v>
      </c>
      <c r="L11" s="41">
        <f t="shared" si="2"/>
        <v>17962</v>
      </c>
      <c r="M11" s="236">
        <f t="shared" si="3"/>
        <v>7862</v>
      </c>
    </row>
    <row r="12" spans="1:22" ht="12" customHeight="1" x14ac:dyDescent="0.2">
      <c r="A12" s="230" t="s">
        <v>114</v>
      </c>
      <c r="B12" s="270"/>
      <c r="C12" s="305">
        <f>+'Q1 Mgmt Summary'!C12+'QTD Mgmt Summary'!C12</f>
        <v>28909</v>
      </c>
      <c r="D12" s="43">
        <f>+'Q1 Mgmt Summary'!D12+'QTD Mgmt Summary'!D12</f>
        <v>46224</v>
      </c>
      <c r="E12" s="236">
        <f t="shared" si="0"/>
        <v>-17315</v>
      </c>
      <c r="F12" s="274"/>
      <c r="G12" s="305">
        <f>+'Q1 Mgmt Summary'!G12+'QTD Mgmt Summary'!G12</f>
        <v>9571</v>
      </c>
      <c r="H12" s="43">
        <f>+'Q1 Mgmt Summary'!H12+'QTD Mgmt Summary'!H12</f>
        <v>10509</v>
      </c>
      <c r="I12" s="236">
        <f t="shared" si="1"/>
        <v>938</v>
      </c>
      <c r="J12" s="237"/>
      <c r="K12" s="235">
        <f t="shared" si="2"/>
        <v>19338</v>
      </c>
      <c r="L12" s="41">
        <f t="shared" si="2"/>
        <v>35715</v>
      </c>
      <c r="M12" s="236">
        <f t="shared" si="3"/>
        <v>-16377</v>
      </c>
    </row>
    <row r="13" spans="1:22" ht="12" customHeight="1" x14ac:dyDescent="0.2">
      <c r="A13" s="230" t="s">
        <v>5</v>
      </c>
      <c r="B13" s="270"/>
      <c r="C13" s="305">
        <f>+'Q1 Mgmt Summary'!C13+'QTD Mgmt Summary'!C13</f>
        <v>2279</v>
      </c>
      <c r="D13" s="43">
        <f>+'Q1 Mgmt Summary'!D13+'QTD Mgmt Summary'!D13</f>
        <v>25494</v>
      </c>
      <c r="E13" s="236">
        <f t="shared" si="0"/>
        <v>-23215</v>
      </c>
      <c r="F13" s="274"/>
      <c r="G13" s="305">
        <f>+'Q1 Mgmt Summary'!G13+'QTD Mgmt Summary'!G13</f>
        <v>11085</v>
      </c>
      <c r="H13" s="43">
        <f>+'Q1 Mgmt Summary'!H13+'QTD Mgmt Summary'!H13</f>
        <v>9522</v>
      </c>
      <c r="I13" s="236">
        <f t="shared" si="1"/>
        <v>-1563</v>
      </c>
      <c r="J13" s="237"/>
      <c r="K13" s="235">
        <f t="shared" si="2"/>
        <v>-8806</v>
      </c>
      <c r="L13" s="41">
        <f t="shared" si="2"/>
        <v>15972</v>
      </c>
      <c r="M13" s="236">
        <f t="shared" si="3"/>
        <v>-24778</v>
      </c>
    </row>
    <row r="14" spans="1:22" ht="12" customHeight="1" x14ac:dyDescent="0.2">
      <c r="A14" s="230" t="s">
        <v>155</v>
      </c>
      <c r="B14" s="270"/>
      <c r="C14" s="305">
        <f>+'Q1 Mgmt Summary'!C14+'QTD Mgmt Summary'!C14</f>
        <v>5879</v>
      </c>
      <c r="D14" s="43">
        <f>+'Q1 Mgmt Summary'!D14+'QTD Mgmt Summary'!D14</f>
        <v>6430</v>
      </c>
      <c r="E14" s="236">
        <f t="shared" si="0"/>
        <v>-551</v>
      </c>
      <c r="F14" s="274"/>
      <c r="G14" s="305">
        <f>+'Q1 Mgmt Summary'!G14+'QTD Mgmt Summary'!G14</f>
        <v>4270</v>
      </c>
      <c r="H14" s="43">
        <f>+'Q1 Mgmt Summary'!H14+'QTD Mgmt Summary'!H14</f>
        <v>3383</v>
      </c>
      <c r="I14" s="236">
        <f t="shared" si="1"/>
        <v>-887</v>
      </c>
      <c r="J14" s="237"/>
      <c r="K14" s="235">
        <f t="shared" si="2"/>
        <v>1609</v>
      </c>
      <c r="L14" s="41">
        <f t="shared" si="2"/>
        <v>3047</v>
      </c>
      <c r="M14" s="236">
        <f t="shared" si="3"/>
        <v>-1438</v>
      </c>
    </row>
    <row r="15" spans="1:22" ht="12" customHeight="1" x14ac:dyDescent="0.2">
      <c r="A15" s="230" t="s">
        <v>107</v>
      </c>
      <c r="B15" s="270"/>
      <c r="C15" s="305">
        <f>+'Q1 Mgmt Summary'!C15+'QTD Mgmt Summary'!C15</f>
        <v>2186</v>
      </c>
      <c r="D15" s="43">
        <f>+'Q1 Mgmt Summary'!D15+'QTD Mgmt Summary'!D15</f>
        <v>1500</v>
      </c>
      <c r="E15" s="236">
        <f t="shared" si="0"/>
        <v>686</v>
      </c>
      <c r="F15" s="274"/>
      <c r="G15" s="305">
        <f>+'Q1 Mgmt Summary'!G15+'QTD Mgmt Summary'!G15</f>
        <v>604</v>
      </c>
      <c r="H15" s="43">
        <f>+'Q1 Mgmt Summary'!H15+'QTD Mgmt Summary'!H15</f>
        <v>680</v>
      </c>
      <c r="I15" s="236">
        <f t="shared" si="1"/>
        <v>76</v>
      </c>
      <c r="J15" s="237"/>
      <c r="K15" s="235">
        <f t="shared" si="2"/>
        <v>1582</v>
      </c>
      <c r="L15" s="41">
        <f t="shared" si="2"/>
        <v>820</v>
      </c>
      <c r="M15" s="236">
        <f t="shared" si="3"/>
        <v>762</v>
      </c>
    </row>
    <row r="16" spans="1:22" ht="12" customHeight="1" x14ac:dyDescent="0.2">
      <c r="A16" s="230" t="s">
        <v>156</v>
      </c>
      <c r="B16" s="270"/>
      <c r="C16" s="306">
        <f>+'Q1 Mgmt Summary'!C16+'QTD Mgmt Summary'!C16</f>
        <v>0</v>
      </c>
      <c r="D16" s="43">
        <f>+'Q1 Mgmt Summary'!D16+'QTD Mgmt Summary'!D16</f>
        <v>15424</v>
      </c>
      <c r="E16" s="236">
        <f t="shared" si="0"/>
        <v>-15424</v>
      </c>
      <c r="F16" s="274"/>
      <c r="G16" s="306">
        <f>+'Q1 Mgmt Summary'!G16+'QTD Mgmt Summary'!G16</f>
        <v>2884</v>
      </c>
      <c r="H16" s="43">
        <f>+'Q1 Mgmt Summary'!H16+'QTD Mgmt Summary'!H16</f>
        <v>2551</v>
      </c>
      <c r="I16" s="236">
        <f t="shared" si="1"/>
        <v>-333</v>
      </c>
      <c r="J16" s="237"/>
      <c r="K16" s="235">
        <f t="shared" si="2"/>
        <v>-2884</v>
      </c>
      <c r="L16" s="41">
        <f t="shared" si="2"/>
        <v>12873</v>
      </c>
      <c r="M16" s="236">
        <f t="shared" si="3"/>
        <v>-15757</v>
      </c>
    </row>
    <row r="17" spans="1:13" s="204" customFormat="1" ht="12" customHeight="1" x14ac:dyDescent="0.25">
      <c r="A17" s="261" t="s">
        <v>130</v>
      </c>
      <c r="B17" s="271"/>
      <c r="C17" s="297">
        <f>SUM(C8:C16)</f>
        <v>250464</v>
      </c>
      <c r="D17" s="297">
        <f>SUM(D8:D16)</f>
        <v>343046</v>
      </c>
      <c r="E17" s="298">
        <f>SUM(E8:E16)</f>
        <v>-92582</v>
      </c>
      <c r="F17" s="275">
        <v>129970</v>
      </c>
      <c r="G17" s="297">
        <f>SUM(G8:G16)</f>
        <v>116514</v>
      </c>
      <c r="H17" s="297">
        <f>SUM(H8:H16)</f>
        <v>117995</v>
      </c>
      <c r="I17" s="298">
        <f>SUM(I8:I16)</f>
        <v>1481</v>
      </c>
      <c r="J17" s="238"/>
      <c r="K17" s="262">
        <v>-8675</v>
      </c>
      <c r="L17" s="263">
        <v>129850</v>
      </c>
      <c r="M17" s="298">
        <f>SUM(M8:M16)</f>
        <v>-91101</v>
      </c>
    </row>
    <row r="18" spans="1:13" ht="12" customHeight="1" x14ac:dyDescent="0.2">
      <c r="A18" s="230"/>
      <c r="B18" s="270"/>
      <c r="C18" s="235"/>
      <c r="D18" s="295"/>
      <c r="E18" s="236"/>
      <c r="F18" s="274"/>
      <c r="G18" s="235"/>
      <c r="H18" s="295"/>
      <c r="I18" s="236"/>
      <c r="J18" s="237"/>
      <c r="K18" s="235"/>
      <c r="L18" s="41"/>
      <c r="M18" s="236"/>
    </row>
    <row r="19" spans="1:13" ht="12" customHeight="1" x14ac:dyDescent="0.2">
      <c r="A19" s="230" t="s">
        <v>88</v>
      </c>
      <c r="B19" s="270"/>
      <c r="C19" s="305">
        <f>+'Q1 Mgmt Summary'!C19+'QTD Mgmt Summary'!C19</f>
        <v>2838</v>
      </c>
      <c r="D19" s="43">
        <f>+'Q1 Mgmt Summary'!D19+'QTD Mgmt Summary'!D19</f>
        <v>34736</v>
      </c>
      <c r="E19" s="236">
        <f>+C19-D19</f>
        <v>-31898</v>
      </c>
      <c r="F19" s="274"/>
      <c r="G19" s="305">
        <f>+'Q1 Mgmt Summary'!G19+'QTD Mgmt Summary'!G19</f>
        <v>11189</v>
      </c>
      <c r="H19" s="43">
        <f>+'Q1 Mgmt Summary'!H19+'QTD Mgmt Summary'!H19</f>
        <v>12937</v>
      </c>
      <c r="I19" s="236">
        <f>+H19-G19</f>
        <v>1748</v>
      </c>
      <c r="J19" s="237"/>
      <c r="K19" s="235">
        <f t="shared" ref="K19:L23" si="4">+C19-G19</f>
        <v>-8351</v>
      </c>
      <c r="L19" s="41">
        <f t="shared" si="4"/>
        <v>21799</v>
      </c>
      <c r="M19" s="236">
        <f>+K19-L19</f>
        <v>-30150</v>
      </c>
    </row>
    <row r="20" spans="1:13" ht="12" customHeight="1" x14ac:dyDescent="0.2">
      <c r="A20" s="230" t="s">
        <v>89</v>
      </c>
      <c r="B20" s="270"/>
      <c r="C20" s="305">
        <f>+'Q1 Mgmt Summary'!C20+'QTD Mgmt Summary'!C20</f>
        <v>8356</v>
      </c>
      <c r="D20" s="43">
        <f>+'Q1 Mgmt Summary'!D20+'QTD Mgmt Summary'!D20</f>
        <v>26470</v>
      </c>
      <c r="E20" s="236">
        <f>+C20-D20</f>
        <v>-18114</v>
      </c>
      <c r="F20" s="274"/>
      <c r="G20" s="305">
        <f>+'Q1 Mgmt Summary'!G20+'QTD Mgmt Summary'!G20</f>
        <v>12968</v>
      </c>
      <c r="H20" s="43">
        <f>+'Q1 Mgmt Summary'!H20+'QTD Mgmt Summary'!H20</f>
        <v>14730</v>
      </c>
      <c r="I20" s="236">
        <f>+H20-G20</f>
        <v>1762</v>
      </c>
      <c r="J20" s="237"/>
      <c r="K20" s="235">
        <f t="shared" si="4"/>
        <v>-4612</v>
      </c>
      <c r="L20" s="41">
        <f t="shared" si="4"/>
        <v>11740</v>
      </c>
      <c r="M20" s="236">
        <f>+K20-L20</f>
        <v>-16352</v>
      </c>
    </row>
    <row r="21" spans="1:13" ht="12" customHeight="1" x14ac:dyDescent="0.2">
      <c r="A21" s="230" t="s">
        <v>258</v>
      </c>
      <c r="B21" s="270"/>
      <c r="C21" s="305">
        <f>+'Q1 Mgmt Summary'!C21+'QTD Mgmt Summary'!C21</f>
        <v>3647</v>
      </c>
      <c r="D21" s="43">
        <f>+'Q1 Mgmt Summary'!D21+'QTD Mgmt Summary'!D21</f>
        <v>39722</v>
      </c>
      <c r="E21" s="236">
        <f>+C21-D21</f>
        <v>-36075</v>
      </c>
      <c r="F21" s="274"/>
      <c r="G21" s="305">
        <f>+'Q1 Mgmt Summary'!G21+'QTD Mgmt Summary'!G21</f>
        <v>13986</v>
      </c>
      <c r="H21" s="43">
        <f>+'Q1 Mgmt Summary'!H21+'QTD Mgmt Summary'!H21</f>
        <v>18611</v>
      </c>
      <c r="I21" s="236">
        <f>+H21-G21</f>
        <v>4625</v>
      </c>
      <c r="J21" s="237"/>
      <c r="K21" s="235">
        <f t="shared" si="4"/>
        <v>-10339</v>
      </c>
      <c r="L21" s="41">
        <f t="shared" si="4"/>
        <v>21111</v>
      </c>
      <c r="M21" s="236">
        <f>+K21-L21</f>
        <v>-31450</v>
      </c>
    </row>
    <row r="22" spans="1:13" ht="12" customHeight="1" x14ac:dyDescent="0.2">
      <c r="A22" s="230" t="s">
        <v>104</v>
      </c>
      <c r="B22" s="270"/>
      <c r="C22" s="305">
        <f>+'Q1 Mgmt Summary'!C22+'QTD Mgmt Summary'!C22</f>
        <v>0</v>
      </c>
      <c r="D22" s="43">
        <f>+'Q1 Mgmt Summary'!D22+'QTD Mgmt Summary'!D22</f>
        <v>12954</v>
      </c>
      <c r="E22" s="236">
        <f>+C22-D22</f>
        <v>-12954</v>
      </c>
      <c r="F22" s="274"/>
      <c r="G22" s="305">
        <f>+'Q1 Mgmt Summary'!G22+'QTD Mgmt Summary'!G22</f>
        <v>5117</v>
      </c>
      <c r="H22" s="43">
        <f>+'Q1 Mgmt Summary'!H22+'QTD Mgmt Summary'!H22</f>
        <v>5419</v>
      </c>
      <c r="I22" s="236">
        <f>+H22-G22</f>
        <v>302</v>
      </c>
      <c r="J22" s="237"/>
      <c r="K22" s="235">
        <f t="shared" si="4"/>
        <v>-5117</v>
      </c>
      <c r="L22" s="41">
        <f t="shared" si="4"/>
        <v>7535</v>
      </c>
      <c r="M22" s="236">
        <f>+K22-L22</f>
        <v>-12652</v>
      </c>
    </row>
    <row r="23" spans="1:13" ht="12" customHeight="1" x14ac:dyDescent="0.2">
      <c r="A23" s="230" t="s">
        <v>0</v>
      </c>
      <c r="B23" s="270"/>
      <c r="C23" s="306">
        <f>+'Q1 Mgmt Summary'!C23+'QTD Mgmt Summary'!C23</f>
        <v>11</v>
      </c>
      <c r="D23" s="43">
        <f>+'Q1 Mgmt Summary'!D23+'QTD Mgmt Summary'!D23</f>
        <v>9312</v>
      </c>
      <c r="E23" s="236">
        <f>+C23-D23</f>
        <v>-9301</v>
      </c>
      <c r="F23" s="274"/>
      <c r="G23" s="306">
        <f>+'Q1 Mgmt Summary'!G23+'QTD Mgmt Summary'!G23</f>
        <v>4844</v>
      </c>
      <c r="H23" s="43">
        <f>+'Q1 Mgmt Summary'!H23+'QTD Mgmt Summary'!H23</f>
        <v>5082</v>
      </c>
      <c r="I23" s="236">
        <f>+H23-G23</f>
        <v>238</v>
      </c>
      <c r="J23" s="237"/>
      <c r="K23" s="235">
        <f t="shared" si="4"/>
        <v>-4833</v>
      </c>
      <c r="L23" s="41">
        <f t="shared" si="4"/>
        <v>4230</v>
      </c>
      <c r="M23" s="236">
        <f>+K23-L23</f>
        <v>-9063</v>
      </c>
    </row>
    <row r="24" spans="1:13" s="204" customFormat="1" ht="12" customHeight="1" x14ac:dyDescent="0.25">
      <c r="A24" s="261" t="s">
        <v>1</v>
      </c>
      <c r="B24" s="271"/>
      <c r="C24" s="297">
        <f>SUM(C19:C23)</f>
        <v>14852</v>
      </c>
      <c r="D24" s="297">
        <f>SUM(D19:D23)</f>
        <v>123194</v>
      </c>
      <c r="E24" s="264">
        <f>SUM(E19:E23)</f>
        <v>-108342</v>
      </c>
      <c r="F24" s="275">
        <v>0</v>
      </c>
      <c r="G24" s="297">
        <f>SUM(G19:G23)</f>
        <v>48104</v>
      </c>
      <c r="H24" s="297">
        <f>SUM(H19:H23)</f>
        <v>56779</v>
      </c>
      <c r="I24" s="264">
        <f>SUM(I19:I23)</f>
        <v>8675</v>
      </c>
      <c r="J24" s="238"/>
      <c r="K24" s="262">
        <v>62310</v>
      </c>
      <c r="L24" s="263">
        <v>39821</v>
      </c>
      <c r="M24" s="264">
        <f>SUM(M19:M23)</f>
        <v>-99667</v>
      </c>
    </row>
    <row r="25" spans="1:13" ht="12" customHeight="1" x14ac:dyDescent="0.2">
      <c r="A25" s="230"/>
      <c r="B25" s="270"/>
      <c r="C25" s="235"/>
      <c r="D25" s="295"/>
      <c r="E25" s="236"/>
      <c r="F25" s="274"/>
      <c r="G25" s="235"/>
      <c r="H25" s="295"/>
      <c r="I25" s="236"/>
      <c r="J25" s="237"/>
      <c r="K25" s="235"/>
      <c r="L25" s="41"/>
      <c r="M25" s="236"/>
    </row>
    <row r="26" spans="1:13" ht="12" customHeight="1" x14ac:dyDescent="0.2">
      <c r="A26" s="230" t="s">
        <v>67</v>
      </c>
      <c r="B26" s="270"/>
      <c r="C26" s="305">
        <f>+'Q1 Mgmt Summary'!C26+'QTD Mgmt Summary'!C26</f>
        <v>10772</v>
      </c>
      <c r="D26" s="43">
        <f>+'Q1 Mgmt Summary'!D26+'QTD Mgmt Summary'!D26</f>
        <v>24468</v>
      </c>
      <c r="E26" s="236">
        <f>+C26-D26</f>
        <v>-13696</v>
      </c>
      <c r="F26" s="274"/>
      <c r="G26" s="305">
        <f>+'Q1 Mgmt Summary'!G26+'QTD Mgmt Summary'!G26</f>
        <v>14877</v>
      </c>
      <c r="H26" s="43">
        <f>+'Q1 Mgmt Summary'!H26+'QTD Mgmt Summary'!H26</f>
        <v>15865</v>
      </c>
      <c r="I26" s="236">
        <f>+H26-G26</f>
        <v>988</v>
      </c>
      <c r="J26" s="237"/>
      <c r="K26" s="235">
        <f t="shared" ref="K26:L28" si="5">+C26-G26</f>
        <v>-4105</v>
      </c>
      <c r="L26" s="41">
        <f t="shared" si="5"/>
        <v>8603</v>
      </c>
      <c r="M26" s="236">
        <f>+K26-L26</f>
        <v>-12708</v>
      </c>
    </row>
    <row r="27" spans="1:13" ht="12" customHeight="1" x14ac:dyDescent="0.2">
      <c r="A27" s="230" t="s">
        <v>92</v>
      </c>
      <c r="B27" s="270"/>
      <c r="C27" s="305">
        <f>+'Q1 Mgmt Summary'!C27+'QTD Mgmt Summary'!C27</f>
        <v>40499</v>
      </c>
      <c r="D27" s="43">
        <f>+'Q1 Mgmt Summary'!D27+'QTD Mgmt Summary'!D27</f>
        <v>62924</v>
      </c>
      <c r="E27" s="236">
        <f>+C27-D27</f>
        <v>-22425</v>
      </c>
      <c r="F27" s="274"/>
      <c r="G27" s="305">
        <f>+'Q1 Mgmt Summary'!G27+'QTD Mgmt Summary'!G27</f>
        <v>127267</v>
      </c>
      <c r="H27" s="43">
        <f>+'Q1 Mgmt Summary'!H27+'QTD Mgmt Summary'!H27</f>
        <v>122316</v>
      </c>
      <c r="I27" s="236">
        <f>+H27-G27</f>
        <v>-4951</v>
      </c>
      <c r="J27" s="237"/>
      <c r="K27" s="235">
        <f t="shared" si="5"/>
        <v>-86768</v>
      </c>
      <c r="L27" s="41">
        <f t="shared" si="5"/>
        <v>-59392</v>
      </c>
      <c r="M27" s="236">
        <f>+K27-L27</f>
        <v>-27376</v>
      </c>
    </row>
    <row r="28" spans="1:13" ht="12" customHeight="1" x14ac:dyDescent="0.2">
      <c r="A28" s="230" t="s">
        <v>93</v>
      </c>
      <c r="B28" s="270"/>
      <c r="C28" s="306">
        <f>+'Q1 Mgmt Summary'!C28+'QTD Mgmt Summary'!C28</f>
        <v>22724</v>
      </c>
      <c r="D28" s="43">
        <f>+'Q1 Mgmt Summary'!D28+'QTD Mgmt Summary'!D28</f>
        <v>15006</v>
      </c>
      <c r="E28" s="236">
        <f>+C28-D28</f>
        <v>7718</v>
      </c>
      <c r="F28" s="274"/>
      <c r="G28" s="306">
        <f>+'Q1 Mgmt Summary'!G28+'QTD Mgmt Summary'!G28</f>
        <v>6033</v>
      </c>
      <c r="H28" s="43">
        <f>+'Q1 Mgmt Summary'!H28+'QTD Mgmt Summary'!H28</f>
        <v>6513</v>
      </c>
      <c r="I28" s="236">
        <f>+H28-G28</f>
        <v>480</v>
      </c>
      <c r="J28" s="237"/>
      <c r="K28" s="235">
        <f t="shared" si="5"/>
        <v>16691</v>
      </c>
      <c r="L28" s="41">
        <f t="shared" si="5"/>
        <v>8493</v>
      </c>
      <c r="M28" s="236">
        <f>+K28-L28</f>
        <v>8198</v>
      </c>
    </row>
    <row r="29" spans="1:13" s="204" customFormat="1" ht="12" customHeight="1" x14ac:dyDescent="0.25">
      <c r="A29" s="261" t="s">
        <v>86</v>
      </c>
      <c r="B29" s="271"/>
      <c r="C29" s="297">
        <f>SUM(C26:C28)</f>
        <v>73995</v>
      </c>
      <c r="D29" s="297">
        <f>SUM(D26:D28)</f>
        <v>102398</v>
      </c>
      <c r="E29" s="264">
        <f>SUM(E26:E28)</f>
        <v>-28403</v>
      </c>
      <c r="F29" s="275"/>
      <c r="G29" s="297">
        <f>SUM(G26:G28)</f>
        <v>148177</v>
      </c>
      <c r="H29" s="297">
        <f>SUM(H26:H28)</f>
        <v>144694</v>
      </c>
      <c r="I29" s="264">
        <f>SUM(I26:I28)</f>
        <v>-3483</v>
      </c>
      <c r="J29" s="238"/>
      <c r="K29" s="262">
        <v>-9167</v>
      </c>
      <c r="L29" s="263">
        <v>-20328</v>
      </c>
      <c r="M29" s="264">
        <f>SUM(M26:M28)</f>
        <v>-31886</v>
      </c>
    </row>
    <row r="30" spans="1:13" ht="12" customHeight="1" x14ac:dyDescent="0.2">
      <c r="A30" s="230"/>
      <c r="B30" s="270"/>
      <c r="C30" s="235"/>
      <c r="D30" s="295"/>
      <c r="E30" s="236"/>
      <c r="F30" s="274"/>
      <c r="G30" s="235"/>
      <c r="H30" s="295"/>
      <c r="I30" s="236"/>
      <c r="J30" s="237"/>
      <c r="K30" s="235"/>
      <c r="L30" s="41"/>
      <c r="M30" s="236"/>
    </row>
    <row r="31" spans="1:13" ht="12" customHeight="1" x14ac:dyDescent="0.2">
      <c r="A31" s="230" t="s">
        <v>9</v>
      </c>
      <c r="B31" s="270"/>
      <c r="C31" s="305">
        <f>+'Q1 Mgmt Summary'!C31+'QTD Mgmt Summary'!C31</f>
        <v>68851</v>
      </c>
      <c r="D31" s="43">
        <f>+'Q1 Mgmt Summary'!D31+'QTD Mgmt Summary'!D31</f>
        <v>30764</v>
      </c>
      <c r="E31" s="236">
        <f>+C31-D31</f>
        <v>38087</v>
      </c>
      <c r="F31" s="274"/>
      <c r="G31" s="305">
        <f>+'Q1 Mgmt Summary'!G31+'QTD Mgmt Summary'!G31</f>
        <v>5125</v>
      </c>
      <c r="H31" s="43">
        <f>+'Q1 Mgmt Summary'!H31+'QTD Mgmt Summary'!H31</f>
        <v>6895</v>
      </c>
      <c r="I31" s="236">
        <f>+H31-G31</f>
        <v>1770</v>
      </c>
      <c r="J31" s="237"/>
      <c r="K31" s="235">
        <f t="shared" ref="K31:L33" si="6">+C31-G31</f>
        <v>63726</v>
      </c>
      <c r="L31" s="41">
        <f t="shared" si="6"/>
        <v>23869</v>
      </c>
      <c r="M31" s="236">
        <f>+K31-L31</f>
        <v>39857</v>
      </c>
    </row>
    <row r="32" spans="1:13" ht="12" customHeight="1" x14ac:dyDescent="0.2">
      <c r="A32" s="230" t="s">
        <v>151</v>
      </c>
      <c r="B32" s="270"/>
      <c r="C32" s="305">
        <f>+'Q1 Mgmt Summary'!C32+'QTD Mgmt Summary'!C32</f>
        <v>353</v>
      </c>
      <c r="D32" s="43">
        <f>+'Q1 Mgmt Summary'!D32+'QTD Mgmt Summary'!D32</f>
        <v>26459</v>
      </c>
      <c r="E32" s="236">
        <f>+C32-D32</f>
        <v>-26106</v>
      </c>
      <c r="F32" s="274"/>
      <c r="G32" s="305">
        <f>+'Q1 Mgmt Summary'!G32+'QTD Mgmt Summary'!G32</f>
        <v>11998</v>
      </c>
      <c r="H32" s="43">
        <f>+'Q1 Mgmt Summary'!H32+'QTD Mgmt Summary'!H32</f>
        <v>14466</v>
      </c>
      <c r="I32" s="236">
        <f>+H32-G32</f>
        <v>2468</v>
      </c>
      <c r="J32" s="237"/>
      <c r="K32" s="235">
        <f t="shared" si="6"/>
        <v>-11645</v>
      </c>
      <c r="L32" s="41">
        <f t="shared" si="6"/>
        <v>11993</v>
      </c>
      <c r="M32" s="236">
        <f>+K32-L32</f>
        <v>-23638</v>
      </c>
    </row>
    <row r="33" spans="1:13" x14ac:dyDescent="0.2">
      <c r="A33" s="230" t="s">
        <v>154</v>
      </c>
      <c r="B33" s="270"/>
      <c r="C33" s="306">
        <f>+'Q1 Mgmt Summary'!C33+'QTD Mgmt Summary'!C33</f>
        <v>-22058</v>
      </c>
      <c r="D33" s="51">
        <f>+'Q1 Mgmt Summary'!D33+'QTD Mgmt Summary'!D33</f>
        <v>29109</v>
      </c>
      <c r="E33" s="236">
        <f>+C33-D33</f>
        <v>-51167</v>
      </c>
      <c r="F33" s="229"/>
      <c r="G33" s="306">
        <f>+'Q1 Mgmt Summary'!G33+'QTD Mgmt Summary'!G33</f>
        <v>19833</v>
      </c>
      <c r="H33" s="51">
        <f>+'Q1 Mgmt Summary'!H33+'QTD Mgmt Summary'!H33</f>
        <v>20771</v>
      </c>
      <c r="I33" s="236">
        <f>+H33-G33</f>
        <v>938</v>
      </c>
      <c r="J33" s="229"/>
      <c r="K33" s="235">
        <f t="shared" si="6"/>
        <v>-41891</v>
      </c>
      <c r="L33" s="41">
        <f t="shared" si="6"/>
        <v>8338</v>
      </c>
      <c r="M33" s="236">
        <f>+K33-L33</f>
        <v>-50229</v>
      </c>
    </row>
    <row r="34" spans="1:13" s="204" customFormat="1" ht="12" customHeight="1" x14ac:dyDescent="0.25">
      <c r="A34" s="261" t="s">
        <v>87</v>
      </c>
      <c r="B34" s="271"/>
      <c r="C34" s="297">
        <f>SUM(C31:C33)</f>
        <v>47146</v>
      </c>
      <c r="D34" s="297">
        <f>SUM(D31:D33)</f>
        <v>86332</v>
      </c>
      <c r="E34" s="264">
        <f>SUM(E31:E33)</f>
        <v>-39186</v>
      </c>
      <c r="F34" s="275"/>
      <c r="G34" s="297">
        <f>SUM(G31:G33)</f>
        <v>36956</v>
      </c>
      <c r="H34" s="297">
        <f>SUM(H31:H33)</f>
        <v>42132</v>
      </c>
      <c r="I34" s="264">
        <f>SUM(I31:I33)</f>
        <v>5176</v>
      </c>
      <c r="J34" s="238"/>
      <c r="K34" s="262">
        <v>-49969</v>
      </c>
      <c r="L34" s="263">
        <v>24814</v>
      </c>
      <c r="M34" s="264">
        <f>SUM(M31:M33)</f>
        <v>-34010</v>
      </c>
    </row>
    <row r="35" spans="1:13" ht="12" customHeight="1" x14ac:dyDescent="0.2">
      <c r="A35" s="240"/>
      <c r="B35" s="270"/>
      <c r="C35" s="241"/>
      <c r="D35" s="300"/>
      <c r="E35" s="242"/>
      <c r="F35" s="274"/>
      <c r="G35" s="241"/>
      <c r="H35" s="300"/>
      <c r="I35" s="242"/>
      <c r="J35" s="237"/>
      <c r="K35" s="241"/>
      <c r="L35" s="104"/>
      <c r="M35" s="242"/>
    </row>
    <row r="36" spans="1:13" ht="12" customHeight="1" x14ac:dyDescent="0.2">
      <c r="A36" s="240" t="s">
        <v>8</v>
      </c>
      <c r="B36" s="270"/>
      <c r="C36" s="305">
        <f>+'Q1 Mgmt Summary'!C36+'QTD Mgmt Summary'!C36</f>
        <v>1400</v>
      </c>
      <c r="D36" s="43">
        <f>+'Q1 Mgmt Summary'!D36+'QTD Mgmt Summary'!D36</f>
        <v>5000</v>
      </c>
      <c r="E36" s="236">
        <f>+C36-D36</f>
        <v>-3600</v>
      </c>
      <c r="F36" s="274"/>
      <c r="G36" s="305">
        <f>+'Q1 Mgmt Summary'!G36+'QTD Mgmt Summary'!G36</f>
        <v>16859</v>
      </c>
      <c r="H36" s="43">
        <f>+'Q1 Mgmt Summary'!H36+'QTD Mgmt Summary'!H36</f>
        <v>16906</v>
      </c>
      <c r="I36" s="236">
        <f>+H36-G36</f>
        <v>47</v>
      </c>
      <c r="J36" s="237"/>
      <c r="K36" s="235">
        <f t="shared" ref="K36:L38" si="7">+C36-G36</f>
        <v>-15459</v>
      </c>
      <c r="L36" s="41">
        <f t="shared" si="7"/>
        <v>-11906</v>
      </c>
      <c r="M36" s="236">
        <f>+K36-L36</f>
        <v>-3553</v>
      </c>
    </row>
    <row r="37" spans="1:13" ht="12" customHeight="1" x14ac:dyDescent="0.2">
      <c r="A37" s="240" t="s">
        <v>7</v>
      </c>
      <c r="B37" s="270"/>
      <c r="C37" s="305">
        <f>+'Q1 Mgmt Summary'!C37+'QTD Mgmt Summary'!C37</f>
        <v>0</v>
      </c>
      <c r="D37" s="43">
        <f>+'Q1 Mgmt Summary'!D37+'QTD Mgmt Summary'!D37</f>
        <v>0</v>
      </c>
      <c r="E37" s="236">
        <f>+C37-D37</f>
        <v>0</v>
      </c>
      <c r="F37" s="274"/>
      <c r="G37" s="305">
        <f>+'Q1 Mgmt Summary'!G37+'QTD Mgmt Summary'!G37</f>
        <v>15713</v>
      </c>
      <c r="H37" s="43">
        <f>+'Q1 Mgmt Summary'!H37+'QTD Mgmt Summary'!H37</f>
        <v>14580</v>
      </c>
      <c r="I37" s="236">
        <f>+H37-G37</f>
        <v>-1133</v>
      </c>
      <c r="J37" s="237"/>
      <c r="K37" s="235">
        <f t="shared" si="7"/>
        <v>-15713</v>
      </c>
      <c r="L37" s="41">
        <f t="shared" si="7"/>
        <v>-14580</v>
      </c>
      <c r="M37" s="236">
        <f>+K37-L37</f>
        <v>-1133</v>
      </c>
    </row>
    <row r="38" spans="1:13" ht="12" customHeight="1" x14ac:dyDescent="0.2">
      <c r="A38" s="240" t="s">
        <v>19</v>
      </c>
      <c r="B38" s="270"/>
      <c r="C38" s="306">
        <f>+'Q1 Mgmt Summary'!C38+'QTD Mgmt Summary'!C38</f>
        <v>0</v>
      </c>
      <c r="D38" s="51">
        <f>+'Q1 Mgmt Summary'!D38+'QTD Mgmt Summary'!D38</f>
        <v>76450</v>
      </c>
      <c r="E38" s="236">
        <f>+C38-D38</f>
        <v>-76450</v>
      </c>
      <c r="F38" s="274"/>
      <c r="G38" s="306">
        <f>+'Q1 Mgmt Summary'!G38+'QTD Mgmt Summary'!G38</f>
        <v>0</v>
      </c>
      <c r="H38" s="51">
        <f>+'Q1 Mgmt Summary'!H38+'QTD Mgmt Summary'!H38</f>
        <v>0</v>
      </c>
      <c r="I38" s="236">
        <f>+H38-G38</f>
        <v>0</v>
      </c>
      <c r="J38" s="237"/>
      <c r="K38" s="235">
        <f t="shared" si="7"/>
        <v>0</v>
      </c>
      <c r="L38" s="41">
        <f t="shared" si="7"/>
        <v>76450</v>
      </c>
      <c r="M38" s="236">
        <f>+K38-L38</f>
        <v>-76450</v>
      </c>
    </row>
    <row r="39" spans="1:13" s="204" customFormat="1" ht="12" customHeight="1" x14ac:dyDescent="0.25">
      <c r="A39" s="261" t="s">
        <v>10</v>
      </c>
      <c r="B39" s="271"/>
      <c r="C39" s="297">
        <f>C38+C37+C36+C34+C29+C24+C17</f>
        <v>387857</v>
      </c>
      <c r="D39" s="297">
        <f>D38+D37+D36+D34+D29+D24+D17</f>
        <v>736420</v>
      </c>
      <c r="E39" s="264">
        <f>E38+E37+E36+E34+E29+E24+E17</f>
        <v>-348563</v>
      </c>
      <c r="F39" s="275"/>
      <c r="G39" s="297">
        <f>G38+G37+G36+G34+G29+G24+G17</f>
        <v>382323</v>
      </c>
      <c r="H39" s="297">
        <f>H38+H37+H36+H34+H29+H24+H17</f>
        <v>393086</v>
      </c>
      <c r="I39" s="264">
        <f>I38+I37+I36+I34+I29+I24+I17</f>
        <v>10763</v>
      </c>
      <c r="J39" s="238"/>
      <c r="K39" s="262">
        <v>-21321</v>
      </c>
      <c r="L39" s="263">
        <v>199411</v>
      </c>
      <c r="M39" s="264">
        <f>M38+M37+M36+M34+M29+M24+M17</f>
        <v>-337800</v>
      </c>
    </row>
    <row r="40" spans="1:13" ht="12" customHeight="1" x14ac:dyDescent="0.2">
      <c r="A40" s="240"/>
      <c r="B40" s="270"/>
      <c r="C40" s="241"/>
      <c r="D40" s="300"/>
      <c r="E40" s="242"/>
      <c r="F40" s="274"/>
      <c r="G40" s="241"/>
      <c r="H40" s="300"/>
      <c r="I40" s="242"/>
      <c r="J40" s="237"/>
      <c r="K40" s="241"/>
      <c r="L40" s="104"/>
      <c r="M40" s="242"/>
    </row>
    <row r="41" spans="1:13" ht="12" customHeight="1" x14ac:dyDescent="0.2">
      <c r="A41" s="240" t="s">
        <v>265</v>
      </c>
      <c r="B41" s="270"/>
      <c r="C41" s="305">
        <f>+'Q1 Mgmt Summary'!C41+'QTD Mgmt Summary'!C41</f>
        <v>0</v>
      </c>
      <c r="D41" s="43">
        <f>+'Q1 Mgmt Summary'!D41+'QTD Mgmt Summary'!D41</f>
        <v>0</v>
      </c>
      <c r="E41" s="236">
        <f>+C41-D41</f>
        <v>0</v>
      </c>
      <c r="F41" s="274"/>
      <c r="G41" s="305">
        <f>+'Q1 Mgmt Summary'!G41+'QTD Mgmt Summary'!G41</f>
        <v>0</v>
      </c>
      <c r="H41" s="43">
        <f>+'Q1 Mgmt Summary'!H41+'QTD Mgmt Summary'!H41</f>
        <v>0</v>
      </c>
      <c r="I41" s="236">
        <f>+H41-G41</f>
        <v>0</v>
      </c>
      <c r="J41" s="237"/>
      <c r="K41" s="235">
        <f>+C41-G41</f>
        <v>0</v>
      </c>
      <c r="L41" s="41">
        <f>+D41-H41</f>
        <v>0</v>
      </c>
      <c r="M41" s="236">
        <f>+K41-L41</f>
        <v>0</v>
      </c>
    </row>
    <row r="42" spans="1:13" ht="12" customHeight="1" x14ac:dyDescent="0.2">
      <c r="A42" s="240" t="s">
        <v>266</v>
      </c>
      <c r="B42" s="270"/>
      <c r="C42" s="305">
        <f>+'Q1 Mgmt Summary'!C42+'QTD Mgmt Summary'!C42</f>
        <v>0</v>
      </c>
      <c r="D42" s="43">
        <f>+'Q1 Mgmt Summary'!D42+'QTD Mgmt Summary'!D42</f>
        <v>0</v>
      </c>
      <c r="E42" s="236">
        <f>+C42-D42</f>
        <v>0</v>
      </c>
      <c r="F42" s="274"/>
      <c r="G42" s="305">
        <f>+'Q1 Mgmt Summary'!G42+'QTD Mgmt Summary'!G42</f>
        <v>47642</v>
      </c>
      <c r="H42" s="43">
        <f>+'Q1 Mgmt Summary'!H42+'QTD Mgmt Summary'!H42</f>
        <v>24273</v>
      </c>
      <c r="I42" s="236">
        <f>+H42-G42</f>
        <v>-23369</v>
      </c>
      <c r="J42" s="237"/>
      <c r="K42" s="235">
        <f t="shared" ref="K42:L44" si="8">+C42-G42</f>
        <v>-47642</v>
      </c>
      <c r="L42" s="41">
        <f t="shared" si="8"/>
        <v>-24273</v>
      </c>
      <c r="M42" s="236">
        <f>+K42-L42</f>
        <v>-23369</v>
      </c>
    </row>
    <row r="43" spans="1:13" ht="12" customHeight="1" x14ac:dyDescent="0.2">
      <c r="A43" s="240" t="s">
        <v>18</v>
      </c>
      <c r="B43" s="270"/>
      <c r="C43" s="305">
        <f>+'Q1 Mgmt Summary'!C43+'QTD Mgmt Summary'!C43</f>
        <v>-41525</v>
      </c>
      <c r="D43" s="43">
        <f>+'Q1 Mgmt Summary'!D43+'QTD Mgmt Summary'!D43</f>
        <v>-21590</v>
      </c>
      <c r="E43" s="236">
        <f>+C43-D43</f>
        <v>-19935</v>
      </c>
      <c r="F43" s="276"/>
      <c r="G43" s="305">
        <f>+'Q1 Mgmt Summary'!G43+'QTD Mgmt Summary'!G43</f>
        <v>41411</v>
      </c>
      <c r="H43" s="43">
        <f>+'Q1 Mgmt Summary'!H43+'QTD Mgmt Summary'!H43</f>
        <v>49287</v>
      </c>
      <c r="I43" s="236">
        <f>+H43-G43</f>
        <v>7876</v>
      </c>
      <c r="J43" s="237"/>
      <c r="K43" s="235">
        <f t="shared" si="8"/>
        <v>-82936</v>
      </c>
      <c r="L43" s="41">
        <f t="shared" si="8"/>
        <v>-70877</v>
      </c>
      <c r="M43" s="236">
        <f>+K43-L43</f>
        <v>-12059</v>
      </c>
    </row>
    <row r="44" spans="1:13" ht="12" customHeight="1" x14ac:dyDescent="0.2">
      <c r="A44" s="240" t="s">
        <v>60</v>
      </c>
      <c r="B44" s="270"/>
      <c r="C44" s="305">
        <f>+'Q1 Mgmt Summary'!C44+'QTD Mgmt Summary'!C44</f>
        <v>0</v>
      </c>
      <c r="D44" s="43">
        <f>+'Q1 Mgmt Summary'!D44+'QTD Mgmt Summary'!D44</f>
        <v>0</v>
      </c>
      <c r="E44" s="236">
        <f>+C44-D44</f>
        <v>0</v>
      </c>
      <c r="F44" s="274"/>
      <c r="G44" s="305">
        <f>+'Q1 Mgmt Summary'!G44+'QTD Mgmt Summary'!G44</f>
        <v>-72304</v>
      </c>
      <c r="H44" s="43">
        <f>+'Q1 Mgmt Summary'!H44+'QTD Mgmt Summary'!H44</f>
        <v>-82814</v>
      </c>
      <c r="I44" s="236">
        <f>+H44-G44</f>
        <v>-10510</v>
      </c>
      <c r="J44" s="237"/>
      <c r="K44" s="235">
        <f t="shared" si="8"/>
        <v>72304</v>
      </c>
      <c r="L44" s="41">
        <f t="shared" si="8"/>
        <v>82814</v>
      </c>
      <c r="M44" s="236">
        <f>+K44-L44</f>
        <v>-10510</v>
      </c>
    </row>
    <row r="45" spans="1:13" s="204" customFormat="1" ht="12" customHeight="1" x14ac:dyDescent="0.25">
      <c r="A45" s="261" t="s">
        <v>65</v>
      </c>
      <c r="B45" s="271"/>
      <c r="C45" s="297">
        <f>SUM(C39:C44)</f>
        <v>346332</v>
      </c>
      <c r="D45" s="297">
        <f>SUM(D39:D44)</f>
        <v>714830</v>
      </c>
      <c r="E45" s="265">
        <f>SUM(E39:E44)</f>
        <v>-368498</v>
      </c>
      <c r="F45" s="275"/>
      <c r="G45" s="297">
        <f>SUM(G39:G44)</f>
        <v>399072</v>
      </c>
      <c r="H45" s="297">
        <f>SUM(H39:H44)</f>
        <v>383832</v>
      </c>
      <c r="I45" s="265">
        <f>SUM(I39:I44)</f>
        <v>-15240</v>
      </c>
      <c r="J45" s="238"/>
      <c r="K45" s="262">
        <v>-45083</v>
      </c>
      <c r="L45" s="263">
        <v>187598</v>
      </c>
      <c r="M45" s="265">
        <f>SUM(M39:M44)</f>
        <v>-383738</v>
      </c>
    </row>
    <row r="46" spans="1:13" ht="12" customHeight="1" thickBot="1" x14ac:dyDescent="0.25">
      <c r="A46" s="240" t="s">
        <v>150</v>
      </c>
      <c r="B46" s="270"/>
      <c r="C46" s="235">
        <f>+'[2]1Q'!C46+'[2]2QTD'!C46</f>
        <v>0</v>
      </c>
      <c r="D46" s="295">
        <f>+'[2]1Q'!D46+'[2]2QTD'!D46</f>
        <v>0</v>
      </c>
      <c r="E46" s="236">
        <f>+C46-D46</f>
        <v>0</v>
      </c>
      <c r="F46" s="274"/>
      <c r="G46" s="235">
        <f>+'[2]1Q'!G46+'[2]2QTD'!G46</f>
        <v>9823</v>
      </c>
      <c r="H46" s="295">
        <f>+'[2]1Q'!H46+'[2]2QTD'!H46</f>
        <v>20600</v>
      </c>
      <c r="I46" s="236">
        <f>+H46-G46</f>
        <v>10777</v>
      </c>
      <c r="J46" s="237"/>
      <c r="K46" s="235">
        <f>+C46-G46</f>
        <v>-9823</v>
      </c>
      <c r="L46" s="41">
        <f>+D46-H46</f>
        <v>-20600</v>
      </c>
      <c r="M46" s="236">
        <f>+K46-L46</f>
        <v>10777</v>
      </c>
    </row>
    <row r="47" spans="1:13" s="204" customFormat="1" ht="12" customHeight="1" thickBot="1" x14ac:dyDescent="0.3">
      <c r="A47" s="287" t="s">
        <v>66</v>
      </c>
      <c r="B47" s="288"/>
      <c r="C47" s="302">
        <f>SUM(C45:C46)</f>
        <v>346332</v>
      </c>
      <c r="D47" s="302">
        <f>SUM(D45:D46)</f>
        <v>714830</v>
      </c>
      <c r="E47" s="291">
        <f>SUM(E45:E46)</f>
        <v>-368498</v>
      </c>
      <c r="F47" s="292"/>
      <c r="G47" s="302">
        <f>SUM(G45:G46)</f>
        <v>408895</v>
      </c>
      <c r="H47" s="302">
        <f>SUM(H45:H46)</f>
        <v>404432</v>
      </c>
      <c r="I47" s="291">
        <f>SUM(I45:I46)</f>
        <v>-4463</v>
      </c>
      <c r="J47" s="292"/>
      <c r="K47" s="289">
        <v>-53683</v>
      </c>
      <c r="L47" s="290">
        <v>178998</v>
      </c>
      <c r="M47" s="291">
        <f>SUM(M45:M46)</f>
        <v>-372961</v>
      </c>
    </row>
    <row r="48" spans="1:13" ht="3" customHeight="1" x14ac:dyDescent="0.3">
      <c r="A48" s="185"/>
      <c r="C48" s="186"/>
      <c r="D48" s="42"/>
      <c r="E48" s="185"/>
      <c r="F48" s="44"/>
      <c r="I48" s="177"/>
    </row>
    <row r="49" spans="1:8" x14ac:dyDescent="0.2">
      <c r="A49" s="177" t="s">
        <v>149</v>
      </c>
      <c r="C49" s="44"/>
      <c r="D49" s="42"/>
      <c r="E49" s="44"/>
      <c r="F49" s="44"/>
    </row>
    <row r="50" spans="1:8" ht="13.5" customHeight="1" x14ac:dyDescent="0.2">
      <c r="D50" s="38"/>
      <c r="E50" s="38"/>
      <c r="F50" s="38"/>
      <c r="G50" s="38"/>
      <c r="H50" s="38"/>
    </row>
    <row r="51" spans="1:8" ht="13.8" x14ac:dyDescent="0.3">
      <c r="A51" s="266" t="s">
        <v>254</v>
      </c>
      <c r="B51" s="310">
        <v>36525</v>
      </c>
      <c r="C51" s="311"/>
    </row>
    <row r="52" spans="1:8" x14ac:dyDescent="0.2">
      <c r="A52" s="244" t="s">
        <v>182</v>
      </c>
      <c r="B52" s="205"/>
      <c r="C52" s="66">
        <f>254171+GrossMargin!D52</f>
        <v>276370</v>
      </c>
    </row>
    <row r="53" spans="1:8" x14ac:dyDescent="0.2">
      <c r="A53" s="244" t="s">
        <v>136</v>
      </c>
      <c r="B53" s="205"/>
      <c r="C53" s="66">
        <f>93733+GrossMargin!E52</f>
        <v>43198</v>
      </c>
    </row>
    <row r="54" spans="1:8" x14ac:dyDescent="0.2">
      <c r="A54" s="245" t="s">
        <v>183</v>
      </c>
      <c r="B54" s="246"/>
      <c r="C54" s="247">
        <f>18528+GrossMargin!F52+GrossMargin!G52+GrossMargin!H52</f>
        <v>26764</v>
      </c>
    </row>
    <row r="55" spans="1:8" ht="13.8" x14ac:dyDescent="0.3">
      <c r="A55" s="266" t="s">
        <v>184</v>
      </c>
      <c r="B55" s="267"/>
      <c r="C55" s="268">
        <f>SUM(C52:C54)</f>
        <v>346332</v>
      </c>
    </row>
  </sheetData>
  <mergeCells count="4">
    <mergeCell ref="C5:E5"/>
    <mergeCell ref="G5:I5"/>
    <mergeCell ref="K5:M5"/>
    <mergeCell ref="B51:C51"/>
  </mergeCells>
  <pageMargins left="0.75" right="0.75" top="1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zoomScale="75" workbookViewId="0">
      <selection activeCell="E16" sqref="E16"/>
    </sheetView>
  </sheetViews>
  <sheetFormatPr defaultColWidth="9.109375" defaultRowHeight="10.199999999999999" x14ac:dyDescent="0.2"/>
  <cols>
    <col min="1" max="2" width="2.6640625" style="27" customWidth="1"/>
    <col min="3" max="3" width="16.33203125" style="27" bestFit="1" customWidth="1"/>
    <col min="4" max="5" width="7.6640625" style="27" customWidth="1"/>
    <col min="6" max="6" width="13.6640625" style="27" customWidth="1"/>
    <col min="7" max="8" width="7.6640625" style="27" customWidth="1"/>
    <col min="9" max="9" width="13.6640625" style="27" customWidth="1"/>
    <col min="10" max="11" width="7.6640625" style="27" customWidth="1"/>
    <col min="12" max="12" width="13.6640625" style="27" customWidth="1"/>
    <col min="13" max="14" width="7.6640625" style="27" customWidth="1"/>
    <col min="15" max="15" width="7.44140625" style="27" customWidth="1"/>
    <col min="16" max="17" width="7.6640625" style="27" customWidth="1"/>
    <col min="18" max="18" width="13.6640625" style="27" customWidth="1"/>
    <col min="19" max="20" width="7.6640625" style="27" customWidth="1"/>
    <col min="21" max="21" width="13.6640625" style="27" customWidth="1"/>
    <col min="22" max="23" width="7.6640625" style="27" customWidth="1"/>
    <col min="24" max="16384" width="9.109375" style="27"/>
  </cols>
  <sheetData>
    <row r="1" spans="1:23" ht="9.75" customHeight="1" x14ac:dyDescent="0.2">
      <c r="B1" s="195"/>
      <c r="C1" s="195"/>
      <c r="D1" s="195"/>
      <c r="E1" s="153"/>
    </row>
    <row r="2" spans="1:23" s="208" customFormat="1" ht="27" customHeight="1" x14ac:dyDescent="0.5">
      <c r="A2" s="196" t="s">
        <v>227</v>
      </c>
      <c r="B2" s="196"/>
      <c r="C2" s="206"/>
      <c r="D2" s="206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59" t="s">
        <v>261</v>
      </c>
      <c r="R2" s="207"/>
      <c r="S2" s="207"/>
      <c r="T2" s="198"/>
    </row>
    <row r="3" spans="1:23" s="209" customFormat="1" ht="13.5" customHeight="1" x14ac:dyDescent="0.25">
      <c r="B3" s="210"/>
      <c r="D3" s="211"/>
      <c r="E3" s="212"/>
      <c r="F3" s="212"/>
      <c r="G3" s="212"/>
      <c r="H3" s="212"/>
      <c r="I3" s="212"/>
      <c r="J3" s="212"/>
      <c r="K3" s="212"/>
      <c r="L3" s="328" t="str">
        <f>'Old Mgmt Summary'!A3</f>
        <v>Results based on Activity through April 14, 2000</v>
      </c>
      <c r="M3" s="328"/>
      <c r="N3" s="328"/>
      <c r="O3" s="328"/>
      <c r="P3" s="328"/>
      <c r="Q3" s="328"/>
      <c r="R3" s="212"/>
      <c r="S3" s="212"/>
      <c r="T3" s="213"/>
      <c r="W3" s="214"/>
    </row>
    <row r="4" spans="1:23" s="209" customFormat="1" ht="15" customHeight="1" x14ac:dyDescent="0.25">
      <c r="B4" s="210"/>
      <c r="C4" s="211"/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</row>
    <row r="5" spans="1:23" ht="13.8" x14ac:dyDescent="0.2">
      <c r="C5" s="325" t="s">
        <v>228</v>
      </c>
      <c r="D5" s="326"/>
      <c r="E5" s="327"/>
      <c r="F5" s="325" t="s">
        <v>229</v>
      </c>
      <c r="G5" s="326"/>
      <c r="H5" s="327"/>
      <c r="I5" s="325" t="s">
        <v>230</v>
      </c>
      <c r="J5" s="326"/>
      <c r="K5" s="327"/>
      <c r="L5" s="325" t="s">
        <v>231</v>
      </c>
      <c r="M5" s="326"/>
      <c r="N5" s="327"/>
      <c r="O5" s="325" t="s">
        <v>14</v>
      </c>
      <c r="P5" s="326"/>
      <c r="Q5" s="327"/>
      <c r="U5" s="38"/>
    </row>
    <row r="6" spans="1:23" ht="12" x14ac:dyDescent="0.35">
      <c r="A6" s="319" t="s">
        <v>232</v>
      </c>
      <c r="B6" s="322" t="s">
        <v>233</v>
      </c>
      <c r="C6" s="215" t="s">
        <v>234</v>
      </c>
      <c r="D6" s="216" t="s">
        <v>235</v>
      </c>
      <c r="E6" s="217"/>
      <c r="F6" s="215" t="s">
        <v>234</v>
      </c>
      <c r="G6" s="216" t="s">
        <v>235</v>
      </c>
      <c r="H6" s="217"/>
      <c r="I6" s="215" t="s">
        <v>234</v>
      </c>
      <c r="J6" s="216" t="s">
        <v>235</v>
      </c>
      <c r="K6" s="217"/>
      <c r="L6" s="215" t="s">
        <v>234</v>
      </c>
      <c r="M6" s="216" t="s">
        <v>235</v>
      </c>
      <c r="N6" s="217"/>
      <c r="O6" s="215"/>
      <c r="P6" s="216"/>
      <c r="Q6" s="217"/>
      <c r="U6" s="38"/>
    </row>
    <row r="7" spans="1:23" x14ac:dyDescent="0.2">
      <c r="A7" s="320"/>
      <c r="B7" s="323"/>
      <c r="C7" s="41"/>
      <c r="D7" s="42"/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U7" s="38"/>
    </row>
    <row r="8" spans="1:23" x14ac:dyDescent="0.2">
      <c r="A8" s="320"/>
      <c r="B8" s="323"/>
      <c r="C8" s="41"/>
      <c r="D8" s="42"/>
      <c r="E8" s="43"/>
      <c r="F8" s="41"/>
      <c r="G8" s="42"/>
      <c r="H8" s="43"/>
      <c r="I8" s="41"/>
      <c r="J8" s="42"/>
      <c r="K8" s="43"/>
      <c r="L8" s="41"/>
      <c r="M8" s="42"/>
      <c r="N8" s="43"/>
      <c r="O8" s="41"/>
      <c r="P8" s="42"/>
      <c r="Q8" s="43"/>
      <c r="U8" s="38"/>
    </row>
    <row r="9" spans="1:23" x14ac:dyDescent="0.2">
      <c r="A9" s="320"/>
      <c r="B9" s="323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3"/>
      <c r="O9" s="41"/>
      <c r="P9" s="42"/>
      <c r="Q9" s="43"/>
    </row>
    <row r="10" spans="1:23" x14ac:dyDescent="0.2">
      <c r="A10" s="320"/>
      <c r="B10" s="323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</row>
    <row r="11" spans="1:23" x14ac:dyDescent="0.2">
      <c r="A11" s="320"/>
      <c r="B11" s="323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3"/>
      <c r="O11" s="41"/>
      <c r="P11" s="42"/>
      <c r="Q11" s="43"/>
    </row>
    <row r="12" spans="1:23" x14ac:dyDescent="0.2">
      <c r="A12" s="320"/>
      <c r="B12" s="323"/>
      <c r="C12" s="41"/>
      <c r="D12" s="42"/>
      <c r="E12" s="43"/>
      <c r="F12" s="41"/>
      <c r="G12" s="42"/>
      <c r="H12" s="43"/>
      <c r="I12" s="41"/>
      <c r="J12" s="42"/>
      <c r="K12" s="43"/>
      <c r="L12" s="41"/>
      <c r="M12" s="42"/>
      <c r="N12" s="43"/>
      <c r="O12" s="41"/>
      <c r="P12" s="42"/>
      <c r="Q12" s="43"/>
    </row>
    <row r="13" spans="1:23" x14ac:dyDescent="0.2">
      <c r="A13" s="320"/>
      <c r="B13" s="323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</row>
    <row r="14" spans="1:23" x14ac:dyDescent="0.2">
      <c r="A14" s="320"/>
      <c r="B14" s="323"/>
      <c r="C14" s="41"/>
      <c r="D14" s="42"/>
      <c r="E14" s="43"/>
      <c r="F14" s="41"/>
      <c r="G14" s="42"/>
      <c r="H14" s="43"/>
      <c r="I14" s="41"/>
      <c r="J14" s="42"/>
      <c r="K14" s="43"/>
      <c r="L14" s="41"/>
      <c r="M14" s="42"/>
      <c r="N14" s="43"/>
      <c r="O14" s="41"/>
      <c r="P14" s="42"/>
      <c r="Q14" s="43"/>
    </row>
    <row r="15" spans="1:23" ht="12" x14ac:dyDescent="0.35">
      <c r="A15" s="320"/>
      <c r="B15" s="323"/>
      <c r="C15" s="219" t="s">
        <v>236</v>
      </c>
      <c r="D15" s="220"/>
      <c r="E15" s="221" t="s">
        <v>19</v>
      </c>
      <c r="F15" s="219" t="s">
        <v>236</v>
      </c>
      <c r="G15" s="220"/>
      <c r="H15" s="221" t="s">
        <v>19</v>
      </c>
      <c r="I15" s="219" t="s">
        <v>236</v>
      </c>
      <c r="J15" s="220"/>
      <c r="K15" s="221" t="s">
        <v>19</v>
      </c>
      <c r="L15" s="219" t="s">
        <v>236</v>
      </c>
      <c r="M15" s="220"/>
      <c r="N15" s="221" t="s">
        <v>19</v>
      </c>
      <c r="O15" s="219" t="s">
        <v>236</v>
      </c>
      <c r="P15" s="220"/>
      <c r="Q15" s="221" t="s">
        <v>19</v>
      </c>
    </row>
    <row r="16" spans="1:23" x14ac:dyDescent="0.2">
      <c r="A16" s="321"/>
      <c r="B16" s="324"/>
      <c r="C16" s="222">
        <v>20493</v>
      </c>
      <c r="D16" s="222">
        <f>SUM(D7:D15)</f>
        <v>0</v>
      </c>
      <c r="E16" s="222">
        <f>IF(C16-D16&gt;0,C16-D16,)</f>
        <v>20493</v>
      </c>
      <c r="F16" s="222">
        <v>21493</v>
      </c>
      <c r="G16" s="222">
        <f>SUM(G7:G15)</f>
        <v>0</v>
      </c>
      <c r="H16" s="222">
        <f>IF(F16-G16&gt;0,F16-G16,)</f>
        <v>21493</v>
      </c>
      <c r="I16" s="222">
        <v>22344</v>
      </c>
      <c r="J16" s="222">
        <f>SUM(J7:J15)</f>
        <v>0</v>
      </c>
      <c r="K16" s="222">
        <f>IF(I16-J16&gt;0,I16-J16,)</f>
        <v>22344</v>
      </c>
      <c r="L16" s="222">
        <f>14243*1.35</f>
        <v>19228.050000000003</v>
      </c>
      <c r="M16" s="222">
        <f>SUM(M7:M15)</f>
        <v>0</v>
      </c>
      <c r="N16" s="222">
        <f>IF(L16-M16&gt;0,L16-M16,)</f>
        <v>19228.050000000003</v>
      </c>
      <c r="O16" s="222">
        <f>L16+I16+F16+C16</f>
        <v>83558.05</v>
      </c>
      <c r="P16" s="222">
        <f>M16+J16+G16+D16</f>
        <v>0</v>
      </c>
      <c r="Q16" s="222">
        <f>IF(O16-P16&gt;0,O16-P16,)</f>
        <v>83558.05</v>
      </c>
    </row>
    <row r="17" spans="1:17" ht="12" x14ac:dyDescent="0.35">
      <c r="A17" s="319" t="s">
        <v>237</v>
      </c>
      <c r="B17" s="322" t="s">
        <v>233</v>
      </c>
      <c r="C17" s="215" t="s">
        <v>234</v>
      </c>
      <c r="D17" s="216" t="s">
        <v>235</v>
      </c>
      <c r="E17" s="217"/>
      <c r="F17" s="215" t="s">
        <v>234</v>
      </c>
      <c r="G17" s="216" t="s">
        <v>235</v>
      </c>
      <c r="H17" s="217"/>
      <c r="I17" s="215" t="s">
        <v>234</v>
      </c>
      <c r="J17" s="216" t="s">
        <v>235</v>
      </c>
      <c r="K17" s="217"/>
      <c r="L17" s="215" t="s">
        <v>234</v>
      </c>
      <c r="M17" s="216" t="s">
        <v>235</v>
      </c>
      <c r="N17" s="217"/>
      <c r="O17" s="215"/>
      <c r="P17" s="216"/>
      <c r="Q17" s="217"/>
    </row>
    <row r="18" spans="1:17" x14ac:dyDescent="0.2">
      <c r="A18" s="320"/>
      <c r="B18" s="323"/>
      <c r="C18" s="41"/>
      <c r="D18" s="42"/>
      <c r="E18" s="43"/>
      <c r="F18" s="41"/>
      <c r="G18" s="42"/>
      <c r="H18" s="43"/>
      <c r="I18" s="41"/>
      <c r="J18" s="42"/>
      <c r="K18" s="43"/>
      <c r="L18" s="41"/>
      <c r="M18" s="42"/>
      <c r="N18" s="43"/>
      <c r="O18" s="41"/>
      <c r="P18" s="42"/>
      <c r="Q18" s="43"/>
    </row>
    <row r="19" spans="1:17" x14ac:dyDescent="0.2">
      <c r="A19" s="320"/>
      <c r="B19" s="323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3"/>
      <c r="O19" s="41"/>
      <c r="P19" s="42"/>
      <c r="Q19" s="43"/>
    </row>
    <row r="20" spans="1:17" x14ac:dyDescent="0.2">
      <c r="A20" s="320"/>
      <c r="B20" s="323"/>
      <c r="C20" s="41"/>
      <c r="D20" s="42"/>
      <c r="E20" s="43"/>
      <c r="F20" s="41"/>
      <c r="G20" s="42"/>
      <c r="H20" s="43"/>
      <c r="I20" s="41"/>
      <c r="J20" s="42"/>
      <c r="K20" s="43"/>
      <c r="L20" s="41"/>
      <c r="M20" s="42"/>
      <c r="N20" s="43"/>
      <c r="O20" s="41"/>
      <c r="P20" s="42"/>
      <c r="Q20" s="43"/>
    </row>
    <row r="21" spans="1:17" x14ac:dyDescent="0.2">
      <c r="A21" s="320"/>
      <c r="B21" s="323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3"/>
      <c r="O21" s="41"/>
      <c r="P21" s="42"/>
      <c r="Q21" s="43"/>
    </row>
    <row r="22" spans="1:17" x14ac:dyDescent="0.2">
      <c r="A22" s="320"/>
      <c r="B22" s="323"/>
      <c r="C22" s="41"/>
      <c r="D22" s="42"/>
      <c r="E22" s="43"/>
      <c r="F22" s="41"/>
      <c r="G22" s="42"/>
      <c r="H22" s="43"/>
      <c r="I22" s="41"/>
      <c r="J22" s="42"/>
      <c r="K22" s="43"/>
      <c r="L22" s="41"/>
      <c r="M22" s="42"/>
      <c r="N22" s="43"/>
      <c r="O22" s="41"/>
      <c r="P22" s="42"/>
      <c r="Q22" s="43"/>
    </row>
    <row r="23" spans="1:17" x14ac:dyDescent="0.2">
      <c r="A23" s="320"/>
      <c r="B23" s="323"/>
      <c r="C23" s="41"/>
      <c r="D23" s="42"/>
      <c r="E23" s="43"/>
      <c r="F23" s="41"/>
      <c r="G23" s="42"/>
      <c r="H23" s="43"/>
      <c r="I23" s="41"/>
      <c r="J23" s="42"/>
      <c r="K23" s="43"/>
      <c r="L23" s="41"/>
      <c r="M23" s="42"/>
      <c r="N23" s="43"/>
      <c r="O23" s="41"/>
      <c r="P23" s="42"/>
      <c r="Q23" s="43"/>
    </row>
    <row r="24" spans="1:17" x14ac:dyDescent="0.2">
      <c r="A24" s="320"/>
      <c r="B24" s="323"/>
      <c r="C24" s="41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3"/>
      <c r="O24" s="41"/>
      <c r="P24" s="42"/>
      <c r="Q24" s="43"/>
    </row>
    <row r="25" spans="1:17" x14ac:dyDescent="0.2">
      <c r="A25" s="320"/>
      <c r="B25" s="323"/>
      <c r="C25" s="41"/>
      <c r="D25" s="42"/>
      <c r="E25" s="43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</row>
    <row r="26" spans="1:17" ht="12" x14ac:dyDescent="0.35">
      <c r="A26" s="320"/>
      <c r="B26" s="323"/>
      <c r="C26" s="219" t="s">
        <v>236</v>
      </c>
      <c r="D26" s="220"/>
      <c r="E26" s="221" t="s">
        <v>19</v>
      </c>
      <c r="F26" s="219" t="s">
        <v>236</v>
      </c>
      <c r="G26" s="220"/>
      <c r="H26" s="221" t="s">
        <v>19</v>
      </c>
      <c r="I26" s="219" t="s">
        <v>236</v>
      </c>
      <c r="J26" s="220"/>
      <c r="K26" s="221" t="s">
        <v>19</v>
      </c>
      <c r="L26" s="219" t="s">
        <v>236</v>
      </c>
      <c r="M26" s="220"/>
      <c r="N26" s="221" t="s">
        <v>19</v>
      </c>
      <c r="O26" s="219" t="s">
        <v>236</v>
      </c>
      <c r="P26" s="220"/>
      <c r="Q26" s="221" t="s">
        <v>19</v>
      </c>
    </row>
    <row r="27" spans="1:17" x14ac:dyDescent="0.2">
      <c r="A27" s="321"/>
      <c r="B27" s="324"/>
      <c r="C27" s="222">
        <v>13235</v>
      </c>
      <c r="D27" s="222">
        <f>SUM(D18:D26)</f>
        <v>0</v>
      </c>
      <c r="E27" s="222">
        <f>IF(C27-D27&gt;0,C27-D27,)</f>
        <v>13235</v>
      </c>
      <c r="F27" s="222">
        <v>17163</v>
      </c>
      <c r="G27" s="222">
        <f>SUM(G18:G26)</f>
        <v>0</v>
      </c>
      <c r="H27" s="222">
        <f>IF(F27-G27&gt;0,F27-G27,)</f>
        <v>17163</v>
      </c>
      <c r="I27" s="222">
        <v>43231</v>
      </c>
      <c r="J27" s="222">
        <f>SUM(J18:J26)</f>
        <v>0</v>
      </c>
      <c r="K27" s="222">
        <f>IF(I27-J27&gt;0,I27-J27,)</f>
        <v>43231</v>
      </c>
      <c r="L27" s="222">
        <f>13235*1.35</f>
        <v>17867.25</v>
      </c>
      <c r="M27" s="222">
        <f>SUM(M18:M26)</f>
        <v>0</v>
      </c>
      <c r="N27" s="222">
        <f>IF(L27-M27&gt;0,L27-M27,)</f>
        <v>17867.25</v>
      </c>
      <c r="O27" s="222">
        <f>L27+I27+F27+C27</f>
        <v>91496.25</v>
      </c>
      <c r="P27" s="222">
        <f>M27+J27+G27+D27</f>
        <v>0</v>
      </c>
      <c r="Q27" s="222">
        <f>IF(O27-P27&gt;0,O27-P27,)</f>
        <v>91496.25</v>
      </c>
    </row>
    <row r="28" spans="1:17" ht="12" x14ac:dyDescent="0.35">
      <c r="A28" s="319" t="s">
        <v>238</v>
      </c>
      <c r="B28" s="322" t="s">
        <v>239</v>
      </c>
      <c r="C28" s="215" t="s">
        <v>234</v>
      </c>
      <c r="D28" s="216" t="s">
        <v>235</v>
      </c>
      <c r="E28" s="217"/>
      <c r="F28" s="215" t="s">
        <v>234</v>
      </c>
      <c r="G28" s="216" t="s">
        <v>235</v>
      </c>
      <c r="H28" s="217"/>
      <c r="I28" s="215" t="s">
        <v>234</v>
      </c>
      <c r="J28" s="216" t="s">
        <v>235</v>
      </c>
      <c r="K28" s="217"/>
      <c r="L28" s="215" t="s">
        <v>234</v>
      </c>
      <c r="M28" s="216" t="s">
        <v>235</v>
      </c>
      <c r="N28" s="217"/>
      <c r="O28" s="215"/>
      <c r="P28" s="216"/>
      <c r="Q28" s="217"/>
    </row>
    <row r="29" spans="1:17" x14ac:dyDescent="0.2">
      <c r="A29" s="320"/>
      <c r="B29" s="323"/>
      <c r="C29" s="27" t="s">
        <v>195</v>
      </c>
      <c r="D29" s="44">
        <v>116</v>
      </c>
      <c r="E29" s="43"/>
      <c r="F29" s="41"/>
      <c r="G29" s="42"/>
      <c r="H29" s="43"/>
      <c r="I29" s="41"/>
      <c r="J29" s="42"/>
      <c r="K29" s="43"/>
      <c r="L29" s="41"/>
      <c r="M29" s="42"/>
      <c r="N29" s="43"/>
      <c r="O29" s="41"/>
      <c r="P29" s="42"/>
      <c r="Q29" s="43"/>
    </row>
    <row r="30" spans="1:17" x14ac:dyDescent="0.2">
      <c r="A30" s="320"/>
      <c r="B30" s="323"/>
      <c r="C30" s="27" t="s">
        <v>196</v>
      </c>
      <c r="D30" s="44">
        <v>220</v>
      </c>
      <c r="E30" s="43"/>
      <c r="F30" s="41"/>
      <c r="G30" s="42"/>
      <c r="H30" s="43"/>
      <c r="I30" s="41"/>
      <c r="J30" s="42"/>
      <c r="K30" s="43"/>
      <c r="L30" s="41"/>
      <c r="M30" s="42"/>
      <c r="N30" s="43"/>
      <c r="O30" s="41"/>
      <c r="P30" s="42"/>
      <c r="Q30" s="43"/>
    </row>
    <row r="31" spans="1:17" x14ac:dyDescent="0.2">
      <c r="A31" s="320"/>
      <c r="B31" s="323"/>
      <c r="C31" s="41"/>
      <c r="D31" s="42"/>
      <c r="E31" s="43"/>
      <c r="F31" s="41"/>
      <c r="G31" s="42"/>
      <c r="H31" s="43"/>
      <c r="I31" s="41"/>
      <c r="J31" s="42"/>
      <c r="K31" s="43"/>
      <c r="L31" s="41"/>
      <c r="M31" s="42"/>
      <c r="N31" s="43"/>
      <c r="O31" s="41"/>
      <c r="P31" s="42"/>
      <c r="Q31" s="43"/>
    </row>
    <row r="32" spans="1:17" x14ac:dyDescent="0.2">
      <c r="A32" s="320"/>
      <c r="B32" s="323"/>
      <c r="C32" s="41"/>
      <c r="D32" s="42"/>
      <c r="E32" s="43"/>
      <c r="F32" s="41"/>
      <c r="G32" s="42"/>
      <c r="H32" s="43"/>
      <c r="I32" s="41"/>
      <c r="J32" s="42"/>
      <c r="K32" s="43"/>
      <c r="L32" s="41"/>
      <c r="M32" s="42"/>
      <c r="N32" s="43"/>
      <c r="O32" s="41"/>
      <c r="P32" s="42"/>
      <c r="Q32" s="43"/>
    </row>
    <row r="33" spans="1:17" x14ac:dyDescent="0.2">
      <c r="A33" s="320"/>
      <c r="B33" s="323"/>
      <c r="C33" s="41"/>
      <c r="D33" s="42"/>
      <c r="E33" s="43"/>
      <c r="F33" s="41"/>
      <c r="G33" s="42"/>
      <c r="H33" s="43"/>
      <c r="I33" s="41"/>
      <c r="J33" s="42"/>
      <c r="K33" s="43"/>
      <c r="L33" s="41"/>
      <c r="M33" s="42"/>
      <c r="N33" s="43"/>
      <c r="O33" s="41"/>
      <c r="P33" s="42"/>
      <c r="Q33" s="43"/>
    </row>
    <row r="34" spans="1:17" x14ac:dyDescent="0.2">
      <c r="A34" s="320"/>
      <c r="B34" s="323"/>
      <c r="C34" s="41"/>
      <c r="D34" s="42"/>
      <c r="E34" s="43"/>
      <c r="F34" s="41"/>
      <c r="G34" s="42"/>
      <c r="H34" s="43"/>
      <c r="I34" s="41"/>
      <c r="J34" s="42"/>
      <c r="K34" s="43"/>
      <c r="L34" s="41"/>
      <c r="M34" s="42"/>
      <c r="N34" s="43"/>
      <c r="O34" s="41"/>
      <c r="P34" s="42"/>
      <c r="Q34" s="43"/>
    </row>
    <row r="35" spans="1:17" x14ac:dyDescent="0.2">
      <c r="A35" s="320"/>
      <c r="B35" s="323"/>
      <c r="C35" s="41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3"/>
      <c r="O35" s="41"/>
      <c r="P35" s="42"/>
      <c r="Q35" s="43"/>
    </row>
    <row r="36" spans="1:17" x14ac:dyDescent="0.2">
      <c r="A36" s="320"/>
      <c r="B36" s="323"/>
      <c r="C36" s="41"/>
      <c r="D36" s="42"/>
      <c r="E36" s="43"/>
      <c r="F36" s="41"/>
      <c r="G36" s="42"/>
      <c r="H36" s="43"/>
      <c r="I36" s="41"/>
      <c r="J36" s="42"/>
      <c r="K36" s="43"/>
      <c r="L36" s="41"/>
      <c r="M36" s="42"/>
      <c r="N36" s="43"/>
      <c r="O36" s="41"/>
      <c r="P36" s="42"/>
      <c r="Q36" s="43"/>
    </row>
    <row r="37" spans="1:17" ht="12" x14ac:dyDescent="0.35">
      <c r="A37" s="320"/>
      <c r="B37" s="323"/>
      <c r="C37" s="219" t="s">
        <v>236</v>
      </c>
      <c r="D37" s="220"/>
      <c r="E37" s="221" t="s">
        <v>19</v>
      </c>
      <c r="F37" s="219" t="s">
        <v>236</v>
      </c>
      <c r="G37" s="220"/>
      <c r="H37" s="221" t="s">
        <v>19</v>
      </c>
      <c r="I37" s="219" t="s">
        <v>236</v>
      </c>
      <c r="J37" s="220"/>
      <c r="K37" s="221" t="s">
        <v>19</v>
      </c>
      <c r="L37" s="219" t="s">
        <v>236</v>
      </c>
      <c r="M37" s="220"/>
      <c r="N37" s="221" t="s">
        <v>19</v>
      </c>
      <c r="O37" s="219" t="s">
        <v>236</v>
      </c>
      <c r="P37" s="220"/>
      <c r="Q37" s="221" t="s">
        <v>19</v>
      </c>
    </row>
    <row r="38" spans="1:17" x14ac:dyDescent="0.2">
      <c r="A38" s="321"/>
      <c r="B38" s="324"/>
      <c r="C38" s="222">
        <f>14164+8697</f>
        <v>22861</v>
      </c>
      <c r="D38" s="222">
        <f>SUM(D29:D37)</f>
        <v>336</v>
      </c>
      <c r="E38" s="222">
        <f>IF(C38-D38&gt;0,C38-D38,)</f>
        <v>22525</v>
      </c>
      <c r="F38" s="222">
        <f>18664+9697</f>
        <v>28361</v>
      </c>
      <c r="G38" s="222">
        <f>SUM(G29:G37)</f>
        <v>0</v>
      </c>
      <c r="H38" s="222">
        <f>IF(F38-G38&gt;0,F38-G38,)</f>
        <v>28361</v>
      </c>
      <c r="I38" s="222">
        <f>18664+9697</f>
        <v>28361</v>
      </c>
      <c r="J38" s="222">
        <f>SUM(J29:J37)</f>
        <v>0</v>
      </c>
      <c r="K38" s="222">
        <f>IF(I38-J38&gt;0,I38-J38,)</f>
        <v>28361</v>
      </c>
      <c r="L38" s="222">
        <f>(14164*1.35)+(2697*1.35)</f>
        <v>22762.350000000002</v>
      </c>
      <c r="M38" s="222">
        <f>SUM(M29:M37)</f>
        <v>0</v>
      </c>
      <c r="N38" s="222">
        <f>IF(L38-M38&gt;0,L38-M38,)</f>
        <v>22762.350000000002</v>
      </c>
      <c r="O38" s="222">
        <f>L38+I38+F38+C38</f>
        <v>102345.35</v>
      </c>
      <c r="P38" s="222">
        <f>M38+J38+G38+D38</f>
        <v>336</v>
      </c>
      <c r="Q38" s="222">
        <f>IF(O38-P38&gt;0,O38-P38,)</f>
        <v>102009.35</v>
      </c>
    </row>
    <row r="39" spans="1:17" ht="12" x14ac:dyDescent="0.35">
      <c r="A39" s="319" t="s">
        <v>233</v>
      </c>
      <c r="B39" s="322" t="s">
        <v>240</v>
      </c>
      <c r="C39" s="215" t="s">
        <v>234</v>
      </c>
      <c r="D39" s="216" t="s">
        <v>235</v>
      </c>
      <c r="E39" s="217"/>
      <c r="F39" s="215" t="s">
        <v>234</v>
      </c>
      <c r="G39" s="216" t="s">
        <v>235</v>
      </c>
      <c r="H39" s="217"/>
      <c r="I39" s="215" t="s">
        <v>234</v>
      </c>
      <c r="J39" s="216" t="s">
        <v>235</v>
      </c>
      <c r="K39" s="217"/>
      <c r="L39" s="215" t="s">
        <v>234</v>
      </c>
      <c r="M39" s="216" t="s">
        <v>235</v>
      </c>
      <c r="N39" s="217"/>
      <c r="O39" s="215"/>
      <c r="P39" s="216"/>
      <c r="Q39" s="217"/>
    </row>
    <row r="40" spans="1:17" x14ac:dyDescent="0.2">
      <c r="A40" s="320"/>
      <c r="B40" s="323"/>
      <c r="C40" s="41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3"/>
      <c r="O40" s="41"/>
      <c r="P40" s="42"/>
      <c r="Q40" s="43"/>
    </row>
    <row r="41" spans="1:17" x14ac:dyDescent="0.2">
      <c r="A41" s="320"/>
      <c r="B41" s="323"/>
      <c r="C41" s="41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">
      <c r="A42" s="320"/>
      <c r="B42" s="323"/>
      <c r="C42" s="41"/>
      <c r="D42" s="42"/>
      <c r="E42" s="43"/>
      <c r="F42" s="41"/>
      <c r="G42" s="42"/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">
      <c r="A43" s="320"/>
      <c r="B43" s="323"/>
      <c r="C43" s="41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</row>
    <row r="44" spans="1:17" x14ac:dyDescent="0.2">
      <c r="A44" s="320"/>
      <c r="B44" s="323"/>
      <c r="C44" s="41"/>
      <c r="D44" s="42"/>
      <c r="E44" s="43"/>
      <c r="F44" s="41"/>
      <c r="G44" s="42"/>
      <c r="H44" s="43"/>
      <c r="I44" s="41"/>
      <c r="J44" s="42"/>
      <c r="K44" s="43"/>
      <c r="L44" s="41"/>
      <c r="M44" s="42"/>
      <c r="N44" s="43"/>
      <c r="O44" s="41"/>
      <c r="P44" s="42"/>
      <c r="Q44" s="43"/>
    </row>
    <row r="45" spans="1:17" x14ac:dyDescent="0.2">
      <c r="A45" s="320"/>
      <c r="B45" s="323"/>
      <c r="C45" s="41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</row>
    <row r="46" spans="1:17" x14ac:dyDescent="0.2">
      <c r="A46" s="320"/>
      <c r="B46" s="323"/>
      <c r="C46" s="41"/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3"/>
      <c r="O46" s="41"/>
      <c r="P46" s="42"/>
      <c r="Q46" s="43"/>
    </row>
    <row r="47" spans="1:17" x14ac:dyDescent="0.2">
      <c r="A47" s="320"/>
      <c r="B47" s="323"/>
      <c r="C47" s="41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</row>
    <row r="48" spans="1:17" ht="12" x14ac:dyDescent="0.35">
      <c r="A48" s="320"/>
      <c r="B48" s="323"/>
      <c r="C48" s="219" t="s">
        <v>236</v>
      </c>
      <c r="D48" s="220"/>
      <c r="E48" s="221" t="s">
        <v>19</v>
      </c>
      <c r="F48" s="219" t="s">
        <v>236</v>
      </c>
      <c r="G48" s="220"/>
      <c r="H48" s="221" t="s">
        <v>19</v>
      </c>
      <c r="I48" s="219" t="s">
        <v>236</v>
      </c>
      <c r="J48" s="220"/>
      <c r="K48" s="221" t="s">
        <v>19</v>
      </c>
      <c r="L48" s="219" t="s">
        <v>236</v>
      </c>
      <c r="M48" s="220"/>
      <c r="N48" s="221" t="s">
        <v>19</v>
      </c>
      <c r="O48" s="219" t="s">
        <v>236</v>
      </c>
      <c r="P48" s="220"/>
      <c r="Q48" s="221" t="s">
        <v>19</v>
      </c>
    </row>
    <row r="49" spans="1:17" x14ac:dyDescent="0.2">
      <c r="A49" s="321"/>
      <c r="B49" s="324"/>
      <c r="C49" s="222">
        <v>6477</v>
      </c>
      <c r="D49" s="222">
        <f>SUM(D40:D48)</f>
        <v>0</v>
      </c>
      <c r="E49" s="222">
        <f>IF(C49-D49&gt;0,C49-D49,)</f>
        <v>6477</v>
      </c>
      <c r="F49" s="222">
        <v>6477</v>
      </c>
      <c r="G49" s="222">
        <f>SUM(G40:G48)</f>
        <v>0</v>
      </c>
      <c r="H49" s="222">
        <f>IF(F49-G49&gt;0,F49-G49,)</f>
        <v>6477</v>
      </c>
      <c r="I49" s="222">
        <v>6477</v>
      </c>
      <c r="J49" s="222">
        <f>SUM(J40:J48)</f>
        <v>0</v>
      </c>
      <c r="K49" s="222">
        <f>IF(I49-J49&gt;0,I49-J49,)</f>
        <v>6477</v>
      </c>
      <c r="L49" s="222">
        <f>6477*1.35</f>
        <v>8743.9500000000007</v>
      </c>
      <c r="M49" s="222">
        <f>SUM(M40:M48)</f>
        <v>0</v>
      </c>
      <c r="N49" s="222">
        <f>IF(L49-M49&gt;0,L49-M49,)</f>
        <v>8743.9500000000007</v>
      </c>
      <c r="O49" s="222">
        <f>L49+I49+F49+C49</f>
        <v>28174.95</v>
      </c>
      <c r="P49" s="222">
        <f>M49+J49+G49+D49</f>
        <v>0</v>
      </c>
      <c r="Q49" s="222">
        <f>IF(O49-P49&gt;0,O49-P49,)</f>
        <v>28174.95</v>
      </c>
    </row>
    <row r="50" spans="1:17" ht="12" x14ac:dyDescent="0.35">
      <c r="A50" s="319" t="s">
        <v>241</v>
      </c>
      <c r="B50" s="322" t="s">
        <v>242</v>
      </c>
      <c r="C50" s="215" t="s">
        <v>234</v>
      </c>
      <c r="D50" s="216" t="s">
        <v>235</v>
      </c>
      <c r="E50" s="217"/>
      <c r="F50" s="215" t="s">
        <v>234</v>
      </c>
      <c r="G50" s="216" t="s">
        <v>235</v>
      </c>
      <c r="H50" s="217"/>
      <c r="I50" s="215" t="s">
        <v>234</v>
      </c>
      <c r="J50" s="216" t="s">
        <v>235</v>
      </c>
      <c r="K50" s="217"/>
      <c r="L50" s="215" t="s">
        <v>234</v>
      </c>
      <c r="M50" s="216" t="s">
        <v>235</v>
      </c>
      <c r="N50" s="217"/>
      <c r="O50" s="215"/>
      <c r="P50" s="216"/>
      <c r="Q50" s="217"/>
    </row>
    <row r="51" spans="1:17" x14ac:dyDescent="0.2">
      <c r="A51" s="320"/>
      <c r="B51" s="323"/>
      <c r="C51" s="41"/>
      <c r="D51" s="42"/>
      <c r="E51" s="43"/>
      <c r="F51" s="41"/>
      <c r="G51" s="42"/>
      <c r="H51" s="43"/>
      <c r="I51" s="41"/>
      <c r="J51" s="42"/>
      <c r="K51" s="43"/>
      <c r="L51" s="41"/>
      <c r="M51" s="42"/>
      <c r="N51" s="43"/>
      <c r="O51" s="41"/>
      <c r="P51" s="42"/>
      <c r="Q51" s="43"/>
    </row>
    <row r="52" spans="1:17" x14ac:dyDescent="0.2">
      <c r="A52" s="320"/>
      <c r="B52" s="323"/>
      <c r="C52" s="41"/>
      <c r="D52" s="42"/>
      <c r="E52" s="43"/>
      <c r="F52" s="41"/>
      <c r="G52" s="42"/>
      <c r="H52" s="43"/>
      <c r="I52" s="41"/>
      <c r="J52" s="42"/>
      <c r="K52" s="43"/>
      <c r="L52" s="41"/>
      <c r="M52" s="42"/>
      <c r="N52" s="43"/>
      <c r="O52" s="41"/>
      <c r="P52" s="42"/>
      <c r="Q52" s="43"/>
    </row>
    <row r="53" spans="1:17" x14ac:dyDescent="0.2">
      <c r="A53" s="320"/>
      <c r="B53" s="323"/>
      <c r="C53" s="41"/>
      <c r="D53" s="42"/>
      <c r="E53" s="43"/>
      <c r="F53" s="41"/>
      <c r="G53" s="42"/>
      <c r="H53" s="43"/>
      <c r="I53" s="41"/>
      <c r="J53" s="42"/>
      <c r="K53" s="43"/>
      <c r="L53" s="41"/>
      <c r="M53" s="42"/>
      <c r="N53" s="43"/>
      <c r="O53" s="41"/>
      <c r="P53" s="42"/>
      <c r="Q53" s="43"/>
    </row>
    <row r="54" spans="1:17" x14ac:dyDescent="0.2">
      <c r="A54" s="320"/>
      <c r="B54" s="323"/>
      <c r="C54" s="41"/>
      <c r="D54" s="42"/>
      <c r="E54" s="43"/>
      <c r="F54" s="41"/>
      <c r="G54" s="42"/>
      <c r="H54" s="43"/>
      <c r="I54" s="41"/>
      <c r="J54" s="42"/>
      <c r="K54" s="43"/>
      <c r="L54" s="41"/>
      <c r="M54" s="42"/>
      <c r="N54" s="43"/>
      <c r="O54" s="41"/>
      <c r="P54" s="42"/>
      <c r="Q54" s="43"/>
    </row>
    <row r="55" spans="1:17" x14ac:dyDescent="0.2">
      <c r="A55" s="320"/>
      <c r="B55" s="323"/>
      <c r="C55" s="41"/>
      <c r="D55" s="42"/>
      <c r="E55" s="43"/>
      <c r="F55" s="41"/>
      <c r="G55" s="42"/>
      <c r="H55" s="43"/>
      <c r="I55" s="41"/>
      <c r="J55" s="42"/>
      <c r="K55" s="43"/>
      <c r="L55" s="41"/>
      <c r="M55" s="42"/>
      <c r="N55" s="43"/>
      <c r="O55" s="41"/>
      <c r="P55" s="42"/>
      <c r="Q55" s="43"/>
    </row>
    <row r="56" spans="1:17" x14ac:dyDescent="0.2">
      <c r="A56" s="320"/>
      <c r="B56" s="323"/>
      <c r="C56" s="41"/>
      <c r="D56" s="42"/>
      <c r="E56" s="43"/>
      <c r="F56" s="41"/>
      <c r="G56" s="42"/>
      <c r="H56" s="43"/>
      <c r="I56" s="41"/>
      <c r="J56" s="42"/>
      <c r="K56" s="43"/>
      <c r="L56" s="41"/>
      <c r="M56" s="42"/>
      <c r="N56" s="43"/>
      <c r="O56" s="41"/>
      <c r="P56" s="42"/>
      <c r="Q56" s="43"/>
    </row>
    <row r="57" spans="1:17" x14ac:dyDescent="0.2">
      <c r="A57" s="320"/>
      <c r="B57" s="323"/>
      <c r="C57" s="41"/>
      <c r="D57" s="42"/>
      <c r="E57" s="43"/>
      <c r="F57" s="41"/>
      <c r="G57" s="42"/>
      <c r="H57" s="43"/>
      <c r="I57" s="41"/>
      <c r="J57" s="42"/>
      <c r="K57" s="43"/>
      <c r="L57" s="41"/>
      <c r="M57" s="42"/>
      <c r="N57" s="43"/>
      <c r="O57" s="41"/>
      <c r="P57" s="42"/>
      <c r="Q57" s="43"/>
    </row>
    <row r="58" spans="1:17" x14ac:dyDescent="0.2">
      <c r="A58" s="320"/>
      <c r="B58" s="323"/>
      <c r="C58" s="41"/>
      <c r="D58" s="42"/>
      <c r="E58" s="43"/>
      <c r="F58" s="41"/>
      <c r="G58" s="42"/>
      <c r="H58" s="43"/>
      <c r="I58" s="41"/>
      <c r="J58" s="42"/>
      <c r="K58" s="43"/>
      <c r="L58" s="41"/>
      <c r="M58" s="42"/>
      <c r="N58" s="43"/>
      <c r="O58" s="41"/>
      <c r="P58" s="42"/>
      <c r="Q58" s="43"/>
    </row>
    <row r="59" spans="1:17" ht="12" x14ac:dyDescent="0.35">
      <c r="A59" s="320"/>
      <c r="B59" s="323"/>
      <c r="C59" s="219" t="s">
        <v>236</v>
      </c>
      <c r="D59" s="220"/>
      <c r="E59" s="221" t="s">
        <v>19</v>
      </c>
      <c r="F59" s="219" t="s">
        <v>236</v>
      </c>
      <c r="G59" s="220"/>
      <c r="H59" s="221" t="s">
        <v>19</v>
      </c>
      <c r="I59" s="219" t="s">
        <v>236</v>
      </c>
      <c r="J59" s="220"/>
      <c r="K59" s="221" t="s">
        <v>19</v>
      </c>
      <c r="L59" s="219" t="s">
        <v>236</v>
      </c>
      <c r="M59" s="220"/>
      <c r="N59" s="221" t="s">
        <v>19</v>
      </c>
      <c r="O59" s="219" t="s">
        <v>236</v>
      </c>
      <c r="P59" s="220"/>
      <c r="Q59" s="221" t="s">
        <v>19</v>
      </c>
    </row>
    <row r="60" spans="1:17" x14ac:dyDescent="0.2">
      <c r="A60" s="321"/>
      <c r="B60" s="324"/>
      <c r="C60" s="222">
        <v>7712</v>
      </c>
      <c r="D60" s="222">
        <f>SUM(D51:D59)</f>
        <v>0</v>
      </c>
      <c r="E60" s="222">
        <f>IF(C60-D60&gt;0,C60-D60,)</f>
        <v>7712</v>
      </c>
      <c r="F60" s="222">
        <v>7712</v>
      </c>
      <c r="G60" s="222">
        <f>SUM(G51:G59)</f>
        <v>0</v>
      </c>
      <c r="H60" s="222">
        <f>IF(F60-G60&gt;0,F60-G60,)</f>
        <v>7712</v>
      </c>
      <c r="I60" s="222">
        <v>7712</v>
      </c>
      <c r="J60" s="222">
        <f>SUM(J51:J59)</f>
        <v>0</v>
      </c>
      <c r="K60" s="222">
        <f>IF(I60-J60&gt;0,I60-J60,)</f>
        <v>7712</v>
      </c>
      <c r="L60" s="222">
        <f>7712*1.35</f>
        <v>10411.200000000001</v>
      </c>
      <c r="M60" s="222">
        <f>SUM(M51:M59)</f>
        <v>0</v>
      </c>
      <c r="N60" s="222">
        <f>IF(L60-M60&gt;0,L60-M60,)</f>
        <v>10411.200000000001</v>
      </c>
      <c r="O60" s="222">
        <f>L60+I60+F60+C60</f>
        <v>33547.199999999997</v>
      </c>
      <c r="P60" s="222">
        <f>M60+J60+G60+D60</f>
        <v>0</v>
      </c>
      <c r="Q60" s="222">
        <f>IF(O60-P60&gt;0,O60-P60,)</f>
        <v>33547.199999999997</v>
      </c>
    </row>
    <row r="61" spans="1:17" ht="12" x14ac:dyDescent="0.35">
      <c r="A61" s="319"/>
      <c r="B61" s="322" t="s">
        <v>0</v>
      </c>
      <c r="C61" s="215" t="s">
        <v>234</v>
      </c>
      <c r="D61" s="216" t="s">
        <v>235</v>
      </c>
      <c r="E61" s="217"/>
      <c r="F61" s="215" t="s">
        <v>234</v>
      </c>
      <c r="G61" s="216" t="s">
        <v>235</v>
      </c>
      <c r="H61" s="217"/>
      <c r="I61" s="215" t="s">
        <v>234</v>
      </c>
      <c r="J61" s="216" t="s">
        <v>235</v>
      </c>
      <c r="K61" s="217"/>
      <c r="L61" s="215" t="s">
        <v>234</v>
      </c>
      <c r="M61" s="216" t="s">
        <v>235</v>
      </c>
      <c r="N61" s="217"/>
      <c r="O61" s="215"/>
      <c r="P61" s="216"/>
      <c r="Q61" s="217"/>
    </row>
    <row r="62" spans="1:17" x14ac:dyDescent="0.2">
      <c r="A62" s="320"/>
      <c r="B62" s="323"/>
      <c r="C62" s="41"/>
      <c r="D62" s="42"/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">
      <c r="A63" s="320"/>
      <c r="B63" s="323"/>
      <c r="C63" s="41"/>
      <c r="D63" s="42"/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">
      <c r="A64" s="320"/>
      <c r="B64" s="323"/>
      <c r="C64" s="41"/>
      <c r="D64" s="42"/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41"/>
      <c r="P64" s="42"/>
      <c r="Q64" s="43"/>
    </row>
    <row r="65" spans="1:17" x14ac:dyDescent="0.2">
      <c r="A65" s="320"/>
      <c r="B65" s="323"/>
      <c r="C65" s="41"/>
      <c r="D65" s="42"/>
      <c r="E65" s="43"/>
      <c r="F65" s="41"/>
      <c r="G65" s="42"/>
      <c r="H65" s="43"/>
      <c r="I65" s="41"/>
      <c r="J65" s="42"/>
      <c r="K65" s="43"/>
      <c r="L65" s="41"/>
      <c r="M65" s="42"/>
      <c r="N65" s="43"/>
      <c r="O65" s="41"/>
      <c r="P65" s="42"/>
      <c r="Q65" s="43"/>
    </row>
    <row r="66" spans="1:17" x14ac:dyDescent="0.2">
      <c r="A66" s="320"/>
      <c r="B66" s="323"/>
      <c r="C66" s="41"/>
      <c r="D66" s="42"/>
      <c r="E66" s="43"/>
      <c r="F66" s="41"/>
      <c r="G66" s="42"/>
      <c r="H66" s="43"/>
      <c r="I66" s="41"/>
      <c r="J66" s="42"/>
      <c r="K66" s="43"/>
      <c r="L66" s="41"/>
      <c r="M66" s="42"/>
      <c r="N66" s="43"/>
      <c r="O66" s="41"/>
      <c r="P66" s="42"/>
      <c r="Q66" s="43"/>
    </row>
    <row r="67" spans="1:17" x14ac:dyDescent="0.2">
      <c r="A67" s="320"/>
      <c r="B67" s="323"/>
      <c r="C67" s="41"/>
      <c r="D67" s="42"/>
      <c r="E67" s="43"/>
      <c r="F67" s="41"/>
      <c r="G67" s="42"/>
      <c r="H67" s="43"/>
      <c r="I67" s="41"/>
      <c r="J67" s="42"/>
      <c r="K67" s="43"/>
      <c r="L67" s="41"/>
      <c r="M67" s="42"/>
      <c r="N67" s="43"/>
      <c r="O67" s="41"/>
      <c r="P67" s="42"/>
      <c r="Q67" s="43"/>
    </row>
    <row r="68" spans="1:17" x14ac:dyDescent="0.2">
      <c r="A68" s="320"/>
      <c r="B68" s="323"/>
      <c r="C68" s="41"/>
      <c r="D68" s="42"/>
      <c r="E68" s="43"/>
      <c r="F68" s="41"/>
      <c r="G68" s="42"/>
      <c r="H68" s="43"/>
      <c r="I68" s="41"/>
      <c r="J68" s="42"/>
      <c r="K68" s="43"/>
      <c r="L68" s="41"/>
      <c r="M68" s="42"/>
      <c r="N68" s="43"/>
      <c r="O68" s="41"/>
      <c r="P68" s="42"/>
      <c r="Q68" s="43"/>
    </row>
    <row r="69" spans="1:17" x14ac:dyDescent="0.2">
      <c r="A69" s="320"/>
      <c r="B69" s="323"/>
      <c r="C69" s="41"/>
      <c r="D69" s="42"/>
      <c r="E69" s="43"/>
      <c r="F69" s="41"/>
      <c r="G69" s="42"/>
      <c r="H69" s="43"/>
      <c r="I69" s="41"/>
      <c r="J69" s="42"/>
      <c r="K69" s="43"/>
      <c r="L69" s="41"/>
      <c r="M69" s="42"/>
      <c r="N69" s="43"/>
      <c r="O69" s="41"/>
      <c r="P69" s="42"/>
      <c r="Q69" s="43"/>
    </row>
    <row r="70" spans="1:17" ht="12" x14ac:dyDescent="0.35">
      <c r="A70" s="320"/>
      <c r="B70" s="323"/>
      <c r="C70" s="219" t="s">
        <v>236</v>
      </c>
      <c r="D70" s="220"/>
      <c r="E70" s="221" t="s">
        <v>19</v>
      </c>
      <c r="F70" s="219" t="s">
        <v>236</v>
      </c>
      <c r="G70" s="220"/>
      <c r="H70" s="221" t="s">
        <v>19</v>
      </c>
      <c r="I70" s="219" t="s">
        <v>236</v>
      </c>
      <c r="J70" s="220"/>
      <c r="K70" s="221" t="s">
        <v>19</v>
      </c>
      <c r="L70" s="219" t="s">
        <v>236</v>
      </c>
      <c r="M70" s="220"/>
      <c r="N70" s="221" t="s">
        <v>19</v>
      </c>
      <c r="O70" s="219" t="s">
        <v>236</v>
      </c>
      <c r="P70" s="220"/>
      <c r="Q70" s="221" t="s">
        <v>19</v>
      </c>
    </row>
    <row r="71" spans="1:17" x14ac:dyDescent="0.2">
      <c r="A71" s="321"/>
      <c r="B71" s="324"/>
      <c r="C71" s="222">
        <v>4656</v>
      </c>
      <c r="D71" s="222">
        <f>SUM(D62:D70)</f>
        <v>0</v>
      </c>
      <c r="E71" s="222">
        <f>IF(C71-D71&gt;0,C71-D71,)</f>
        <v>4656</v>
      </c>
      <c r="F71" s="222">
        <v>4656</v>
      </c>
      <c r="G71" s="222">
        <f>SUM(G62:G66)</f>
        <v>0</v>
      </c>
      <c r="H71" s="222">
        <f>IF(F71-G71&gt;0,F71-G71,)</f>
        <v>4656</v>
      </c>
      <c r="I71" s="222">
        <v>4656</v>
      </c>
      <c r="J71" s="222">
        <f>SUM(J62:J66)</f>
        <v>0</v>
      </c>
      <c r="K71" s="222">
        <f>IF(I71-J71&gt;0,I71-J71,)</f>
        <v>4656</v>
      </c>
      <c r="L71" s="222">
        <f>4656*1.35</f>
        <v>6285.6</v>
      </c>
      <c r="M71" s="222">
        <f>SUM(M62:M70)</f>
        <v>0</v>
      </c>
      <c r="N71" s="222">
        <f>IF(L71-M71&gt;0,L71-M71,)</f>
        <v>6285.6</v>
      </c>
      <c r="O71" s="222">
        <f>L71+I71+F71+C71</f>
        <v>20253.599999999999</v>
      </c>
      <c r="P71" s="222">
        <f>M71+J71+G71+D71</f>
        <v>0</v>
      </c>
      <c r="Q71" s="222">
        <f>IF(O71-P71&gt;0,O71-P71,)</f>
        <v>20253.599999999999</v>
      </c>
    </row>
    <row r="72" spans="1:17" ht="15" customHeight="1" x14ac:dyDescent="0.35">
      <c r="A72" s="319" t="s">
        <v>243</v>
      </c>
      <c r="B72" s="329" t="s">
        <v>244</v>
      </c>
      <c r="C72" s="215" t="s">
        <v>234</v>
      </c>
      <c r="D72" s="216" t="s">
        <v>235</v>
      </c>
      <c r="E72" s="217"/>
      <c r="F72" s="215" t="s">
        <v>234</v>
      </c>
      <c r="G72" s="216" t="s">
        <v>235</v>
      </c>
      <c r="H72" s="217"/>
      <c r="I72" s="215" t="s">
        <v>234</v>
      </c>
      <c r="J72" s="216" t="s">
        <v>235</v>
      </c>
      <c r="K72" s="217"/>
      <c r="L72" s="215" t="s">
        <v>234</v>
      </c>
      <c r="M72" s="216" t="s">
        <v>235</v>
      </c>
      <c r="N72" s="217"/>
      <c r="O72" s="215"/>
      <c r="P72" s="216"/>
      <c r="Q72" s="217"/>
    </row>
    <row r="73" spans="1:17" ht="15" customHeight="1" x14ac:dyDescent="0.35">
      <c r="A73" s="320"/>
      <c r="B73" s="330"/>
      <c r="C73" s="256" t="s">
        <v>176</v>
      </c>
      <c r="D73" s="258">
        <v>9300</v>
      </c>
      <c r="E73" s="281"/>
      <c r="F73" s="219"/>
      <c r="G73" s="220"/>
      <c r="H73" s="221"/>
      <c r="I73" s="219"/>
      <c r="J73" s="220"/>
      <c r="K73" s="221"/>
      <c r="L73" s="219"/>
      <c r="M73" s="220"/>
      <c r="N73" s="221"/>
      <c r="O73" s="219"/>
      <c r="P73" s="220"/>
      <c r="Q73" s="221"/>
    </row>
    <row r="74" spans="1:17" ht="15" customHeight="1" x14ac:dyDescent="0.35">
      <c r="A74" s="320"/>
      <c r="B74" s="330"/>
      <c r="C74" s="280"/>
      <c r="D74" s="257"/>
      <c r="E74" s="281"/>
      <c r="F74" s="219"/>
      <c r="G74" s="220"/>
      <c r="H74" s="221"/>
      <c r="I74" s="219"/>
      <c r="J74" s="220"/>
      <c r="K74" s="221"/>
      <c r="L74" s="219"/>
      <c r="M74" s="220"/>
      <c r="N74" s="221"/>
      <c r="O74" s="219"/>
      <c r="P74" s="220"/>
      <c r="Q74" s="221"/>
    </row>
    <row r="75" spans="1:17" x14ac:dyDescent="0.2">
      <c r="A75" s="320"/>
      <c r="B75" s="330"/>
      <c r="C75" s="41"/>
      <c r="D75" s="42"/>
      <c r="E75" s="43"/>
      <c r="F75" s="41"/>
      <c r="G75" s="42"/>
      <c r="H75" s="43"/>
      <c r="I75" s="41"/>
      <c r="J75" s="42"/>
      <c r="K75" s="43"/>
      <c r="L75" s="41"/>
      <c r="M75" s="42"/>
      <c r="N75" s="43"/>
      <c r="O75" s="41"/>
      <c r="P75" s="42"/>
      <c r="Q75" s="43"/>
    </row>
    <row r="76" spans="1:17" x14ac:dyDescent="0.2">
      <c r="A76" s="320"/>
      <c r="B76" s="330"/>
      <c r="C76" s="41"/>
      <c r="D76" s="42"/>
      <c r="E76" s="43"/>
      <c r="F76" s="41"/>
      <c r="G76" s="42"/>
      <c r="H76" s="43"/>
      <c r="I76" s="41"/>
      <c r="J76" s="42"/>
      <c r="K76" s="43"/>
      <c r="L76" s="41"/>
      <c r="M76" s="42"/>
      <c r="N76" s="43"/>
      <c r="O76" s="41"/>
      <c r="P76" s="42"/>
      <c r="Q76" s="43"/>
    </row>
    <row r="77" spans="1:17" ht="12" x14ac:dyDescent="0.35">
      <c r="A77" s="320"/>
      <c r="B77" s="330"/>
      <c r="C77" s="219" t="s">
        <v>236</v>
      </c>
      <c r="D77" s="220"/>
      <c r="E77" s="221" t="s">
        <v>19</v>
      </c>
      <c r="F77" s="219" t="s">
        <v>236</v>
      </c>
      <c r="G77" s="220"/>
      <c r="H77" s="221" t="s">
        <v>19</v>
      </c>
      <c r="I77" s="219" t="s">
        <v>236</v>
      </c>
      <c r="J77" s="220"/>
      <c r="K77" s="221" t="s">
        <v>19</v>
      </c>
      <c r="L77" s="219" t="s">
        <v>236</v>
      </c>
      <c r="M77" s="220"/>
      <c r="N77" s="221" t="s">
        <v>19</v>
      </c>
      <c r="O77" s="219" t="s">
        <v>236</v>
      </c>
      <c r="P77" s="220"/>
      <c r="Q77" s="221" t="s">
        <v>19</v>
      </c>
    </row>
    <row r="78" spans="1:17" x14ac:dyDescent="0.2">
      <c r="A78" s="321"/>
      <c r="B78" s="331"/>
      <c r="C78" s="222">
        <v>12234</v>
      </c>
      <c r="D78" s="222">
        <f>SUM(D73:D77)</f>
        <v>9300</v>
      </c>
      <c r="E78" s="222">
        <f>IF(C78-D78&gt;0,C78-D78,)</f>
        <v>2934</v>
      </c>
      <c r="F78" s="222">
        <v>12235</v>
      </c>
      <c r="G78" s="222">
        <f>SUM(G75:G77)</f>
        <v>0</v>
      </c>
      <c r="H78" s="222">
        <f>IF(F78-G78&gt;0,F78-G78,)</f>
        <v>12235</v>
      </c>
      <c r="I78" s="222">
        <v>12236</v>
      </c>
      <c r="J78" s="222">
        <f>SUM(J75:J77)</f>
        <v>0</v>
      </c>
      <c r="K78" s="222">
        <f>IF(I78-J78&gt;0,I78-J78,)</f>
        <v>12236</v>
      </c>
      <c r="L78" s="222">
        <f>12234*1.35</f>
        <v>16515.900000000001</v>
      </c>
      <c r="M78" s="222">
        <f>SUM(M75:M77)</f>
        <v>0</v>
      </c>
      <c r="N78" s="222">
        <f>IF(L78-M78&gt;0,L78-M78,)</f>
        <v>16515.900000000001</v>
      </c>
      <c r="O78" s="222">
        <f>L78+I78+F78+C78</f>
        <v>53220.9</v>
      </c>
      <c r="P78" s="222">
        <f>M78+J78+G78+D78</f>
        <v>9300</v>
      </c>
      <c r="Q78" s="222">
        <f>IF(O78-P78&gt;0,O78-P78,)</f>
        <v>43920.9</v>
      </c>
    </row>
    <row r="79" spans="1:17" ht="12" x14ac:dyDescent="0.35">
      <c r="A79" s="319" t="s">
        <v>245</v>
      </c>
      <c r="B79" s="322" t="s">
        <v>246</v>
      </c>
      <c r="C79" s="215" t="s">
        <v>234</v>
      </c>
      <c r="D79" s="216" t="s">
        <v>235</v>
      </c>
      <c r="E79" s="217"/>
      <c r="F79" s="215" t="s">
        <v>234</v>
      </c>
      <c r="G79" s="216" t="s">
        <v>235</v>
      </c>
      <c r="H79" s="217"/>
      <c r="I79" s="215" t="s">
        <v>234</v>
      </c>
      <c r="J79" s="216" t="s">
        <v>235</v>
      </c>
      <c r="K79" s="217"/>
      <c r="L79" s="215" t="s">
        <v>234</v>
      </c>
      <c r="M79" s="216" t="s">
        <v>235</v>
      </c>
      <c r="N79" s="217"/>
      <c r="O79" s="215"/>
      <c r="P79" s="216"/>
      <c r="Q79" s="217"/>
    </row>
    <row r="80" spans="1:17" x14ac:dyDescent="0.2">
      <c r="A80" s="320"/>
      <c r="B80" s="323"/>
      <c r="C80" s="41"/>
      <c r="D80" s="42"/>
      <c r="E80" s="43"/>
      <c r="F80" s="41"/>
      <c r="G80" s="42"/>
      <c r="H80" s="43"/>
      <c r="I80" s="41"/>
      <c r="J80" s="42"/>
      <c r="K80" s="43"/>
      <c r="L80" s="41"/>
      <c r="M80" s="42"/>
      <c r="N80" s="43"/>
      <c r="O80" s="41"/>
      <c r="P80" s="42"/>
      <c r="Q80" s="43"/>
    </row>
    <row r="81" spans="1:17" x14ac:dyDescent="0.2">
      <c r="A81" s="320"/>
      <c r="B81" s="323"/>
      <c r="C81" s="41"/>
      <c r="D81" s="42"/>
      <c r="E81" s="43"/>
      <c r="F81" s="41"/>
      <c r="G81" s="42"/>
      <c r="H81" s="43"/>
      <c r="I81" s="41"/>
      <c r="J81" s="42"/>
      <c r="K81" s="43"/>
      <c r="L81" s="41"/>
      <c r="M81" s="42"/>
      <c r="N81" s="43"/>
      <c r="O81" s="41"/>
      <c r="P81" s="42"/>
      <c r="Q81" s="43"/>
    </row>
    <row r="82" spans="1:17" x14ac:dyDescent="0.2">
      <c r="A82" s="320"/>
      <c r="B82" s="323"/>
      <c r="C82" s="41"/>
      <c r="D82" s="42"/>
      <c r="E82" s="43"/>
      <c r="F82" s="41"/>
      <c r="G82" s="42"/>
      <c r="H82" s="43"/>
      <c r="I82" s="41"/>
      <c r="J82" s="42"/>
      <c r="K82" s="43"/>
      <c r="L82" s="41"/>
      <c r="M82" s="42"/>
      <c r="N82" s="43"/>
      <c r="O82" s="41"/>
      <c r="P82" s="42"/>
      <c r="Q82" s="43"/>
    </row>
    <row r="83" spans="1:17" x14ac:dyDescent="0.2">
      <c r="A83" s="320"/>
      <c r="B83" s="323"/>
      <c r="C83" s="41"/>
      <c r="D83" s="42"/>
      <c r="E83" s="43"/>
      <c r="F83" s="41"/>
      <c r="G83" s="42"/>
      <c r="H83" s="43"/>
      <c r="I83" s="41"/>
      <c r="J83" s="42"/>
      <c r="K83" s="43"/>
      <c r="L83" s="41"/>
      <c r="M83" s="42"/>
      <c r="N83" s="43"/>
      <c r="O83" s="41"/>
      <c r="P83" s="42"/>
      <c r="Q83" s="43"/>
    </row>
    <row r="84" spans="1:17" x14ac:dyDescent="0.2">
      <c r="A84" s="320"/>
      <c r="B84" s="323"/>
      <c r="C84" s="41"/>
      <c r="D84" s="42"/>
      <c r="E84" s="43"/>
      <c r="F84" s="41"/>
      <c r="G84" s="42"/>
      <c r="H84" s="43"/>
      <c r="I84" s="41"/>
      <c r="J84" s="42"/>
      <c r="K84" s="43"/>
      <c r="L84" s="41"/>
      <c r="M84" s="42"/>
      <c r="N84" s="43"/>
      <c r="O84" s="41"/>
      <c r="P84" s="42"/>
      <c r="Q84" s="43"/>
    </row>
    <row r="85" spans="1:17" x14ac:dyDescent="0.2">
      <c r="A85" s="320"/>
      <c r="B85" s="323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x14ac:dyDescent="0.2">
      <c r="A86" s="320"/>
      <c r="B86" s="323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x14ac:dyDescent="0.2">
      <c r="A87" s="320"/>
      <c r="B87" s="323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ht="12" x14ac:dyDescent="0.35">
      <c r="A88" s="320"/>
      <c r="B88" s="323"/>
      <c r="C88" s="219" t="s">
        <v>236</v>
      </c>
      <c r="D88" s="220"/>
      <c r="E88" s="221" t="s">
        <v>19</v>
      </c>
      <c r="F88" s="219" t="s">
        <v>236</v>
      </c>
      <c r="G88" s="220"/>
      <c r="H88" s="221" t="s">
        <v>19</v>
      </c>
      <c r="I88" s="219" t="s">
        <v>236</v>
      </c>
      <c r="J88" s="220"/>
      <c r="K88" s="221" t="s">
        <v>19</v>
      </c>
      <c r="L88" s="219" t="s">
        <v>236</v>
      </c>
      <c r="M88" s="220"/>
      <c r="N88" s="221" t="s">
        <v>19</v>
      </c>
      <c r="O88" s="219" t="s">
        <v>236</v>
      </c>
      <c r="P88" s="220"/>
      <c r="Q88" s="221" t="s">
        <v>19</v>
      </c>
    </row>
    <row r="89" spans="1:17" x14ac:dyDescent="0.2">
      <c r="A89" s="321"/>
      <c r="B89" s="324"/>
      <c r="C89" s="222">
        <v>15385</v>
      </c>
      <c r="D89" s="222">
        <f>SUM(D80:D88)</f>
        <v>0</v>
      </c>
      <c r="E89" s="222">
        <f>IF(C89-D89&gt;0,C89-D89,)</f>
        <v>15385</v>
      </c>
      <c r="F89" s="222">
        <v>15390</v>
      </c>
      <c r="G89" s="222">
        <f>SUM(G80:G88)</f>
        <v>0</v>
      </c>
      <c r="H89" s="222">
        <f>IF(F89-G89&gt;0,F89-G89,)</f>
        <v>15390</v>
      </c>
      <c r="I89" s="222">
        <v>15390</v>
      </c>
      <c r="J89" s="222">
        <f>SUM(J80:J88)</f>
        <v>0</v>
      </c>
      <c r="K89" s="222">
        <f>IF(I89-J89&gt;0,I89-J89,)</f>
        <v>15390</v>
      </c>
      <c r="L89" s="222">
        <f>15379*1.35</f>
        <v>20761.650000000001</v>
      </c>
      <c r="M89" s="222">
        <f>SUM(M80:M88)</f>
        <v>0</v>
      </c>
      <c r="N89" s="222">
        <f>IF(L89-M89&gt;0,L89-M89,)</f>
        <v>20761.650000000001</v>
      </c>
      <c r="O89" s="222">
        <f>L89+I89+F89+C89</f>
        <v>66926.649999999994</v>
      </c>
      <c r="P89" s="222">
        <f>M89+J89+G89+D89</f>
        <v>0</v>
      </c>
      <c r="Q89" s="222">
        <f>IF(O89-P89&gt;0,O89-P89,)</f>
        <v>66926.649999999994</v>
      </c>
    </row>
    <row r="90" spans="1:17" ht="12" x14ac:dyDescent="0.35">
      <c r="A90" s="319" t="s">
        <v>247</v>
      </c>
      <c r="B90" s="322" t="s">
        <v>244</v>
      </c>
      <c r="C90" s="215" t="s">
        <v>234</v>
      </c>
      <c r="D90" s="216" t="s">
        <v>235</v>
      </c>
      <c r="E90" s="217"/>
      <c r="F90" s="215" t="s">
        <v>234</v>
      </c>
      <c r="G90" s="216" t="s">
        <v>235</v>
      </c>
      <c r="H90" s="217"/>
      <c r="I90" s="215" t="s">
        <v>234</v>
      </c>
      <c r="J90" s="216" t="s">
        <v>235</v>
      </c>
      <c r="K90" s="217"/>
      <c r="L90" s="215" t="s">
        <v>234</v>
      </c>
      <c r="M90" s="216" t="s">
        <v>235</v>
      </c>
      <c r="N90" s="217"/>
      <c r="O90" s="215"/>
      <c r="P90" s="216"/>
      <c r="Q90" s="217"/>
    </row>
    <row r="91" spans="1:17" x14ac:dyDescent="0.2">
      <c r="A91" s="320"/>
      <c r="B91" s="323"/>
      <c r="C91" s="41"/>
      <c r="D91" s="42"/>
      <c r="E91" s="43"/>
      <c r="F91" s="41"/>
      <c r="G91" s="42"/>
      <c r="H91" s="43"/>
      <c r="I91" s="41"/>
      <c r="J91" s="42"/>
      <c r="K91" s="43"/>
      <c r="L91" s="41"/>
      <c r="M91" s="42"/>
      <c r="N91" s="43"/>
      <c r="O91" s="41"/>
      <c r="P91" s="42"/>
      <c r="Q91" s="43"/>
    </row>
    <row r="92" spans="1:17" x14ac:dyDescent="0.2">
      <c r="A92" s="320"/>
      <c r="B92" s="323"/>
      <c r="C92" s="41"/>
      <c r="D92" s="42"/>
      <c r="E92" s="43"/>
      <c r="F92" s="41"/>
      <c r="G92" s="42"/>
      <c r="H92" s="43"/>
      <c r="I92" s="41"/>
      <c r="J92" s="42"/>
      <c r="K92" s="43"/>
      <c r="L92" s="41"/>
      <c r="M92" s="42"/>
      <c r="N92" s="43"/>
      <c r="O92" s="41"/>
      <c r="P92" s="42"/>
      <c r="Q92" s="43"/>
    </row>
    <row r="93" spans="1:17" x14ac:dyDescent="0.2">
      <c r="A93" s="320"/>
      <c r="B93" s="323"/>
      <c r="C93" s="41"/>
      <c r="D93" s="42"/>
      <c r="E93" s="43"/>
      <c r="F93" s="41"/>
      <c r="G93" s="42"/>
      <c r="H93" s="43"/>
      <c r="I93" s="41"/>
      <c r="J93" s="42"/>
      <c r="K93" s="43"/>
      <c r="L93" s="41"/>
      <c r="M93" s="42"/>
      <c r="N93" s="43"/>
      <c r="O93" s="41"/>
      <c r="P93" s="42"/>
      <c r="Q93" s="43"/>
    </row>
    <row r="94" spans="1:17" x14ac:dyDescent="0.2">
      <c r="A94" s="320"/>
      <c r="B94" s="323"/>
      <c r="C94" s="41"/>
      <c r="D94" s="42"/>
      <c r="E94" s="43"/>
      <c r="F94" s="41"/>
      <c r="G94" s="42"/>
      <c r="H94" s="43"/>
      <c r="I94" s="41"/>
      <c r="J94" s="42"/>
      <c r="K94" s="43"/>
      <c r="L94" s="41"/>
      <c r="M94" s="42"/>
      <c r="N94" s="43"/>
      <c r="O94" s="41"/>
      <c r="P94" s="42"/>
      <c r="Q94" s="43"/>
    </row>
    <row r="95" spans="1:17" x14ac:dyDescent="0.2">
      <c r="A95" s="320"/>
      <c r="B95" s="323"/>
      <c r="C95" s="41"/>
      <c r="D95" s="42"/>
      <c r="E95" s="43"/>
      <c r="F95" s="41"/>
      <c r="G95" s="42"/>
      <c r="H95" s="43"/>
      <c r="I95" s="41"/>
      <c r="J95" s="42"/>
      <c r="K95" s="43"/>
      <c r="L95" s="41"/>
      <c r="M95" s="42"/>
      <c r="N95" s="43"/>
      <c r="O95" s="41"/>
      <c r="P95" s="42"/>
      <c r="Q95" s="43"/>
    </row>
    <row r="96" spans="1:17" x14ac:dyDescent="0.2">
      <c r="A96" s="320"/>
      <c r="B96" s="323"/>
      <c r="C96" s="41"/>
      <c r="D96" s="42"/>
      <c r="E96" s="43"/>
      <c r="F96" s="41"/>
      <c r="G96" s="42"/>
      <c r="H96" s="43"/>
      <c r="I96" s="41"/>
      <c r="J96" s="42"/>
      <c r="K96" s="43"/>
      <c r="L96" s="41"/>
      <c r="M96" s="42"/>
      <c r="N96" s="43"/>
      <c r="O96" s="41"/>
      <c r="P96" s="42"/>
      <c r="Q96" s="43"/>
    </row>
    <row r="97" spans="1:17" x14ac:dyDescent="0.2">
      <c r="A97" s="320"/>
      <c r="B97" s="323"/>
      <c r="C97" s="41"/>
      <c r="D97" s="42"/>
      <c r="E97" s="43"/>
      <c r="F97" s="41"/>
      <c r="G97" s="42"/>
      <c r="H97" s="43"/>
      <c r="I97" s="41"/>
      <c r="J97" s="42"/>
      <c r="K97" s="43"/>
      <c r="L97" s="41"/>
      <c r="M97" s="42"/>
      <c r="N97" s="43"/>
      <c r="O97" s="41"/>
      <c r="P97" s="42"/>
      <c r="Q97" s="43"/>
    </row>
    <row r="98" spans="1:17" x14ac:dyDescent="0.2">
      <c r="A98" s="320"/>
      <c r="B98" s="323"/>
      <c r="C98" s="41"/>
      <c r="D98" s="42"/>
      <c r="E98" s="43"/>
      <c r="F98" s="41"/>
      <c r="G98" s="42"/>
      <c r="H98" s="43"/>
      <c r="I98" s="41"/>
      <c r="J98" s="42"/>
      <c r="K98" s="43"/>
      <c r="L98" s="41"/>
      <c r="M98" s="42"/>
      <c r="N98" s="43"/>
      <c r="O98" s="41"/>
      <c r="P98" s="42"/>
      <c r="Q98" s="43"/>
    </row>
    <row r="99" spans="1:17" ht="12" x14ac:dyDescent="0.35">
      <c r="A99" s="320"/>
      <c r="B99" s="323"/>
      <c r="C99" s="219" t="s">
        <v>236</v>
      </c>
      <c r="D99" s="220"/>
      <c r="E99" s="221" t="s">
        <v>19</v>
      </c>
      <c r="F99" s="219" t="s">
        <v>236</v>
      </c>
      <c r="G99" s="220"/>
      <c r="H99" s="221" t="s">
        <v>19</v>
      </c>
      <c r="I99" s="219" t="s">
        <v>236</v>
      </c>
      <c r="J99" s="220"/>
      <c r="K99" s="221" t="s">
        <v>19</v>
      </c>
      <c r="L99" s="219" t="s">
        <v>236</v>
      </c>
      <c r="M99" s="220"/>
      <c r="N99" s="221" t="s">
        <v>19</v>
      </c>
      <c r="O99" s="219" t="s">
        <v>236</v>
      </c>
      <c r="P99" s="220"/>
      <c r="Q99" s="221" t="s">
        <v>19</v>
      </c>
    </row>
    <row r="100" spans="1:17" x14ac:dyDescent="0.2">
      <c r="A100" s="321"/>
      <c r="B100" s="324"/>
      <c r="C100" s="222">
        <v>16142</v>
      </c>
      <c r="D100" s="222">
        <f>SUM(D91:D99)</f>
        <v>0</v>
      </c>
      <c r="E100" s="222">
        <f>IF(C100-D100&gt;0,C100-D100,)</f>
        <v>16142</v>
      </c>
      <c r="F100" s="222">
        <v>10067</v>
      </c>
      <c r="G100" s="222">
        <f>SUM(G91:G99)</f>
        <v>0</v>
      </c>
      <c r="H100" s="222">
        <f>IF(F100-G100&gt;0,F100-G100,)</f>
        <v>10067</v>
      </c>
      <c r="I100" s="222">
        <v>11442</v>
      </c>
      <c r="J100" s="222">
        <f>SUM(J91:J99)</f>
        <v>0</v>
      </c>
      <c r="K100" s="222">
        <f>IF(I100-J100&gt;0,I100-J100,)</f>
        <v>11442</v>
      </c>
      <c r="L100" s="222">
        <f>10317*1.35</f>
        <v>13927.95</v>
      </c>
      <c r="M100" s="222">
        <f>SUM(M91:M99)</f>
        <v>0</v>
      </c>
      <c r="N100" s="222">
        <f>IF(L100-M100&gt;0,L100-M100,)</f>
        <v>13927.95</v>
      </c>
      <c r="O100" s="222">
        <f>L100+I100+F100+C100</f>
        <v>51578.95</v>
      </c>
      <c r="P100" s="222">
        <f>M100+J100+G100+D100</f>
        <v>0</v>
      </c>
      <c r="Q100" s="222">
        <f>IF(O100-P100&gt;0,O100-P100,)</f>
        <v>51578.95</v>
      </c>
    </row>
    <row r="101" spans="1:17" ht="12" x14ac:dyDescent="0.35">
      <c r="A101" s="319"/>
      <c r="B101" s="322" t="s">
        <v>248</v>
      </c>
      <c r="C101" s="215" t="s">
        <v>234</v>
      </c>
      <c r="D101" s="216" t="s">
        <v>235</v>
      </c>
      <c r="E101" s="217"/>
      <c r="F101" s="215" t="s">
        <v>234</v>
      </c>
      <c r="G101" s="216" t="s">
        <v>235</v>
      </c>
      <c r="H101" s="217"/>
      <c r="I101" s="215" t="s">
        <v>234</v>
      </c>
      <c r="J101" s="216" t="s">
        <v>235</v>
      </c>
      <c r="K101" s="217"/>
      <c r="L101" s="215" t="s">
        <v>234</v>
      </c>
      <c r="M101" s="216" t="s">
        <v>235</v>
      </c>
      <c r="N101" s="217"/>
      <c r="O101" s="215"/>
      <c r="P101" s="216"/>
      <c r="Q101" s="217"/>
    </row>
    <row r="102" spans="1:17" x14ac:dyDescent="0.2">
      <c r="A102" s="320"/>
      <c r="B102" s="323"/>
      <c r="C102" s="41"/>
      <c r="D102" s="42"/>
      <c r="E102" s="43"/>
      <c r="F102" s="41"/>
      <c r="G102" s="42"/>
      <c r="H102" s="43"/>
      <c r="I102" s="41"/>
      <c r="J102" s="42"/>
      <c r="K102" s="43"/>
      <c r="L102" s="41"/>
      <c r="M102" s="42"/>
      <c r="N102" s="43"/>
      <c r="O102" s="41"/>
      <c r="P102" s="42"/>
      <c r="Q102" s="43"/>
    </row>
    <row r="103" spans="1:17" x14ac:dyDescent="0.2">
      <c r="A103" s="320"/>
      <c r="B103" s="323"/>
      <c r="C103" s="41"/>
      <c r="D103" s="42"/>
      <c r="E103" s="43"/>
      <c r="F103" s="41"/>
      <c r="G103" s="42"/>
      <c r="H103" s="43"/>
      <c r="I103" s="41"/>
      <c r="J103" s="42"/>
      <c r="K103" s="43"/>
      <c r="L103" s="41"/>
      <c r="M103" s="42"/>
      <c r="N103" s="43"/>
      <c r="O103" s="41"/>
      <c r="P103" s="42"/>
      <c r="Q103" s="43"/>
    </row>
    <row r="104" spans="1:17" x14ac:dyDescent="0.2">
      <c r="A104" s="320"/>
      <c r="B104" s="323"/>
      <c r="C104" s="41"/>
      <c r="D104" s="42"/>
      <c r="E104" s="43"/>
      <c r="F104" s="41"/>
      <c r="G104" s="42"/>
      <c r="H104" s="43"/>
      <c r="I104" s="41"/>
      <c r="J104" s="42"/>
      <c r="K104" s="43"/>
      <c r="L104" s="41"/>
      <c r="M104" s="42"/>
      <c r="N104" s="43"/>
      <c r="O104" s="41"/>
      <c r="P104" s="42"/>
      <c r="Q104" s="43"/>
    </row>
    <row r="105" spans="1:17" x14ac:dyDescent="0.2">
      <c r="A105" s="320"/>
      <c r="B105" s="323"/>
      <c r="C105" s="41"/>
      <c r="D105" s="42"/>
      <c r="E105" s="43"/>
      <c r="F105" s="41"/>
      <c r="G105" s="42"/>
      <c r="H105" s="43"/>
      <c r="I105" s="41"/>
      <c r="J105" s="42"/>
      <c r="K105" s="43"/>
      <c r="L105" s="41"/>
      <c r="M105" s="42"/>
      <c r="N105" s="43"/>
      <c r="O105" s="41"/>
      <c r="P105" s="42"/>
      <c r="Q105" s="43"/>
    </row>
    <row r="106" spans="1:17" x14ac:dyDescent="0.2">
      <c r="A106" s="320"/>
      <c r="B106" s="323"/>
      <c r="C106" s="41"/>
      <c r="D106" s="42"/>
      <c r="E106" s="43"/>
      <c r="F106" s="41"/>
      <c r="G106" s="42"/>
      <c r="H106" s="43"/>
      <c r="I106" s="41"/>
      <c r="J106" s="42"/>
      <c r="K106" s="43"/>
      <c r="L106" s="41"/>
      <c r="M106" s="42"/>
      <c r="N106" s="43"/>
      <c r="O106" s="41"/>
      <c r="P106" s="42"/>
      <c r="Q106" s="43"/>
    </row>
    <row r="107" spans="1:17" x14ac:dyDescent="0.2">
      <c r="A107" s="320"/>
      <c r="B107" s="323"/>
      <c r="C107" s="41"/>
      <c r="D107" s="42"/>
      <c r="E107" s="43"/>
      <c r="F107" s="41"/>
      <c r="G107" s="42"/>
      <c r="H107" s="43"/>
      <c r="I107" s="41"/>
      <c r="J107" s="42"/>
      <c r="K107" s="43"/>
      <c r="L107" s="41"/>
      <c r="M107" s="42"/>
      <c r="N107" s="43"/>
      <c r="O107" s="41"/>
      <c r="P107" s="42"/>
      <c r="Q107" s="43"/>
    </row>
    <row r="108" spans="1:17" x14ac:dyDescent="0.2">
      <c r="A108" s="320"/>
      <c r="B108" s="323"/>
      <c r="C108" s="41"/>
      <c r="D108" s="42"/>
      <c r="E108" s="43"/>
      <c r="F108" s="41"/>
      <c r="G108" s="42"/>
      <c r="H108" s="43"/>
      <c r="I108" s="41"/>
      <c r="J108" s="42"/>
      <c r="K108" s="43"/>
      <c r="L108" s="41"/>
      <c r="M108" s="42"/>
      <c r="N108" s="43"/>
      <c r="O108" s="41"/>
      <c r="P108" s="42"/>
      <c r="Q108" s="43"/>
    </row>
    <row r="109" spans="1:17" x14ac:dyDescent="0.2">
      <c r="A109" s="320"/>
      <c r="B109" s="323"/>
      <c r="C109" s="41"/>
      <c r="D109" s="42"/>
      <c r="E109" s="43"/>
      <c r="F109" s="41"/>
      <c r="G109" s="42"/>
      <c r="H109" s="43"/>
      <c r="I109" s="41"/>
      <c r="J109" s="42"/>
      <c r="K109" s="43"/>
      <c r="L109" s="41"/>
      <c r="M109" s="42"/>
      <c r="N109" s="43"/>
      <c r="O109" s="41"/>
      <c r="P109" s="42"/>
      <c r="Q109" s="43"/>
    </row>
    <row r="110" spans="1:17" ht="12" x14ac:dyDescent="0.35">
      <c r="A110" s="320"/>
      <c r="B110" s="323"/>
      <c r="C110" s="219" t="s">
        <v>236</v>
      </c>
      <c r="D110" s="220"/>
      <c r="E110" s="221" t="s">
        <v>19</v>
      </c>
      <c r="F110" s="219" t="s">
        <v>236</v>
      </c>
      <c r="G110" s="220"/>
      <c r="H110" s="221" t="s">
        <v>19</v>
      </c>
      <c r="I110" s="219" t="s">
        <v>236</v>
      </c>
      <c r="J110" s="220"/>
      <c r="K110" s="221" t="s">
        <v>19</v>
      </c>
      <c r="L110" s="219" t="s">
        <v>236</v>
      </c>
      <c r="M110" s="220"/>
      <c r="N110" s="221" t="s">
        <v>19</v>
      </c>
      <c r="O110" s="219" t="s">
        <v>236</v>
      </c>
      <c r="P110" s="220"/>
      <c r="Q110" s="221" t="s">
        <v>19</v>
      </c>
    </row>
    <row r="111" spans="1:17" x14ac:dyDescent="0.2">
      <c r="A111" s="321"/>
      <c r="B111" s="324"/>
      <c r="C111" s="222">
        <v>2430</v>
      </c>
      <c r="D111" s="222">
        <f>SUM(D102:D110)</f>
        <v>0</v>
      </c>
      <c r="E111" s="222">
        <f>IF(C111-D111&gt;0,C111-D111,)</f>
        <v>2430</v>
      </c>
      <c r="F111" s="222">
        <v>2430</v>
      </c>
      <c r="G111" s="222">
        <f>SUM(G102:G110)</f>
        <v>0</v>
      </c>
      <c r="H111" s="222">
        <f>IF(F111-G111&gt;0,F111-G111,)</f>
        <v>2430</v>
      </c>
      <c r="I111" s="222">
        <v>2430</v>
      </c>
      <c r="J111" s="222">
        <f>SUM(J102:J110)</f>
        <v>0</v>
      </c>
      <c r="K111" s="222">
        <f>IF(I111-J111&gt;0,I111-J111,)</f>
        <v>2430</v>
      </c>
      <c r="L111" s="222">
        <f>4999*1.35</f>
        <v>6748.6500000000005</v>
      </c>
      <c r="M111" s="222">
        <f>SUM(M102:M110)</f>
        <v>0</v>
      </c>
      <c r="N111" s="222">
        <f>IF(L111-M111&gt;0,L111-M111,)</f>
        <v>6748.6500000000005</v>
      </c>
      <c r="O111" s="222">
        <f>L111+I111+F111+C111</f>
        <v>14038.650000000001</v>
      </c>
      <c r="P111" s="222">
        <f>M111+J111+G111+D111</f>
        <v>0</v>
      </c>
      <c r="Q111" s="222">
        <f>IF(O111-P111&gt;0,O111-P111,)</f>
        <v>14038.650000000001</v>
      </c>
    </row>
    <row r="112" spans="1:17" ht="12" x14ac:dyDescent="0.35">
      <c r="A112" s="319" t="s">
        <v>118</v>
      </c>
      <c r="B112" s="322" t="s">
        <v>99</v>
      </c>
      <c r="C112" s="215" t="s">
        <v>234</v>
      </c>
      <c r="D112" s="216" t="s">
        <v>235</v>
      </c>
      <c r="E112" s="217"/>
      <c r="F112" s="215" t="s">
        <v>234</v>
      </c>
      <c r="G112" s="216" t="s">
        <v>235</v>
      </c>
      <c r="H112" s="217"/>
      <c r="I112" s="215" t="s">
        <v>234</v>
      </c>
      <c r="J112" s="216" t="s">
        <v>235</v>
      </c>
      <c r="K112" s="217"/>
      <c r="L112" s="215" t="s">
        <v>234</v>
      </c>
      <c r="M112" s="216" t="s">
        <v>235</v>
      </c>
      <c r="N112" s="217"/>
      <c r="O112" s="215"/>
      <c r="P112" s="216"/>
      <c r="Q112" s="217"/>
    </row>
    <row r="113" spans="1:17" x14ac:dyDescent="0.2">
      <c r="A113" s="320"/>
      <c r="B113" s="323"/>
      <c r="C113" s="27" t="s">
        <v>217</v>
      </c>
      <c r="D113" s="44">
        <v>142</v>
      </c>
      <c r="E113" s="43"/>
      <c r="F113" s="41"/>
      <c r="G113" s="42"/>
      <c r="H113" s="43"/>
      <c r="I113" s="41"/>
      <c r="J113" s="42"/>
      <c r="K113" s="43"/>
      <c r="L113" s="41"/>
      <c r="M113" s="42"/>
      <c r="N113" s="43"/>
      <c r="O113" s="41"/>
      <c r="P113" s="42"/>
      <c r="Q113" s="43"/>
    </row>
    <row r="114" spans="1:17" x14ac:dyDescent="0.2">
      <c r="A114" s="320"/>
      <c r="B114" s="323"/>
      <c r="C114" s="27" t="s">
        <v>219</v>
      </c>
      <c r="D114" s="44">
        <v>165</v>
      </c>
      <c r="E114" s="43"/>
      <c r="F114" s="41"/>
      <c r="G114" s="42"/>
      <c r="H114" s="43"/>
      <c r="I114" s="41"/>
      <c r="J114" s="42"/>
      <c r="K114" s="43"/>
      <c r="L114" s="41"/>
      <c r="M114" s="42"/>
      <c r="N114" s="43"/>
      <c r="O114" s="41"/>
      <c r="P114" s="42"/>
      <c r="Q114" s="43"/>
    </row>
    <row r="115" spans="1:17" x14ac:dyDescent="0.2">
      <c r="A115" s="320"/>
      <c r="B115" s="323"/>
      <c r="C115" s="27" t="s">
        <v>260</v>
      </c>
      <c r="D115" s="44">
        <v>414</v>
      </c>
      <c r="E115" s="43"/>
      <c r="F115" s="41"/>
      <c r="G115" s="42"/>
      <c r="H115" s="43"/>
      <c r="I115" s="41"/>
      <c r="J115" s="42"/>
      <c r="K115" s="43"/>
      <c r="L115" s="41"/>
      <c r="M115" s="42"/>
      <c r="N115" s="43"/>
      <c r="O115" s="41"/>
      <c r="P115" s="42"/>
      <c r="Q115" s="43"/>
    </row>
    <row r="116" spans="1:17" x14ac:dyDescent="0.2">
      <c r="A116" s="320"/>
      <c r="B116" s="323"/>
      <c r="C116" s="27" t="s">
        <v>220</v>
      </c>
      <c r="D116" s="44">
        <v>64</v>
      </c>
      <c r="E116" s="43"/>
      <c r="F116" s="41"/>
      <c r="G116" s="42"/>
      <c r="H116" s="43"/>
      <c r="I116" s="41"/>
      <c r="J116" s="42"/>
      <c r="K116" s="43"/>
      <c r="L116" s="41"/>
      <c r="M116" s="42"/>
      <c r="N116" s="43"/>
      <c r="O116" s="41"/>
      <c r="P116" s="42"/>
      <c r="Q116" s="43"/>
    </row>
    <row r="117" spans="1:17" x14ac:dyDescent="0.2">
      <c r="A117" s="320"/>
      <c r="B117" s="323"/>
      <c r="C117" s="41"/>
      <c r="D117" s="42"/>
      <c r="E117" s="43"/>
      <c r="F117" s="41"/>
      <c r="G117" s="42"/>
      <c r="H117" s="43"/>
      <c r="I117" s="41"/>
      <c r="J117" s="42"/>
      <c r="K117" s="43"/>
      <c r="L117" s="41"/>
      <c r="M117" s="42"/>
      <c r="N117" s="43"/>
      <c r="O117" s="41"/>
      <c r="P117" s="42"/>
      <c r="Q117" s="43"/>
    </row>
    <row r="118" spans="1:17" x14ac:dyDescent="0.2">
      <c r="A118" s="320"/>
      <c r="B118" s="323"/>
      <c r="C118" s="41"/>
      <c r="D118" s="42"/>
      <c r="E118" s="43"/>
      <c r="F118" s="41"/>
      <c r="G118" s="42"/>
      <c r="H118" s="43"/>
      <c r="I118" s="41"/>
      <c r="J118" s="42"/>
      <c r="K118" s="43"/>
      <c r="L118" s="41"/>
      <c r="M118" s="42"/>
      <c r="N118" s="43"/>
      <c r="O118" s="41"/>
      <c r="P118" s="42"/>
      <c r="Q118" s="43"/>
    </row>
    <row r="119" spans="1:17" x14ac:dyDescent="0.2">
      <c r="A119" s="320"/>
      <c r="B119" s="323"/>
      <c r="C119" s="41"/>
      <c r="D119" s="42"/>
      <c r="E119" s="43"/>
      <c r="F119" s="41"/>
      <c r="G119" s="42"/>
      <c r="H119" s="43"/>
      <c r="I119" s="41"/>
      <c r="J119" s="42"/>
      <c r="K119" s="43"/>
      <c r="L119" s="41"/>
      <c r="M119" s="42"/>
      <c r="N119" s="43"/>
      <c r="O119" s="41"/>
      <c r="P119" s="42"/>
      <c r="Q119" s="43"/>
    </row>
    <row r="120" spans="1:17" x14ac:dyDescent="0.2">
      <c r="A120" s="320"/>
      <c r="B120" s="323"/>
      <c r="C120" s="41"/>
      <c r="D120" s="42"/>
      <c r="E120" s="43"/>
      <c r="F120" s="41"/>
      <c r="G120" s="42"/>
      <c r="H120" s="43"/>
      <c r="I120" s="41"/>
      <c r="J120" s="42"/>
      <c r="K120" s="43"/>
      <c r="L120" s="41"/>
      <c r="M120" s="42"/>
      <c r="N120" s="43"/>
      <c r="O120" s="41"/>
      <c r="P120" s="42"/>
      <c r="Q120" s="43"/>
    </row>
    <row r="121" spans="1:17" ht="12" x14ac:dyDescent="0.35">
      <c r="A121" s="320"/>
      <c r="B121" s="323"/>
      <c r="C121" s="219" t="s">
        <v>236</v>
      </c>
      <c r="D121" s="220"/>
      <c r="E121" s="221" t="s">
        <v>19</v>
      </c>
      <c r="F121" s="219" t="s">
        <v>236</v>
      </c>
      <c r="G121" s="220"/>
      <c r="H121" s="221" t="s">
        <v>19</v>
      </c>
      <c r="I121" s="219" t="s">
        <v>236</v>
      </c>
      <c r="J121" s="220"/>
      <c r="K121" s="221" t="s">
        <v>19</v>
      </c>
      <c r="L121" s="219" t="s">
        <v>236</v>
      </c>
      <c r="M121" s="220"/>
      <c r="N121" s="221" t="s">
        <v>19</v>
      </c>
      <c r="O121" s="219" t="s">
        <v>236</v>
      </c>
      <c r="P121" s="220"/>
      <c r="Q121" s="221" t="s">
        <v>19</v>
      </c>
    </row>
    <row r="122" spans="1:17" x14ac:dyDescent="0.2">
      <c r="A122" s="321"/>
      <c r="B122" s="324"/>
      <c r="C122" s="222">
        <v>30471</v>
      </c>
      <c r="D122" s="222">
        <f>SUM(D113:D121)</f>
        <v>785</v>
      </c>
      <c r="E122" s="222">
        <f>IF(C122-D122&gt;0,C122-D122,)</f>
        <v>29686</v>
      </c>
      <c r="F122" s="222">
        <v>32227</v>
      </c>
      <c r="G122" s="222">
        <f>SUM(G113:G121)</f>
        <v>0</v>
      </c>
      <c r="H122" s="222">
        <f>IF(F122-G122&gt;0,F122-G122,)</f>
        <v>32227</v>
      </c>
      <c r="I122" s="222">
        <v>33006</v>
      </c>
      <c r="J122" s="222">
        <f>SUM(J113:J121)</f>
        <v>0</v>
      </c>
      <c r="K122" s="222">
        <f>IF(I122-J122&gt;0,I122-J122,)</f>
        <v>33006</v>
      </c>
      <c r="L122" s="222">
        <v>40262</v>
      </c>
      <c r="M122" s="222">
        <f>SUM(M113:M121)</f>
        <v>0</v>
      </c>
      <c r="N122" s="222">
        <f>IF(L122-M122&gt;0,L122-M122,)</f>
        <v>40262</v>
      </c>
      <c r="O122" s="222">
        <f>L122+I122+F122+C122</f>
        <v>135966</v>
      </c>
      <c r="P122" s="222">
        <f>M122+J122+G122+D122</f>
        <v>785</v>
      </c>
      <c r="Q122" s="222">
        <f>IF(O122-P122&gt;0,O122-P122,)</f>
        <v>135181</v>
      </c>
    </row>
    <row r="123" spans="1:17" ht="12" x14ac:dyDescent="0.35">
      <c r="A123" s="319"/>
      <c r="B123" s="322" t="s">
        <v>5</v>
      </c>
      <c r="C123" s="215" t="s">
        <v>234</v>
      </c>
      <c r="D123" s="216" t="s">
        <v>235</v>
      </c>
      <c r="E123" s="217"/>
      <c r="F123" s="215" t="s">
        <v>234</v>
      </c>
      <c r="G123" s="216" t="s">
        <v>235</v>
      </c>
      <c r="H123" s="217"/>
      <c r="I123" s="215" t="s">
        <v>234</v>
      </c>
      <c r="J123" s="216" t="s">
        <v>235</v>
      </c>
      <c r="K123" s="217"/>
      <c r="L123" s="215" t="s">
        <v>234</v>
      </c>
      <c r="M123" s="216" t="s">
        <v>235</v>
      </c>
      <c r="N123" s="217"/>
      <c r="O123" s="215"/>
      <c r="P123" s="216"/>
      <c r="Q123" s="217"/>
    </row>
    <row r="124" spans="1:17" x14ac:dyDescent="0.2">
      <c r="A124" s="320"/>
      <c r="B124" s="323"/>
      <c r="C124" s="41"/>
      <c r="D124" s="42"/>
      <c r="E124" s="43"/>
      <c r="F124" s="41"/>
      <c r="G124" s="42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">
      <c r="A125" s="320"/>
      <c r="B125" s="323"/>
      <c r="C125" s="41"/>
      <c r="D125" s="42"/>
      <c r="E125" s="43"/>
      <c r="F125" s="41"/>
      <c r="G125" s="42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">
      <c r="A126" s="320"/>
      <c r="B126" s="323"/>
      <c r="C126" s="41"/>
      <c r="D126" s="42"/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">
      <c r="A127" s="320"/>
      <c r="B127" s="323"/>
      <c r="C127" s="41"/>
      <c r="D127" s="42"/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">
      <c r="A128" s="320"/>
      <c r="B128" s="323"/>
      <c r="C128" s="41"/>
      <c r="D128" s="42"/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x14ac:dyDescent="0.2">
      <c r="A129" s="320"/>
      <c r="B129" s="323"/>
      <c r="C129" s="41"/>
      <c r="D129" s="42"/>
      <c r="E129" s="43"/>
      <c r="F129" s="41"/>
      <c r="G129" s="42"/>
      <c r="H129" s="43"/>
      <c r="I129" s="41"/>
      <c r="J129" s="42"/>
      <c r="K129" s="43"/>
      <c r="L129" s="41"/>
      <c r="M129" s="42"/>
      <c r="N129" s="43"/>
      <c r="O129" s="41"/>
      <c r="P129" s="42"/>
      <c r="Q129" s="43"/>
    </row>
    <row r="130" spans="1:17" x14ac:dyDescent="0.2">
      <c r="A130" s="320"/>
      <c r="B130" s="323"/>
      <c r="C130" s="41"/>
      <c r="D130" s="42"/>
      <c r="E130" s="43"/>
      <c r="F130" s="41"/>
      <c r="G130" s="42"/>
      <c r="H130" s="43"/>
      <c r="I130" s="41"/>
      <c r="J130" s="42"/>
      <c r="K130" s="43"/>
      <c r="L130" s="41"/>
      <c r="M130" s="42"/>
      <c r="N130" s="43"/>
      <c r="O130" s="41"/>
      <c r="P130" s="42"/>
      <c r="Q130" s="43"/>
    </row>
    <row r="131" spans="1:17" x14ac:dyDescent="0.2">
      <c r="A131" s="320"/>
      <c r="B131" s="323"/>
      <c r="C131" s="41"/>
      <c r="D131" s="42"/>
      <c r="E131" s="43"/>
      <c r="F131" s="41"/>
      <c r="G131" s="42"/>
      <c r="H131" s="43"/>
      <c r="I131" s="41"/>
      <c r="J131" s="42"/>
      <c r="K131" s="43"/>
      <c r="L131" s="41"/>
      <c r="M131" s="42"/>
      <c r="N131" s="43"/>
      <c r="O131" s="41"/>
      <c r="P131" s="42"/>
      <c r="Q131" s="43"/>
    </row>
    <row r="132" spans="1:17" ht="12" x14ac:dyDescent="0.35">
      <c r="A132" s="320"/>
      <c r="B132" s="323"/>
      <c r="C132" s="219" t="s">
        <v>236</v>
      </c>
      <c r="D132" s="220"/>
      <c r="E132" s="221" t="s">
        <v>19</v>
      </c>
      <c r="F132" s="219" t="s">
        <v>236</v>
      </c>
      <c r="G132" s="220"/>
      <c r="H132" s="221" t="s">
        <v>19</v>
      </c>
      <c r="I132" s="219" t="s">
        <v>236</v>
      </c>
      <c r="J132" s="220"/>
      <c r="K132" s="221" t="s">
        <v>19</v>
      </c>
      <c r="L132" s="219" t="s">
        <v>236</v>
      </c>
      <c r="M132" s="220"/>
      <c r="N132" s="221" t="s">
        <v>19</v>
      </c>
      <c r="O132" s="219" t="s">
        <v>236</v>
      </c>
      <c r="P132" s="220"/>
      <c r="Q132" s="221" t="s">
        <v>19</v>
      </c>
    </row>
    <row r="133" spans="1:17" x14ac:dyDescent="0.2">
      <c r="A133" s="321"/>
      <c r="B133" s="324"/>
      <c r="C133" s="222">
        <v>12747</v>
      </c>
      <c r="D133" s="222">
        <f>SUM(D124:D132)</f>
        <v>0</v>
      </c>
      <c r="E133" s="222">
        <f>IF(C133-D133&gt;0,C133-D133,)</f>
        <v>12747</v>
      </c>
      <c r="F133" s="222">
        <v>12747</v>
      </c>
      <c r="G133" s="222">
        <f>SUM(G124:G132)</f>
        <v>0</v>
      </c>
      <c r="H133" s="222">
        <f>IF(F133-G133&gt;0,F133-G133,)</f>
        <v>12747</v>
      </c>
      <c r="I133" s="222">
        <v>12747</v>
      </c>
      <c r="J133" s="222">
        <f>SUM(J124:J132)</f>
        <v>0</v>
      </c>
      <c r="K133" s="222">
        <f>IF(I133-J133&gt;0,I133-J133,)</f>
        <v>12747</v>
      </c>
      <c r="L133" s="222">
        <v>20493</v>
      </c>
      <c r="M133" s="222">
        <f>SUM(M124:M132)</f>
        <v>0</v>
      </c>
      <c r="N133" s="222">
        <f>IF(L133-M133&gt;0,L133-M133,)</f>
        <v>20493</v>
      </c>
      <c r="O133" s="222">
        <f>L133+I133+F133+C133</f>
        <v>58734</v>
      </c>
      <c r="P133" s="222">
        <f>M133+J133+G133+D133</f>
        <v>0</v>
      </c>
      <c r="Q133" s="222">
        <f>IF(O133-P133&gt;0,O133-P133,)</f>
        <v>58734</v>
      </c>
    </row>
    <row r="134" spans="1:17" ht="12" x14ac:dyDescent="0.35">
      <c r="A134" s="319"/>
      <c r="B134" s="322" t="s">
        <v>114</v>
      </c>
      <c r="C134" s="215" t="s">
        <v>234</v>
      </c>
      <c r="D134" s="216" t="s">
        <v>235</v>
      </c>
      <c r="E134" s="217"/>
      <c r="F134" s="215" t="s">
        <v>234</v>
      </c>
      <c r="G134" s="216" t="s">
        <v>235</v>
      </c>
      <c r="H134" s="217"/>
      <c r="I134" s="215" t="s">
        <v>234</v>
      </c>
      <c r="J134" s="216" t="s">
        <v>235</v>
      </c>
      <c r="K134" s="217"/>
      <c r="L134" s="215" t="s">
        <v>234</v>
      </c>
      <c r="M134" s="216" t="s">
        <v>235</v>
      </c>
      <c r="N134" s="217"/>
      <c r="O134" s="215"/>
      <c r="P134" s="216"/>
      <c r="Q134" s="217"/>
    </row>
    <row r="135" spans="1:17" x14ac:dyDescent="0.2">
      <c r="A135" s="320"/>
      <c r="B135" s="323"/>
      <c r="C135" s="41" t="s">
        <v>259</v>
      </c>
      <c r="D135" s="42">
        <v>1365</v>
      </c>
      <c r="E135" s="43"/>
      <c r="F135" s="41"/>
      <c r="G135" s="42"/>
      <c r="H135" s="43"/>
      <c r="I135" s="41"/>
      <c r="J135" s="42"/>
      <c r="K135" s="43"/>
      <c r="L135" s="41"/>
      <c r="M135" s="42"/>
      <c r="N135" s="43"/>
      <c r="O135" s="41"/>
      <c r="P135" s="42"/>
      <c r="Q135" s="43"/>
    </row>
    <row r="136" spans="1:17" x14ac:dyDescent="0.2">
      <c r="A136" s="320"/>
      <c r="B136" s="323"/>
      <c r="C136" s="41"/>
      <c r="D136" s="42"/>
      <c r="E136" s="43"/>
      <c r="F136" s="41"/>
      <c r="G136" s="42"/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">
      <c r="A137" s="320"/>
      <c r="B137" s="323"/>
      <c r="C137" s="41"/>
      <c r="D137" s="42"/>
      <c r="E137" s="43"/>
      <c r="F137" s="41"/>
      <c r="G137" s="42"/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">
      <c r="A138" s="320"/>
      <c r="B138" s="323"/>
      <c r="C138" s="41"/>
      <c r="D138" s="42"/>
      <c r="E138" s="43"/>
      <c r="F138" s="41"/>
      <c r="G138" s="42"/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">
      <c r="A139" s="320"/>
      <c r="B139" s="323"/>
      <c r="C139" s="41"/>
      <c r="D139" s="42"/>
      <c r="E139" s="43"/>
      <c r="F139" s="41"/>
      <c r="G139" s="42"/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x14ac:dyDescent="0.2">
      <c r="A140" s="320"/>
      <c r="B140" s="323"/>
      <c r="C140" s="41"/>
      <c r="D140" s="42"/>
      <c r="E140" s="43"/>
      <c r="F140" s="41"/>
      <c r="G140" s="42"/>
      <c r="H140" s="43"/>
      <c r="I140" s="41"/>
      <c r="J140" s="42"/>
      <c r="K140" s="43"/>
      <c r="L140" s="41"/>
      <c r="M140" s="42"/>
      <c r="N140" s="43"/>
      <c r="O140" s="41"/>
      <c r="P140" s="42"/>
      <c r="Q140" s="43"/>
    </row>
    <row r="141" spans="1:17" x14ac:dyDescent="0.2">
      <c r="A141" s="320"/>
      <c r="B141" s="323"/>
      <c r="C141" s="41"/>
      <c r="D141" s="42"/>
      <c r="E141" s="43"/>
      <c r="F141" s="41"/>
      <c r="G141" s="42"/>
      <c r="H141" s="43"/>
      <c r="I141" s="41"/>
      <c r="J141" s="42"/>
      <c r="K141" s="43"/>
      <c r="L141" s="41"/>
      <c r="M141" s="42"/>
      <c r="N141" s="43"/>
      <c r="O141" s="41"/>
      <c r="P141" s="42"/>
      <c r="Q141" s="43"/>
    </row>
    <row r="142" spans="1:17" x14ac:dyDescent="0.2">
      <c r="A142" s="320"/>
      <c r="B142" s="323"/>
      <c r="C142" s="41"/>
      <c r="D142" s="42"/>
      <c r="E142" s="43"/>
      <c r="F142" s="41"/>
      <c r="G142" s="42"/>
      <c r="H142" s="43"/>
      <c r="I142" s="41"/>
      <c r="J142" s="42"/>
      <c r="K142" s="43"/>
      <c r="L142" s="41"/>
      <c r="M142" s="42"/>
      <c r="N142" s="43"/>
      <c r="O142" s="41"/>
      <c r="P142" s="42"/>
      <c r="Q142" s="43"/>
    </row>
    <row r="143" spans="1:17" ht="12" x14ac:dyDescent="0.35">
      <c r="A143" s="320"/>
      <c r="B143" s="323"/>
      <c r="C143" s="219" t="s">
        <v>236</v>
      </c>
      <c r="D143" s="220"/>
      <c r="E143" s="221" t="s">
        <v>19</v>
      </c>
      <c r="F143" s="219" t="s">
        <v>236</v>
      </c>
      <c r="G143" s="220"/>
      <c r="H143" s="221" t="s">
        <v>19</v>
      </c>
      <c r="I143" s="219" t="s">
        <v>236</v>
      </c>
      <c r="J143" s="220"/>
      <c r="K143" s="221" t="s">
        <v>19</v>
      </c>
      <c r="L143" s="219" t="s">
        <v>236</v>
      </c>
      <c r="M143" s="220"/>
      <c r="N143" s="221" t="s">
        <v>19</v>
      </c>
      <c r="O143" s="219" t="s">
        <v>236</v>
      </c>
      <c r="P143" s="220"/>
      <c r="Q143" s="221" t="s">
        <v>19</v>
      </c>
    </row>
    <row r="144" spans="1:17" x14ac:dyDescent="0.2">
      <c r="A144" s="321"/>
      <c r="B144" s="324"/>
      <c r="C144" s="222">
        <v>23112</v>
      </c>
      <c r="D144" s="222">
        <f>SUM(D135:D143)</f>
        <v>1365</v>
      </c>
      <c r="E144" s="222">
        <f>IF(C144-D144&gt;0,C144-D144,)</f>
        <v>21747</v>
      </c>
      <c r="F144" s="222">
        <v>23112</v>
      </c>
      <c r="G144" s="222">
        <f>SUM(G135:G143)</f>
        <v>0</v>
      </c>
      <c r="H144" s="222">
        <f>IF(F144-G144&gt;0,F144-G144,)</f>
        <v>23112</v>
      </c>
      <c r="I144" s="222">
        <v>23112</v>
      </c>
      <c r="J144" s="222">
        <f>SUM(J135:J143)</f>
        <v>0</v>
      </c>
      <c r="K144" s="222">
        <f>IF(I144-J144&gt;0,I144-J144,)</f>
        <v>23112</v>
      </c>
      <c r="L144" s="222">
        <f>23112*1.35</f>
        <v>31201.200000000001</v>
      </c>
      <c r="M144" s="222">
        <f>SUM(M135:M143)</f>
        <v>0</v>
      </c>
      <c r="N144" s="222">
        <f>IF(L144-M144&gt;0,L144-M144,)</f>
        <v>31201.200000000001</v>
      </c>
      <c r="O144" s="222">
        <f>L144+I144+F144+C144</f>
        <v>100537.2</v>
      </c>
      <c r="P144" s="222">
        <f>M144+J144+G144+D144</f>
        <v>1365</v>
      </c>
      <c r="Q144" s="222">
        <f>IF(O144-P144&gt;0,O144-P144,)</f>
        <v>99172.2</v>
      </c>
    </row>
    <row r="145" spans="1:17" s="225" customFormat="1" ht="6.75" customHeight="1" x14ac:dyDescent="0.35">
      <c r="A145" s="223"/>
      <c r="B145" s="223"/>
      <c r="C145" s="220"/>
      <c r="D145" s="220"/>
      <c r="E145" s="224"/>
      <c r="F145" s="220"/>
      <c r="G145" s="220"/>
      <c r="H145" s="220"/>
      <c r="I145" s="224"/>
      <c r="J145" s="224"/>
      <c r="K145" s="224"/>
      <c r="L145" s="220"/>
      <c r="M145" s="220"/>
      <c r="N145" s="220"/>
      <c r="O145" s="224"/>
      <c r="P145" s="224"/>
      <c r="Q145" s="224"/>
    </row>
    <row r="146" spans="1:17" x14ac:dyDescent="0.2">
      <c r="A146" s="226"/>
      <c r="B146" s="218"/>
      <c r="C146" s="222">
        <f>C144+C133+C122+C111+C100+C89+C78+C71+C60+C49+C38+C27+C16</f>
        <v>187955</v>
      </c>
      <c r="D146" s="222">
        <f>D144+D133+D122+D111+D100+D89+D78+D71+D60+D49+D38+D27+D16</f>
        <v>11786</v>
      </c>
      <c r="E146" s="222">
        <f>IF(C146-D146&gt;0,C146-D146,)</f>
        <v>176169</v>
      </c>
      <c r="F146" s="222">
        <f>F144+F133+F122+F111+F100+F89+F78+F71+F60+F49+F38+F27+F16</f>
        <v>194070</v>
      </c>
      <c r="G146" s="222">
        <f>G144+G133+G122+G111+G100+G89+G78+G71+G60+G49+G38+G27+G16</f>
        <v>0</v>
      </c>
      <c r="H146" s="222">
        <f>IF(F146-G146&gt;0,F146-G146,)</f>
        <v>194070</v>
      </c>
      <c r="I146" s="222">
        <f>I144+I133+I122+I111+I100+I89+I78+I71+I60+I49+I38+I27+I16</f>
        <v>223144</v>
      </c>
      <c r="J146" s="222">
        <f>J144+J133+J122+J111+J100+J89+J78+J71+J60+J49+J38+J27+J16</f>
        <v>0</v>
      </c>
      <c r="K146" s="222">
        <f>IF(I146-J146&gt;0,I146-J146,)</f>
        <v>223144</v>
      </c>
      <c r="L146" s="222">
        <f>L144+L133+L122+L111+L100+L89+L78+L71+L60+L49+L38+L27+L16</f>
        <v>235208.75</v>
      </c>
      <c r="M146" s="222">
        <f>M144+M133+M122+M111+M100+M89+M78+M71+M60+M49+M38+M27+M16</f>
        <v>0</v>
      </c>
      <c r="N146" s="222">
        <f>IF(L146-M146&gt;0,L146-M146,)</f>
        <v>235208.75</v>
      </c>
      <c r="O146" s="222">
        <f>L146+I146+F146+C146</f>
        <v>840377.75</v>
      </c>
      <c r="P146" s="222">
        <f>M146+J146+G146+D146</f>
        <v>11786</v>
      </c>
      <c r="Q146" s="222">
        <f>IF(O146-P146&gt;0,O146-P146,)</f>
        <v>828591.75</v>
      </c>
    </row>
  </sheetData>
  <mergeCells count="32">
    <mergeCell ref="O5:Q5"/>
    <mergeCell ref="L3:Q3"/>
    <mergeCell ref="B72:B78"/>
    <mergeCell ref="A72:A78"/>
    <mergeCell ref="C5:E5"/>
    <mergeCell ref="F5:H5"/>
    <mergeCell ref="I5:K5"/>
    <mergeCell ref="L5:N5"/>
    <mergeCell ref="A6:A16"/>
    <mergeCell ref="B6:B16"/>
    <mergeCell ref="A39:A49"/>
    <mergeCell ref="B39:B49"/>
    <mergeCell ref="A50:A60"/>
    <mergeCell ref="B50:B60"/>
    <mergeCell ref="A17:A27"/>
    <mergeCell ref="B17:B27"/>
    <mergeCell ref="A28:A38"/>
    <mergeCell ref="B28:B38"/>
    <mergeCell ref="A61:A71"/>
    <mergeCell ref="B61:B71"/>
    <mergeCell ref="B101:B111"/>
    <mergeCell ref="A79:A89"/>
    <mergeCell ref="B79:B89"/>
    <mergeCell ref="A90:A100"/>
    <mergeCell ref="B90:B100"/>
    <mergeCell ref="A101:A111"/>
    <mergeCell ref="A134:A144"/>
    <mergeCell ref="B134:B144"/>
    <mergeCell ref="A112:A122"/>
    <mergeCell ref="B112:B122"/>
    <mergeCell ref="A123:A133"/>
    <mergeCell ref="B123:B133"/>
  </mergeCells>
  <pageMargins left="0.33" right="0.55000000000000004" top="0.48" bottom="0.5" header="0.5" footer="0.5"/>
  <pageSetup scale="66" fitToHeight="2" orientation="portrait" r:id="rId1"/>
  <headerFooter alignWithMargins="0"/>
  <rowBreaks count="1" manualBreakCount="1">
    <brk id="7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1"/>
  <sheetViews>
    <sheetView topLeftCell="B27" workbookViewId="0">
      <selection activeCell="C33" sqref="C33"/>
    </sheetView>
  </sheetViews>
  <sheetFormatPr defaultRowHeight="13.2" x14ac:dyDescent="0.25"/>
  <cols>
    <col min="1" max="1" width="16.88671875" style="23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x14ac:dyDescent="0.25">
      <c r="A1" s="23" t="s">
        <v>102</v>
      </c>
    </row>
    <row r="2" spans="1:37" ht="15.6" x14ac:dyDescent="0.3">
      <c r="A2" s="23" t="s">
        <v>54</v>
      </c>
      <c r="B2" s="338" t="s">
        <v>17</v>
      </c>
      <c r="C2" s="338"/>
      <c r="D2" s="338"/>
      <c r="E2" s="338"/>
      <c r="F2" s="338"/>
      <c r="G2" s="338"/>
      <c r="H2" s="338"/>
      <c r="I2" s="338"/>
      <c r="J2" s="338"/>
      <c r="K2" s="338"/>
      <c r="Q2" t="s">
        <v>262</v>
      </c>
    </row>
    <row r="3" spans="1:37" ht="13.8" x14ac:dyDescent="0.25">
      <c r="A3" s="24">
        <v>36678</v>
      </c>
      <c r="B3" s="339" t="s">
        <v>163</v>
      </c>
      <c r="C3" s="339"/>
      <c r="D3" s="339"/>
      <c r="E3" s="339"/>
      <c r="F3" s="339"/>
      <c r="G3" s="339"/>
      <c r="H3" s="339"/>
      <c r="I3" s="339"/>
      <c r="J3" s="339"/>
      <c r="K3" s="339"/>
    </row>
    <row r="4" spans="1:37" x14ac:dyDescent="0.25">
      <c r="A4" s="23" t="s">
        <v>47</v>
      </c>
      <c r="B4" s="340" t="str">
        <f>'Old Mgmt Summary'!A3</f>
        <v>Results based on Activity through April 14, 2000</v>
      </c>
      <c r="C4" s="340"/>
      <c r="D4" s="340"/>
      <c r="E4" s="340"/>
      <c r="F4" s="340"/>
      <c r="G4" s="340"/>
      <c r="H4" s="340"/>
      <c r="I4" s="340"/>
      <c r="J4" s="340"/>
      <c r="K4" s="340"/>
    </row>
    <row r="5" spans="1:37" ht="3" customHeight="1" x14ac:dyDescent="0.25"/>
    <row r="6" spans="1:37" x14ac:dyDescent="0.25">
      <c r="A6" s="23" t="s">
        <v>125</v>
      </c>
      <c r="B6" s="6"/>
      <c r="D6" s="335" t="s">
        <v>51</v>
      </c>
      <c r="E6" s="336"/>
      <c r="F6" s="337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32" t="s">
        <v>70</v>
      </c>
      <c r="I7" s="333"/>
      <c r="J7" s="333"/>
      <c r="K7" s="33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257</v>
      </c>
      <c r="B9" s="7" t="s">
        <v>3</v>
      </c>
      <c r="D9" s="62">
        <f>E9</f>
        <v>3212</v>
      </c>
      <c r="E9" s="63">
        <f>ROUND(_xll.HPVAL($A9,$A$1,$A$2,$A$3,$A$4,$A$6)/1000,0)</f>
        <v>3212</v>
      </c>
      <c r="F9" s="122">
        <f>E9-D9</f>
        <v>0</v>
      </c>
      <c r="G9" s="5"/>
      <c r="H9" s="193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105</v>
      </c>
      <c r="B10" s="7" t="s">
        <v>106</v>
      </c>
      <c r="D10" s="20">
        <f t="shared" ref="D10:D16" si="0">E10</f>
        <v>4712</v>
      </c>
      <c r="E10" s="12">
        <f>ROUND(_xll.HPVAL($A10,$A$1,$A$2,$A$3,$A$4,$A$6)/1000,0)</f>
        <v>4712</v>
      </c>
      <c r="F10" s="123">
        <f t="shared" ref="F10:F17" si="1"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27</v>
      </c>
      <c r="B11" s="7" t="s">
        <v>132</v>
      </c>
      <c r="D11" s="20">
        <f t="shared" si="0"/>
        <v>709</v>
      </c>
      <c r="E11" s="12">
        <f>ROUND(_xll.HPVAL($A11,$A$1,$A$2,$A$3,$A$4,$A$6)*0.8577/1000,0)</f>
        <v>709</v>
      </c>
      <c r="F11" s="123">
        <f t="shared" si="1"/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134</v>
      </c>
      <c r="B12" s="7" t="s">
        <v>133</v>
      </c>
      <c r="D12" s="20">
        <f t="shared" si="0"/>
        <v>1451</v>
      </c>
      <c r="E12" s="12">
        <f>ROUND(_xll.HPVAL($A12,$A$1,$A$2,$A$3,$A$4,$A$6)/1000,0)-E11</f>
        <v>1451</v>
      </c>
      <c r="F12" s="123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43</v>
      </c>
      <c r="B13" s="7" t="s">
        <v>114</v>
      </c>
      <c r="C13" s="72"/>
      <c r="D13" s="20">
        <f t="shared" si="0"/>
        <v>2181</v>
      </c>
      <c r="E13" s="12">
        <f>ROUND(_xll.HPVAL($A13,$A$1,$A$2,$A$3,$A$4,$A$6)/1000,0)</f>
        <v>2181</v>
      </c>
      <c r="F13" s="123">
        <f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28</v>
      </c>
      <c r="B14" s="7" t="s">
        <v>5</v>
      </c>
      <c r="D14" s="20">
        <f t="shared" si="0"/>
        <v>2665</v>
      </c>
      <c r="E14" s="12">
        <f>ROUND(_xll.HPVAL($A14,$A$1,$A$2,$A$3,$A$4,$A$6)/1000,0)</f>
        <v>2665</v>
      </c>
      <c r="F14" s="123">
        <f t="shared" si="1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30</v>
      </c>
      <c r="B15" s="7" t="s">
        <v>155</v>
      </c>
      <c r="D15" s="20">
        <f t="shared" si="0"/>
        <v>982</v>
      </c>
      <c r="E15" s="12">
        <f>ROUND(_xll.HPVAL($A15,$A$1,$A$2,$A$3,$A$4,$A$6)/1000,0)</f>
        <v>982</v>
      </c>
      <c r="F15" s="123">
        <f t="shared" si="1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4</v>
      </c>
      <c r="B16" s="7" t="s">
        <v>107</v>
      </c>
      <c r="D16" s="20">
        <f t="shared" si="0"/>
        <v>104</v>
      </c>
      <c r="E16" s="12">
        <f>ROUND(_xll.HPVAL($A16,$A$1,$A$2,$A$3,$A$4,$A$6)/1000,0)</f>
        <v>104</v>
      </c>
      <c r="F16" s="123">
        <f t="shared" si="1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73</v>
      </c>
      <c r="B17" s="7" t="s">
        <v>156</v>
      </c>
      <c r="D17" s="20">
        <v>1364</v>
      </c>
      <c r="E17" s="12">
        <f>ROUND(_xll.HPVAL($A17,$A$1,$A$2,$A$3,$A$4,$A$6)/1000,0)</f>
        <v>1298</v>
      </c>
      <c r="F17" s="123">
        <f t="shared" si="1"/>
        <v>-66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17380</v>
      </c>
      <c r="E18" s="121">
        <f>SUM(E9:E17)</f>
        <v>17314</v>
      </c>
      <c r="F18" s="113">
        <f>SUM(F9:F17)</f>
        <v>-66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0">
        <f>E20</f>
        <v>3325</v>
      </c>
      <c r="E20" s="12">
        <f>ROUND(_xll.HPVAL($A20,$A$1,$A$2,$A$3,$A$4,$A$6)/1000,0)</f>
        <v>3325</v>
      </c>
      <c r="F20" s="123">
        <f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0">
        <f>E21</f>
        <v>4674</v>
      </c>
      <c r="E21" s="12">
        <f>ROUND(_xll.HPVAL($A21,$A$1,$A$2,$A$3,$A$4,$A$6)/1000,0)</f>
        <v>4674</v>
      </c>
      <c r="F21" s="123">
        <f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255</v>
      </c>
      <c r="B22" s="7" t="s">
        <v>253</v>
      </c>
      <c r="D22" s="20">
        <f>E22</f>
        <v>5476</v>
      </c>
      <c r="E22" s="12">
        <f>ROUND(_xll.HPVAL($A22,$A$1,$A$2,$A$3,$A$4,$A$6)/1000,0)</f>
        <v>5476</v>
      </c>
      <c r="F22" s="123">
        <f>E22-D22</f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103</v>
      </c>
      <c r="B23" s="7" t="s">
        <v>104</v>
      </c>
      <c r="D23" s="20">
        <f>E23</f>
        <v>1937</v>
      </c>
      <c r="E23" s="12">
        <f>ROUND(_xll.HPVAL($A23,$A$1,$A$2,$A$3,$A$4,$A$6)/1000,0)</f>
        <v>1937</v>
      </c>
      <c r="F23" s="123">
        <f>E23-D23</f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36</v>
      </c>
      <c r="B24" s="7" t="s">
        <v>0</v>
      </c>
      <c r="D24" s="20">
        <f>E24</f>
        <v>2005</v>
      </c>
      <c r="E24" s="12">
        <f>ROUND(_xll.HPVAL($A24,$A$1,$A$2,$A$3,$A$4,$A$6)/1000,0)</f>
        <v>2005</v>
      </c>
      <c r="F24" s="123">
        <f>E24-D24</f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B25" s="115" t="s">
        <v>1</v>
      </c>
      <c r="C25" s="114"/>
      <c r="D25" s="120">
        <f>SUM(D20:D24)</f>
        <v>17417</v>
      </c>
      <c r="E25" s="121">
        <f>SUM(E20:E24)</f>
        <v>17417</v>
      </c>
      <c r="F25" s="113">
        <f>SUM(F20:F24)</f>
        <v>0</v>
      </c>
      <c r="G25" s="116"/>
      <c r="H25" s="117"/>
      <c r="I25" s="118"/>
      <c r="J25" s="118"/>
      <c r="K25" s="1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 x14ac:dyDescent="0.25">
      <c r="B26" s="7"/>
      <c r="D26" s="20"/>
      <c r="E26" s="12"/>
      <c r="F26" s="123"/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23" t="s">
        <v>37</v>
      </c>
      <c r="B27" s="7" t="s">
        <v>67</v>
      </c>
      <c r="D27" s="20">
        <f>E27</f>
        <v>1001</v>
      </c>
      <c r="E27" s="12">
        <f>ROUND(_xll.HPVAL($A27,$A$1,$A$2,$A$3,$A$4,$A$6)/1000,0)</f>
        <v>1001</v>
      </c>
      <c r="F27" s="123">
        <f>E27-D27</f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23" t="s">
        <v>41</v>
      </c>
      <c r="B28" s="7" t="s">
        <v>92</v>
      </c>
      <c r="C28" s="72"/>
      <c r="D28" s="20">
        <v>4961</v>
      </c>
      <c r="E28" s="12">
        <f>ROUND(_xll.HPVAL($A28,$A$1,$A$2,$A$3,$A$4,$A$6)/1000,0)</f>
        <v>4852</v>
      </c>
      <c r="F28" s="123">
        <f>E28-D28</f>
        <v>-109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42</v>
      </c>
      <c r="B29" s="7" t="s">
        <v>93</v>
      </c>
      <c r="C29" s="72"/>
      <c r="D29" s="20">
        <f>E29</f>
        <v>717</v>
      </c>
      <c r="E29" s="12">
        <f>ROUND(_xll.HPVAL($A29,$A$1,$A$2,$A$3,$A$4,$A$6)/1000,0)</f>
        <v>717</v>
      </c>
      <c r="F29" s="123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B30" s="115" t="s">
        <v>86</v>
      </c>
      <c r="C30" s="114"/>
      <c r="D30" s="120">
        <f>SUM(D27:D29)</f>
        <v>6679</v>
      </c>
      <c r="E30" s="121">
        <f>SUM(E27:E29)</f>
        <v>6570</v>
      </c>
      <c r="F30" s="113">
        <f>SUM(F27:F29)</f>
        <v>-109</v>
      </c>
      <c r="G30" s="116"/>
      <c r="H30" s="117"/>
      <c r="I30" s="118"/>
      <c r="J30" s="118"/>
      <c r="K30" s="1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5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40</v>
      </c>
      <c r="B32" s="7" t="s">
        <v>9</v>
      </c>
      <c r="D32" s="20">
        <v>838</v>
      </c>
      <c r="E32" s="12">
        <f>ROUND(_xll.HPVAL($A32,$A$1,$A$2,$A$3,$A$4,$A$6)/1000,0)</f>
        <v>735</v>
      </c>
      <c r="F32" s="123">
        <f>E32-D32</f>
        <v>-103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39</v>
      </c>
      <c r="B33" s="7" t="s">
        <v>151</v>
      </c>
      <c r="D33" s="20">
        <f>E33</f>
        <v>1307</v>
      </c>
      <c r="E33" s="12">
        <f>ROUND(_xll.HPVAL($A33,$A$1,$A$2,$A$3,$A$4,$A$6)/1000,0)</f>
        <v>1307</v>
      </c>
      <c r="F33" s="123">
        <f>E33-D33</f>
        <v>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5">
      <c r="A34" s="23" t="s">
        <v>153</v>
      </c>
      <c r="B34" s="7" t="s">
        <v>180</v>
      </c>
      <c r="D34" s="20">
        <f>E34</f>
        <v>839</v>
      </c>
      <c r="E34" s="12">
        <f>ROUND(_xll.HPVAL($A34,$A$1,$A$2,$A$3,$A$4,$A$6)/1000,0)</f>
        <v>839</v>
      </c>
      <c r="F34" s="123">
        <f>E34-D34</f>
        <v>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5">
      <c r="A35" s="23" t="s">
        <v>157</v>
      </c>
      <c r="B35" s="7" t="s">
        <v>154</v>
      </c>
      <c r="D35" s="20">
        <f>E35</f>
        <v>0</v>
      </c>
      <c r="E35" s="12">
        <f>ROUND(_xll.HPVAL($A35,$A$1,$A$2,$A$3,$A$4,$A$6)/1000,0)</f>
        <v>0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B36" s="7" t="s">
        <v>154</v>
      </c>
      <c r="D36" s="254">
        <f>SUM(D34:D35)</f>
        <v>839</v>
      </c>
      <c r="E36" s="255">
        <f>SUM(E34:E35)</f>
        <v>839</v>
      </c>
      <c r="F36" s="253">
        <f>SUM(F34:F35)</f>
        <v>0</v>
      </c>
      <c r="G36" s="252"/>
    </row>
    <row r="37" spans="1:37" ht="11.25" customHeight="1" x14ac:dyDescent="0.25">
      <c r="B37" s="115" t="s">
        <v>87</v>
      </c>
      <c r="C37" s="114"/>
      <c r="D37" s="120">
        <f>SUM(D32:D35)</f>
        <v>2984</v>
      </c>
      <c r="E37" s="121">
        <f>SUM(E32:E35)</f>
        <v>2881</v>
      </c>
      <c r="F37" s="113">
        <f>SUM(F32:F35)</f>
        <v>-103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5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82</v>
      </c>
      <c r="B39" s="7" t="s">
        <v>8</v>
      </c>
      <c r="C39" s="72"/>
      <c r="D39" s="20">
        <f>E39</f>
        <v>5984</v>
      </c>
      <c r="E39" s="12">
        <f>ROUND(_xll.HPVAL($A39,$A$1,$A$2,$A$3,$A$4,$A$6)/1000,0)</f>
        <v>5984</v>
      </c>
      <c r="F39" s="123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44</v>
      </c>
      <c r="B41" s="7" t="s">
        <v>7</v>
      </c>
      <c r="C41" s="72"/>
      <c r="D41" s="20">
        <v>2930</v>
      </c>
      <c r="E41" s="12">
        <f>ROUND(_xll.HPVAL($A41,$A$1,$A$2,$A$3,$A$4,$A$6)/1000,0)</f>
        <v>2430</v>
      </c>
      <c r="F41" s="123">
        <f>E41-D41</f>
        <v>-500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5">
      <c r="A43" s="23"/>
      <c r="B43" s="115" t="s">
        <v>10</v>
      </c>
      <c r="D43" s="120">
        <f>SUM(D37:D41)+D18+D25+D30</f>
        <v>53374</v>
      </c>
      <c r="E43" s="121">
        <f>SUM(E37:E41)+E18+E25+E30</f>
        <v>52596</v>
      </c>
      <c r="F43" s="113">
        <f>SUM(F37:F41)+F18+F25+F30</f>
        <v>-778</v>
      </c>
      <c r="G43" s="116"/>
      <c r="H43" s="117"/>
      <c r="I43" s="118"/>
      <c r="J43" s="118"/>
      <c r="K43" s="119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5">
      <c r="A45" s="23" t="s">
        <v>45</v>
      </c>
      <c r="B45" s="7" t="s">
        <v>48</v>
      </c>
      <c r="C45" s="72"/>
      <c r="D45" s="20">
        <f>E45</f>
        <v>71849</v>
      </c>
      <c r="E45" s="12">
        <f>ROUND(_xll.HPVAL($A45,$A$1,$A$2,$A$3,$A$4,$A$6)/1000,0)</f>
        <v>71849</v>
      </c>
      <c r="F45" s="123">
        <f>E45-D45</f>
        <v>0</v>
      </c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5">
      <c r="A47" s="23" t="s">
        <v>46</v>
      </c>
      <c r="B47" s="7" t="s">
        <v>18</v>
      </c>
      <c r="C47" s="72"/>
      <c r="D47" s="20">
        <f>E47</f>
        <v>26684</v>
      </c>
      <c r="E47" s="12">
        <f>ROUND(_xll.HPVAL($A47,$A$1,$A$2,$A$3,$A$4,$A$6)/1000,0)</f>
        <v>26684</v>
      </c>
      <c r="F47" s="123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s="114" customFormat="1" ht="11.25" customHeight="1" x14ac:dyDescent="0.25">
      <c r="B49" s="115" t="s">
        <v>14</v>
      </c>
      <c r="D49" s="108">
        <f>D43+D45+D47</f>
        <v>151907</v>
      </c>
      <c r="E49" s="109">
        <f>E43+E45+E47</f>
        <v>151129</v>
      </c>
      <c r="F49" s="110">
        <f>F43+F45+F47</f>
        <v>-778</v>
      </c>
      <c r="G49" s="116"/>
      <c r="H49" s="117"/>
      <c r="I49" s="118"/>
      <c r="J49" s="118"/>
      <c r="K49" s="119"/>
    </row>
    <row r="50" spans="1:37" ht="3" customHeight="1" x14ac:dyDescent="0.25">
      <c r="B50" s="19"/>
      <c r="D50" s="13"/>
      <c r="E50" s="14"/>
      <c r="F50" s="22"/>
      <c r="G50" s="1"/>
      <c r="H50" s="13"/>
      <c r="I50" s="14"/>
      <c r="J50" s="14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86" customFormat="1" ht="3" customHeight="1" x14ac:dyDescent="0.25">
      <c r="A51" s="163"/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B52" s="6"/>
      <c r="D52" s="335" t="s">
        <v>131</v>
      </c>
      <c r="E52" s="336"/>
      <c r="F52" s="337"/>
      <c r="G52" s="1"/>
      <c r="H52" s="9"/>
      <c r="I52" s="10"/>
      <c r="J52" s="10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B53" s="179" t="s">
        <v>16</v>
      </c>
      <c r="D53" s="16" t="s">
        <v>13</v>
      </c>
      <c r="E53" s="17" t="s">
        <v>15</v>
      </c>
      <c r="F53" s="18" t="s">
        <v>20</v>
      </c>
      <c r="G53" s="1"/>
      <c r="H53" s="332" t="s">
        <v>70</v>
      </c>
      <c r="I53" s="333"/>
      <c r="J53" s="333"/>
      <c r="K53" s="33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B54" s="6" t="s">
        <v>33</v>
      </c>
      <c r="D54" s="182">
        <v>8206</v>
      </c>
      <c r="E54" s="183">
        <v>8789</v>
      </c>
      <c r="F54" s="180">
        <f>E54-D54</f>
        <v>583</v>
      </c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19" t="s">
        <v>92</v>
      </c>
      <c r="D55" s="21">
        <v>40447</v>
      </c>
      <c r="E55" s="15">
        <v>38743</v>
      </c>
      <c r="F55" s="181">
        <f>E55-D55</f>
        <v>-1704</v>
      </c>
      <c r="G55" s="1"/>
      <c r="H55" s="13"/>
      <c r="I55" s="14"/>
      <c r="J55" s="14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idden="1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idden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hidden="1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hidden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hidden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hidden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hidden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</sheetData>
  <mergeCells count="7">
    <mergeCell ref="H53:K53"/>
    <mergeCell ref="D6:F6"/>
    <mergeCell ref="H7:K7"/>
    <mergeCell ref="B2:K2"/>
    <mergeCell ref="B3:K3"/>
    <mergeCell ref="B4:K4"/>
    <mergeCell ref="D52:F52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0"/>
  <sheetViews>
    <sheetView workbookViewId="0">
      <selection activeCell="C33" sqref="C33"/>
    </sheetView>
  </sheetViews>
  <sheetFormatPr defaultRowHeight="13.2" x14ac:dyDescent="0.25"/>
  <cols>
    <col min="1" max="1" width="16.88671875" style="23" customWidth="1"/>
    <col min="2" max="2" width="27.6640625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x14ac:dyDescent="0.25">
      <c r="A1" s="23" t="s">
        <v>102</v>
      </c>
    </row>
    <row r="2" spans="1:20" ht="15.6" x14ac:dyDescent="0.3">
      <c r="A2" s="23" t="s">
        <v>55</v>
      </c>
      <c r="B2" s="338" t="s">
        <v>17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t="s">
        <v>262</v>
      </c>
    </row>
    <row r="3" spans="1:20" ht="13.8" x14ac:dyDescent="0.25">
      <c r="A3" s="23" t="s">
        <v>56</v>
      </c>
      <c r="B3" s="339" t="s">
        <v>164</v>
      </c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</row>
    <row r="4" spans="1:20" x14ac:dyDescent="0.25">
      <c r="A4" s="24">
        <v>36678</v>
      </c>
      <c r="B4" s="340" t="str">
        <f>'Old Mgmt Summary'!A3</f>
        <v>Results based on Activity through April 14, 2000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</row>
    <row r="5" spans="1:20" ht="3" customHeight="1" x14ac:dyDescent="0.25">
      <c r="A5" s="23" t="s">
        <v>47</v>
      </c>
    </row>
    <row r="6" spans="1:20" x14ac:dyDescent="0.25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332" t="s">
        <v>57</v>
      </c>
      <c r="E7" s="333"/>
      <c r="F7" s="333"/>
      <c r="G7" s="333"/>
      <c r="H7" s="333"/>
      <c r="I7" s="334"/>
      <c r="J7" s="1"/>
      <c r="K7" s="332" t="s">
        <v>143</v>
      </c>
      <c r="L7" s="333"/>
      <c r="M7" s="333"/>
      <c r="N7" s="333"/>
      <c r="O7" s="333"/>
      <c r="P7" s="334"/>
      <c r="Q7" s="1"/>
      <c r="R7" s="1"/>
      <c r="S7" s="1"/>
      <c r="T7" s="1"/>
    </row>
    <row r="8" spans="1:20" x14ac:dyDescent="0.25">
      <c r="B8" s="8" t="s">
        <v>16</v>
      </c>
      <c r="D8" s="16" t="s">
        <v>13</v>
      </c>
      <c r="E8" s="17" t="s">
        <v>15</v>
      </c>
      <c r="F8" s="18" t="s">
        <v>20</v>
      </c>
      <c r="G8" s="335" t="s">
        <v>58</v>
      </c>
      <c r="H8" s="336"/>
      <c r="I8" s="337"/>
      <c r="J8" s="1"/>
      <c r="K8" s="16" t="s">
        <v>13</v>
      </c>
      <c r="L8" s="17" t="s">
        <v>15</v>
      </c>
      <c r="M8" s="18" t="s">
        <v>20</v>
      </c>
      <c r="N8" s="335" t="s">
        <v>58</v>
      </c>
      <c r="O8" s="336"/>
      <c r="P8" s="337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257</v>
      </c>
      <c r="B10" s="7" t="s">
        <v>3</v>
      </c>
      <c r="D10" s="62">
        <f>E10</f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105</v>
      </c>
      <c r="B11" s="7" t="s">
        <v>106</v>
      </c>
      <c r="D11" s="20">
        <v>7642</v>
      </c>
      <c r="E11" s="12">
        <f>ROUND(_xll.HPVAL($A11,$A$1,$A$2,$A$4,$A$5,$A$6)/1000,0)</f>
        <v>8791</v>
      </c>
      <c r="F11" s="125">
        <f t="shared" ref="F11:F18" si="0">E11-D11</f>
        <v>1149</v>
      </c>
      <c r="G11" s="2"/>
      <c r="H11" s="2"/>
      <c r="I11" s="3"/>
      <c r="J11" s="1"/>
      <c r="K11" s="20">
        <f t="shared" ref="K11:K17" si="1">L11</f>
        <v>5942</v>
      </c>
      <c r="L11" s="12">
        <f>ROUND(_xll.HPVAL($A11,$A$1,$A$3,$A$4,$A$5,$A$6)/1000,0)</f>
        <v>5942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27</v>
      </c>
      <c r="B12" s="7" t="s">
        <v>132</v>
      </c>
      <c r="D12" s="20">
        <f t="shared" ref="D12:D18" si="2">E12</f>
        <v>0</v>
      </c>
      <c r="E12" s="12">
        <f>ROUND(_xll.HPVAL($A12,$A$1,$A$2,$A$4,$A$5,$A$6)/1000,0)</f>
        <v>0</v>
      </c>
      <c r="F12" s="125">
        <f t="shared" si="0"/>
        <v>0</v>
      </c>
      <c r="G12" s="2"/>
      <c r="H12" s="2"/>
      <c r="I12" s="3"/>
      <c r="J12" s="1"/>
      <c r="K12" s="20">
        <f t="shared" si="1"/>
        <v>898</v>
      </c>
      <c r="L12" s="12">
        <f>ROUND(_xll.HPVAL($A12,$A$1,$A$3,$A$4,$A$5,$A$6)*0.8577/1000,0)</f>
        <v>898</v>
      </c>
      <c r="M12" s="125">
        <f t="shared" ref="M12:M18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134</v>
      </c>
      <c r="B13" s="7" t="s">
        <v>133</v>
      </c>
      <c r="D13" s="20">
        <f t="shared" si="2"/>
        <v>0</v>
      </c>
      <c r="E13" s="12">
        <f>ROUND(_xll.HPVAL($A13,$A$1,$A$2,$A$4,$A$5,$A$6)/1000,0)</f>
        <v>0</v>
      </c>
      <c r="F13" s="125">
        <f>E13-D13</f>
        <v>0</v>
      </c>
      <c r="G13" s="2"/>
      <c r="H13" s="2"/>
      <c r="I13" s="3"/>
      <c r="J13" s="1"/>
      <c r="K13" s="20">
        <f>L13</f>
        <v>1045</v>
      </c>
      <c r="L13" s="12">
        <f>ROUND(_xll.HPVAL("ECT_INV_IRFX",$A$1,$A$3,$A$4,$A$5,$A$6)/1000,0)-L12</f>
        <v>1045</v>
      </c>
      <c r="M13" s="12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43</v>
      </c>
      <c r="B14" s="7" t="s">
        <v>114</v>
      </c>
      <c r="C14" s="72"/>
      <c r="D14" s="20">
        <v>186</v>
      </c>
      <c r="E14" s="12">
        <f>ROUND(_xll.HPVAL($A14,$A$1,$A$2,$A$4,$A$5,$A$6)/1000,0)</f>
        <v>376</v>
      </c>
      <c r="F14" s="125">
        <f>E14-D14</f>
        <v>190</v>
      </c>
      <c r="G14" s="2"/>
      <c r="H14" s="2"/>
      <c r="I14" s="3"/>
      <c r="J14" s="1"/>
      <c r="K14" s="20">
        <f t="shared" si="1"/>
        <v>2390</v>
      </c>
      <c r="L14" s="12">
        <f>ROUND(_xll.HPVAL($A14,$A$1,$A$3,$A$4,$A$5,$A$6)/1000,0)</f>
        <v>2390</v>
      </c>
      <c r="M14" s="12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28</v>
      </c>
      <c r="B15" s="7" t="s">
        <v>5</v>
      </c>
      <c r="D15" s="20">
        <v>615</v>
      </c>
      <c r="E15" s="12">
        <f>ROUND(_xll.HPVAL($A15,$A$1,$A$2,$A$4,$A$5,$A$6)/1000,0)</f>
        <v>717</v>
      </c>
      <c r="F15" s="125">
        <f t="shared" si="0"/>
        <v>102</v>
      </c>
      <c r="G15" s="2"/>
      <c r="H15" s="2"/>
      <c r="I15" s="3"/>
      <c r="J15" s="1"/>
      <c r="K15" s="20">
        <f t="shared" si="1"/>
        <v>1412</v>
      </c>
      <c r="L15" s="12">
        <f>ROUND(_xll.HPVAL($A15,$A$1,$A$3,$A$4,$A$5,$A$6)/1000,0)</f>
        <v>1412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30</v>
      </c>
      <c r="B16" s="7" t="s">
        <v>155</v>
      </c>
      <c r="D16" s="20">
        <f t="shared" si="2"/>
        <v>0</v>
      </c>
      <c r="E16" s="12">
        <f>ROUND(_xll.HPVAL($A16,$A$1,$A$2,$A$4,$A$5,$A$6)/1000,0)</f>
        <v>0</v>
      </c>
      <c r="F16" s="125">
        <f t="shared" si="0"/>
        <v>0</v>
      </c>
      <c r="G16" s="2"/>
      <c r="H16" s="2"/>
      <c r="I16" s="3"/>
      <c r="J16" s="1"/>
      <c r="K16" s="20">
        <f t="shared" si="1"/>
        <v>679</v>
      </c>
      <c r="L16" s="12">
        <f>ROUND(_xll.HPVAL($A16,$A$1,$A$3,$A$4,$A$5,$A$6)/1000,0)</f>
        <v>679</v>
      </c>
      <c r="M16" s="12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4</v>
      </c>
      <c r="B17" s="7" t="s">
        <v>107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f t="shared" si="1"/>
        <v>234</v>
      </c>
      <c r="L17" s="12">
        <f>ROUND(_xll.HPVAL($A17,$A$1,$A$3,$A$4,$A$5,$A$6)/1000,0)</f>
        <v>234</v>
      </c>
      <c r="M17" s="12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73</v>
      </c>
      <c r="B18" s="7" t="s">
        <v>156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>L18</f>
        <v>36</v>
      </c>
      <c r="L18" s="12">
        <f>ROUND(_xll.HPVAL($A18,$A$1,$A$3,$A$4,$A$5,$A$6)/1000,0)</f>
        <v>36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5">
      <c r="B19" s="115" t="s">
        <v>69</v>
      </c>
      <c r="C19" s="114"/>
      <c r="D19" s="120">
        <f>SUM(D10:D18)</f>
        <v>8443</v>
      </c>
      <c r="E19" s="121">
        <f>SUM(E10:E18)</f>
        <v>9884</v>
      </c>
      <c r="F19" s="121">
        <f>SUM(F10:F18)</f>
        <v>1441</v>
      </c>
      <c r="G19" s="118"/>
      <c r="H19" s="118"/>
      <c r="I19" s="119"/>
      <c r="J19" s="114"/>
      <c r="K19" s="120">
        <f>SUM(K10:K18)</f>
        <v>24281</v>
      </c>
      <c r="L19" s="121">
        <f>SUM(L10:L18)</f>
        <v>24281</v>
      </c>
      <c r="M19" s="121">
        <f>SUM(M10:M18)</f>
        <v>0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5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5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>E21-D21</f>
        <v>0</v>
      </c>
      <c r="G21" s="2"/>
      <c r="H21" s="2"/>
      <c r="I21" s="3"/>
      <c r="J21" s="1"/>
      <c r="K21" s="20">
        <f>L21</f>
        <v>3049</v>
      </c>
      <c r="L21" s="12">
        <f>ROUND(_xll.HPVAL($A21,$A$1,$A$3,$A$4,$A$5,$A$6)/1000,0)</f>
        <v>3049</v>
      </c>
      <c r="M21" s="125">
        <f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38</v>
      </c>
      <c r="B22" s="7" t="s">
        <v>89</v>
      </c>
      <c r="D22" s="20">
        <v>943</v>
      </c>
      <c r="E22" s="12">
        <f>ROUND(_xll.HPVAL($A22,$A$1,$A$2,$A$4,$A$5,$A$6)/1000,0)</f>
        <v>288</v>
      </c>
      <c r="F22" s="125">
        <f>E22-D22</f>
        <v>-655</v>
      </c>
      <c r="G22" s="2" t="s">
        <v>192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255</v>
      </c>
      <c r="B23" s="7" t="s">
        <v>253</v>
      </c>
      <c r="D23" s="20">
        <f>93+16</f>
        <v>109</v>
      </c>
      <c r="E23" s="12">
        <f>ROUND(_xll.HPVAL($A23,$A$1,$A$2,$A$4,$A$5,$A$6)/1000,0)</f>
        <v>1086</v>
      </c>
      <c r="F23" s="125">
        <f>E23-D23</f>
        <v>977</v>
      </c>
      <c r="G23" s="2" t="s">
        <v>193</v>
      </c>
      <c r="H23" s="2"/>
      <c r="I23" s="3"/>
      <c r="J23" s="1"/>
      <c r="K23" s="20">
        <f>L23</f>
        <v>2348</v>
      </c>
      <c r="L23" s="12">
        <f>ROUND(_xll.HPVAL($A23,$A$1,$A$3,$A$4,$A$5,$A$6)/1000,0)</f>
        <v>2348</v>
      </c>
      <c r="M23" s="125">
        <f>ROUND(L23-K23,0)</f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103</v>
      </c>
      <c r="B24" s="7" t="s">
        <v>104</v>
      </c>
      <c r="D24" s="20">
        <f>E24</f>
        <v>0</v>
      </c>
      <c r="E24" s="12">
        <f>ROUND(_xll.HPVAL($A24,$A$1,$A$2,$A$4,$A$5,$A$6)/1000,0)</f>
        <v>0</v>
      </c>
      <c r="F24" s="125">
        <f>E24-D24</f>
        <v>0</v>
      </c>
      <c r="G24" s="2"/>
      <c r="H24" s="2"/>
      <c r="I24" s="3"/>
      <c r="J24" s="1"/>
      <c r="K24" s="20">
        <f>L24</f>
        <v>788</v>
      </c>
      <c r="L24" s="12">
        <f>ROUND(_xll.HPVAL($A24,$A$1,$A$3,$A$4,$A$5,$A$6)/1000,0)</f>
        <v>788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A25" s="23" t="s">
        <v>36</v>
      </c>
      <c r="B25" s="7" t="s">
        <v>0</v>
      </c>
      <c r="D25" s="20">
        <f>E25</f>
        <v>0</v>
      </c>
      <c r="E25" s="12">
        <f>ROUND(_xll.HPVAL($A25,$A$1,$A$2,$A$4,$A$5,$A$6)/1000,0)</f>
        <v>0</v>
      </c>
      <c r="F25" s="125">
        <f>E25-D25</f>
        <v>0</v>
      </c>
      <c r="G25" s="2"/>
      <c r="H25" s="2"/>
      <c r="I25" s="3"/>
      <c r="J25" s="1"/>
      <c r="K25" s="20">
        <f>L25</f>
        <v>621</v>
      </c>
      <c r="L25" s="12">
        <f>ROUND(_xll.HPVAL($A25,$A$1,$A$3,$A$4,$A$5,$A$6)/1000,0)</f>
        <v>621</v>
      </c>
      <c r="M25" s="125">
        <f>ROUND(L25-K25,0)</f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B26" s="115" t="s">
        <v>1</v>
      </c>
      <c r="C26" s="114"/>
      <c r="D26" s="120">
        <f>SUM(D21:D25)</f>
        <v>1052</v>
      </c>
      <c r="E26" s="121">
        <f>SUM(E21:E25)</f>
        <v>1374</v>
      </c>
      <c r="F26" s="121">
        <f>SUM(F21:F25)</f>
        <v>322</v>
      </c>
      <c r="G26" s="118"/>
      <c r="H26" s="118"/>
      <c r="I26" s="119"/>
      <c r="J26" s="114"/>
      <c r="K26" s="120">
        <f>SUM(K21:K25)</f>
        <v>9110</v>
      </c>
      <c r="L26" s="121">
        <f>SUM(L21:L25)</f>
        <v>9110</v>
      </c>
      <c r="M26" s="121">
        <f>SUM(M21:M25)</f>
        <v>0</v>
      </c>
      <c r="N26" s="118"/>
      <c r="O26" s="118"/>
      <c r="P26" s="119"/>
      <c r="Q26" s="1"/>
      <c r="R26" s="1"/>
      <c r="S26" s="1"/>
      <c r="T26" s="1"/>
    </row>
    <row r="27" spans="1:20" ht="3" customHeight="1" x14ac:dyDescent="0.25">
      <c r="B27" s="7"/>
      <c r="D27" s="20"/>
      <c r="E27" s="12"/>
      <c r="F27" s="125"/>
      <c r="G27" s="2"/>
      <c r="H27" s="2"/>
      <c r="I27" s="3"/>
      <c r="J27" s="1"/>
      <c r="K27" s="20"/>
      <c r="L27" s="12"/>
      <c r="M27" s="125"/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37</v>
      </c>
      <c r="B28" s="7" t="s">
        <v>67</v>
      </c>
      <c r="D28" s="20">
        <v>6052</v>
      </c>
      <c r="E28" s="12">
        <f>ROUND(_xll.HPVAL($A28,$A$1,$A$2,$A$4,$A$5,$A$6)/1000,0)</f>
        <v>6294</v>
      </c>
      <c r="F28" s="125">
        <f>E28-D28</f>
        <v>242</v>
      </c>
      <c r="G28" s="2"/>
      <c r="H28" s="2"/>
      <c r="I28" s="3"/>
      <c r="J28" s="1"/>
      <c r="K28" s="20">
        <f>L28</f>
        <v>660</v>
      </c>
      <c r="L28" s="12">
        <f>ROUND(_xll.HPVAL($A28,$A$1,$A$3,$A$4,$A$5,$A$6)/1000,0)</f>
        <v>660</v>
      </c>
      <c r="M28" s="125">
        <f>ROUND(L28-K28,0)</f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A29" s="23" t="s">
        <v>41</v>
      </c>
      <c r="B29" s="7" t="s">
        <v>92</v>
      </c>
      <c r="C29" s="72"/>
      <c r="D29" s="20">
        <v>12467</v>
      </c>
      <c r="E29" s="12">
        <f>ROUND(_xll.HPVAL($A29,$A$1,$A$2,$A$4,$A$5,$A$6)/1000,0)</f>
        <v>11065</v>
      </c>
      <c r="F29" s="125">
        <f>E29-D29</f>
        <v>-1402</v>
      </c>
      <c r="G29" s="2"/>
      <c r="H29" s="2"/>
      <c r="I29" s="3"/>
      <c r="J29" s="1"/>
      <c r="K29" s="20">
        <f>L29</f>
        <v>6963</v>
      </c>
      <c r="L29" s="12">
        <f>ROUND(_xll.HPVAL($A29,$A$1,$A$3,$A$4,$A$5,$A$6)/1000,0)</f>
        <v>6963</v>
      </c>
      <c r="M29" s="125">
        <f>ROUND(L29-K29,0)</f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42</v>
      </c>
      <c r="B30" s="7" t="s">
        <v>93</v>
      </c>
      <c r="C30" s="72"/>
      <c r="D30" s="20">
        <f>E30</f>
        <v>0</v>
      </c>
      <c r="E30" s="12">
        <f>ROUND(_xll.HPVAL($A30,$A$1,$A$2,$A$4,$A$5,$A$6)/1000,0)</f>
        <v>0</v>
      </c>
      <c r="F30" s="125">
        <f>E30-D30</f>
        <v>0</v>
      </c>
      <c r="G30" s="2"/>
      <c r="H30" s="2"/>
      <c r="I30" s="3"/>
      <c r="J30" s="1"/>
      <c r="K30" s="20">
        <f>L30</f>
        <v>2441</v>
      </c>
      <c r="L30" s="12">
        <f>ROUND(_xll.HPVAL($A30,$A$1,$A$3,$A$4,$A$5,$A$6)/1000,0)</f>
        <v>2441</v>
      </c>
      <c r="M30" s="125">
        <f>ROUND(L30-K30,0)</f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B31" s="115" t="s">
        <v>86</v>
      </c>
      <c r="C31" s="114"/>
      <c r="D31" s="120">
        <f>SUM(D28:D30)</f>
        <v>18519</v>
      </c>
      <c r="E31" s="121">
        <f>SUM(E28:E30)</f>
        <v>17359</v>
      </c>
      <c r="F31" s="121">
        <f>SUM(F28:F30)</f>
        <v>-1160</v>
      </c>
      <c r="G31" s="118"/>
      <c r="H31" s="118"/>
      <c r="I31" s="119"/>
      <c r="J31" s="114"/>
      <c r="K31" s="120">
        <f>SUM(K28:K30)</f>
        <v>10064</v>
      </c>
      <c r="L31" s="121">
        <f>SUM(L28:L30)</f>
        <v>10064</v>
      </c>
      <c r="M31" s="121">
        <f>SUM(M28:M30)</f>
        <v>0</v>
      </c>
      <c r="N31" s="118"/>
      <c r="O31" s="118"/>
      <c r="P31" s="119"/>
      <c r="Q31" s="1"/>
      <c r="R31" s="1"/>
      <c r="S31" s="1"/>
      <c r="T31" s="1"/>
    </row>
    <row r="32" spans="1:20" ht="3" customHeight="1" x14ac:dyDescent="0.25">
      <c r="B32" s="7"/>
      <c r="D32" s="20"/>
      <c r="E32" s="12"/>
      <c r="F32" s="125"/>
      <c r="G32" s="2"/>
      <c r="H32" s="2"/>
      <c r="I32" s="3"/>
      <c r="J32" s="1"/>
      <c r="K32" s="20"/>
      <c r="L32" s="12"/>
      <c r="M32" s="125"/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40</v>
      </c>
      <c r="B33" s="7" t="s">
        <v>9</v>
      </c>
      <c r="D33" s="20">
        <v>704</v>
      </c>
      <c r="E33" s="12">
        <f>ROUND(_xll.HPVAL($A33,$A$1,$A$2,$A$4,$A$5,$A$6)/1000,0)</f>
        <v>2042</v>
      </c>
      <c r="F33" s="125">
        <f>E33-D33</f>
        <v>1338</v>
      </c>
      <c r="G33" s="2" t="s">
        <v>194</v>
      </c>
      <c r="H33" s="2"/>
      <c r="I33" s="3"/>
      <c r="J33" s="1"/>
      <c r="K33" s="20">
        <f>L33</f>
        <v>914</v>
      </c>
      <c r="L33" s="12">
        <f>ROUND(_xll.HPVAL($A33,$A$1,$A$3,$A$4,$A$5,$A$6)/1000,0)</f>
        <v>914</v>
      </c>
      <c r="M33" s="12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A34" s="23" t="s">
        <v>39</v>
      </c>
      <c r="B34" s="7" t="s">
        <v>151</v>
      </c>
      <c r="D34" s="20">
        <v>2880</v>
      </c>
      <c r="E34" s="12">
        <f>ROUND(_xll.HPVAL($A34,$A$1,$A$2,$A$4,$A$5,$A$6)/1000,0)</f>
        <v>4237</v>
      </c>
      <c r="F34" s="125">
        <f>E34-D34</f>
        <v>1357</v>
      </c>
      <c r="G34" s="164"/>
      <c r="H34" s="2"/>
      <c r="I34" s="3"/>
      <c r="J34" s="1"/>
      <c r="K34" s="20">
        <f>L34</f>
        <v>1784</v>
      </c>
      <c r="L34" s="12">
        <f>ROUND(_xll.HPVAL($A34,$A$1,$A$3,$A$4,$A$5,$A$6)/1000,0)</f>
        <v>1784</v>
      </c>
      <c r="M34" s="12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hidden="1" customHeight="1" x14ac:dyDescent="0.25">
      <c r="A35" s="23" t="s">
        <v>153</v>
      </c>
      <c r="B35" s="7" t="s">
        <v>180</v>
      </c>
      <c r="D35" s="20">
        <f>2272+1852</f>
        <v>4124</v>
      </c>
      <c r="E35" s="12">
        <f>ROUND(_xll.HPVAL($A35,$A$1,$A$2,$A$4,$A$5,$A$6)/1000,0)</f>
        <v>5483</v>
      </c>
      <c r="F35" s="125">
        <f>E35-D35</f>
        <v>1359</v>
      </c>
      <c r="G35" s="163"/>
      <c r="H35" s="2"/>
      <c r="I35" s="3"/>
      <c r="J35" s="1"/>
      <c r="K35" s="20">
        <f>L35</f>
        <v>1516</v>
      </c>
      <c r="L35" s="12">
        <f>ROUND(_xll.HPVAL($A35,$A$1,$A$3,$A$4,$A$5,$A$6)/1000,0)</f>
        <v>1516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hidden="1" customHeight="1" x14ac:dyDescent="0.25">
      <c r="A36" s="23" t="s">
        <v>157</v>
      </c>
      <c r="B36" s="7" t="s">
        <v>154</v>
      </c>
      <c r="D36" s="20">
        <v>3841</v>
      </c>
      <c r="E36" s="12">
        <f>ROUND(_xll.HPVAL($A36,$A$1,$A$2,$A$4,$A$5,$A$6)/1000,0)</f>
        <v>2561</v>
      </c>
      <c r="F36" s="125">
        <f>E36-D36</f>
        <v>-1280</v>
      </c>
      <c r="G36" s="2"/>
      <c r="H36" s="2"/>
      <c r="I36" s="3"/>
      <c r="J36" s="1"/>
      <c r="K36" s="20">
        <f>L36</f>
        <v>0</v>
      </c>
      <c r="L36" s="12">
        <f>ROUND(_xll.HPVAL($A36,$A$1,$A$3,$A$4,$A$5,$A$6)/1000,0)</f>
        <v>0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B37" s="7" t="s">
        <v>154</v>
      </c>
      <c r="D37" s="20">
        <f>SUM(D35:D36)</f>
        <v>7965</v>
      </c>
      <c r="E37" s="12">
        <f>SUM(E35:E36)</f>
        <v>8044</v>
      </c>
      <c r="F37" s="125">
        <f>SUM(F35:F36)</f>
        <v>79</v>
      </c>
      <c r="G37" s="2"/>
      <c r="H37" s="2"/>
      <c r="I37" s="3"/>
      <c r="J37" s="1"/>
      <c r="K37" s="20">
        <f>SUM(K35:K36)</f>
        <v>1516</v>
      </c>
      <c r="L37" s="12">
        <f>SUM(L35:L36)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B38" s="115" t="s">
        <v>87</v>
      </c>
      <c r="C38" s="114"/>
      <c r="D38" s="120">
        <f>SUM(D33:D36)</f>
        <v>11549</v>
      </c>
      <c r="E38" s="121">
        <f>SUM(E33:E36)</f>
        <v>14323</v>
      </c>
      <c r="F38" s="121">
        <f>SUM(F33:F36)</f>
        <v>2774</v>
      </c>
      <c r="G38" s="118"/>
      <c r="H38" s="118"/>
      <c r="I38" s="119"/>
      <c r="J38" s="114"/>
      <c r="K38" s="120">
        <f>SUM(K33:K36)</f>
        <v>4214</v>
      </c>
      <c r="L38" s="121">
        <f>SUM(L33:L36)</f>
        <v>4214</v>
      </c>
      <c r="M38" s="121">
        <f>SUM(M33:M37)</f>
        <v>0</v>
      </c>
      <c r="N38" s="118"/>
      <c r="O38" s="118"/>
      <c r="P38" s="119"/>
      <c r="Q38" s="1"/>
      <c r="R38" s="1"/>
      <c r="S38" s="1"/>
      <c r="T38" s="1"/>
    </row>
    <row r="39" spans="1:20" ht="3" customHeight="1" x14ac:dyDescent="0.25">
      <c r="B39" s="7"/>
      <c r="D39" s="20"/>
      <c r="E39" s="12"/>
      <c r="F39" s="125"/>
      <c r="G39" s="2"/>
      <c r="H39" s="2"/>
      <c r="I39" s="3"/>
      <c r="J39" s="1"/>
      <c r="K39" s="20"/>
      <c r="L39" s="12"/>
      <c r="M39" s="125"/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A40" s="23" t="s">
        <v>82</v>
      </c>
      <c r="B40" s="7" t="s">
        <v>8</v>
      </c>
      <c r="C40" s="72"/>
      <c r="D40" s="20">
        <f>E40</f>
        <v>0</v>
      </c>
      <c r="E40" s="12">
        <f>ROUND(_xll.HPVAL($A40,$A$1,$A$2,$A$4,$A$5,$A$6)/1000,0)</f>
        <v>0</v>
      </c>
      <c r="F40" s="125">
        <f>E40-D40</f>
        <v>0</v>
      </c>
      <c r="G40" s="2"/>
      <c r="H40" s="2"/>
      <c r="I40" s="3"/>
      <c r="J40" s="1"/>
      <c r="K40" s="20">
        <f>L40</f>
        <v>2408</v>
      </c>
      <c r="L40" s="12">
        <f>ROUND(_xll.HPVAL($A40,$A$1,$A$3,$A$4,$A$5,$A$6)/1000,0)</f>
        <v>2408</v>
      </c>
      <c r="M40" s="12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3" customHeight="1" x14ac:dyDescent="0.25">
      <c r="B41" s="7"/>
      <c r="C41" s="72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A42" s="23" t="s">
        <v>44</v>
      </c>
      <c r="B42" s="7" t="s">
        <v>7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f>L42</f>
        <v>4498</v>
      </c>
      <c r="L42" s="12">
        <f>ROUND(_xll.HPVAL($A42,$A$1,$A$3,$A$4,$A$5,$A$6)/1000,0)</f>
        <v>4498</v>
      </c>
      <c r="M42" s="125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5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B44" s="7" t="s">
        <v>60</v>
      </c>
      <c r="C44" s="72"/>
      <c r="D44" s="20">
        <f>-SUM(D38:D42,D19,D26,D31)</f>
        <v>-39563</v>
      </c>
      <c r="E44" s="12">
        <f>-SUM(E38:E42,E19,E26,E31)</f>
        <v>-42940</v>
      </c>
      <c r="F44" s="125">
        <f>E44-D44</f>
        <v>-3377</v>
      </c>
      <c r="G44" s="2"/>
      <c r="H44" s="2"/>
      <c r="I44" s="3"/>
      <c r="J44" s="1"/>
      <c r="K44" s="20">
        <f>L44</f>
        <v>0</v>
      </c>
      <c r="L44" s="12"/>
      <c r="M44" s="125"/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s="114" customFormat="1" ht="11.25" customHeight="1" x14ac:dyDescent="0.25">
      <c r="B46" s="115" t="s">
        <v>10</v>
      </c>
      <c r="D46" s="120">
        <f>SUM(D38:D44)+D31+D26+D19</f>
        <v>0</v>
      </c>
      <c r="E46" s="121">
        <f>SUM(E38:E44)+E31+E26+E19</f>
        <v>0</v>
      </c>
      <c r="F46" s="121">
        <f>SUM(F38:F44)+F31+F26+F19</f>
        <v>0</v>
      </c>
      <c r="G46" s="118"/>
      <c r="H46" s="118"/>
      <c r="I46" s="119"/>
      <c r="K46" s="120">
        <f>SUM(K38:K44)+K31+K26+K19</f>
        <v>54575</v>
      </c>
      <c r="L46" s="121">
        <f>SUM(L38:L44)+L31+L26+L19</f>
        <v>54575</v>
      </c>
      <c r="M46" s="121">
        <f>SUM(M38:M44)+M31+M26+M19</f>
        <v>0</v>
      </c>
      <c r="N46" s="118"/>
      <c r="O46" s="118"/>
      <c r="P46" s="119"/>
    </row>
    <row r="47" spans="1:20" ht="3" customHeight="1" x14ac:dyDescent="0.25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ht="11.25" customHeight="1" x14ac:dyDescent="0.25">
      <c r="A48" s="23" t="s">
        <v>45</v>
      </c>
      <c r="B48" s="7" t="s">
        <v>48</v>
      </c>
      <c r="C48" s="72"/>
      <c r="D48" s="20">
        <f>E48</f>
        <v>0</v>
      </c>
      <c r="E48" s="12">
        <f>_xll.HPVAL($A48,$A$1,$A$2,$A$4,$A$5,$A$6)/1000</f>
        <v>0</v>
      </c>
      <c r="F48" s="125">
        <f>E48-D48</f>
        <v>0</v>
      </c>
      <c r="G48" s="2"/>
      <c r="H48" s="2"/>
      <c r="I48" s="3"/>
      <c r="J48" s="1"/>
      <c r="K48" s="20">
        <f>-K46</f>
        <v>-54575</v>
      </c>
      <c r="L48" s="12">
        <f>-L46</f>
        <v>-54575</v>
      </c>
      <c r="M48" s="125">
        <f>ROUND(L48-K48,0)</f>
        <v>0</v>
      </c>
      <c r="N48" s="2"/>
      <c r="O48" s="2"/>
      <c r="P48" s="3"/>
      <c r="Q48" s="1"/>
      <c r="R48" s="1"/>
      <c r="S48" s="1"/>
      <c r="T48" s="1"/>
    </row>
    <row r="49" spans="2:20" ht="3" customHeight="1" x14ac:dyDescent="0.25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2:20" s="114" customFormat="1" ht="11.25" customHeight="1" x14ac:dyDescent="0.25">
      <c r="B50" s="115" t="s">
        <v>14</v>
      </c>
      <c r="D50" s="108">
        <f>D48+D46</f>
        <v>0</v>
      </c>
      <c r="E50" s="109">
        <f>E48+E46</f>
        <v>0</v>
      </c>
      <c r="F50" s="109">
        <f>F48+F46</f>
        <v>0</v>
      </c>
      <c r="G50" s="118"/>
      <c r="H50" s="118"/>
      <c r="I50" s="119"/>
      <c r="K50" s="108">
        <f>K48+K46</f>
        <v>0</v>
      </c>
      <c r="L50" s="109">
        <f>L48+L46</f>
        <v>0</v>
      </c>
      <c r="M50" s="109">
        <f>M48+M46</f>
        <v>0</v>
      </c>
      <c r="N50" s="118"/>
      <c r="O50" s="118"/>
      <c r="P50" s="119"/>
    </row>
    <row r="51" spans="2:20" ht="3" customHeight="1" x14ac:dyDescent="0.25">
      <c r="B51" s="19"/>
      <c r="D51" s="21"/>
      <c r="E51" s="15"/>
      <c r="F51" s="15"/>
      <c r="G51" s="14"/>
      <c r="H51" s="14"/>
      <c r="I51" s="22"/>
      <c r="J51" s="1"/>
      <c r="K51" s="21"/>
      <c r="L51" s="15"/>
      <c r="M51" s="15"/>
      <c r="N51" s="14"/>
      <c r="O51" s="14"/>
      <c r="P51" s="22"/>
      <c r="Q51" s="1"/>
      <c r="R51" s="1"/>
      <c r="S51" s="1"/>
      <c r="T51" s="1"/>
    </row>
    <row r="52" spans="2:20" x14ac:dyDescent="0.25">
      <c r="D52" s="5"/>
      <c r="E52" s="5"/>
      <c r="F52" s="5"/>
      <c r="G52" s="1"/>
      <c r="H52" s="1"/>
      <c r="I52" s="1"/>
      <c r="J52" s="1"/>
      <c r="K52" s="5"/>
      <c r="L52" s="5"/>
      <c r="M52" s="5"/>
      <c r="N52" s="1"/>
      <c r="O52" s="1"/>
      <c r="P52" s="1"/>
      <c r="Q52" s="1"/>
      <c r="R52" s="1"/>
      <c r="S52" s="1"/>
      <c r="T52" s="1"/>
    </row>
    <row r="53" spans="2:20" x14ac:dyDescent="0.25">
      <c r="D53" s="5"/>
      <c r="E53" s="5"/>
      <c r="F53" s="5"/>
      <c r="G53" s="1"/>
      <c r="H53" s="1"/>
      <c r="I53" s="1"/>
      <c r="J53" s="1"/>
      <c r="K53" s="5"/>
      <c r="L53" s="5"/>
      <c r="M53" s="5"/>
      <c r="N53" s="1"/>
      <c r="O53" s="1"/>
      <c r="P53" s="1"/>
      <c r="Q53" s="1"/>
      <c r="R53" s="1"/>
      <c r="S53" s="1"/>
      <c r="T53" s="1"/>
    </row>
    <row r="54" spans="2:20" x14ac:dyDescent="0.25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2:20" x14ac:dyDescent="0.25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2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2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2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2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2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2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2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2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2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5">
      <c r="D67" s="5"/>
      <c r="E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5">
      <c r="D68" s="5"/>
      <c r="E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5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5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5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5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hidden="1" x14ac:dyDescent="0.25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1:20" hidden="1" x14ac:dyDescent="0.25">
      <c r="A74" s="5"/>
      <c r="B74" s="1"/>
      <c r="C74" s="1"/>
      <c r="D74" s="1"/>
      <c r="E74" s="1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5">
      <c r="A75" s="5"/>
      <c r="B75" s="1"/>
      <c r="C75" s="1"/>
      <c r="D75" s="1"/>
      <c r="E75" s="1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5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5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5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5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5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hidden="1" x14ac:dyDescent="0.25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hidden="1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hidden="1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hidden="1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hidden="1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5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48"/>
  <sheetViews>
    <sheetView workbookViewId="0">
      <selection activeCell="C33" sqref="C33"/>
    </sheetView>
  </sheetViews>
  <sheetFormatPr defaultRowHeight="13.2" x14ac:dyDescent="0.25"/>
  <cols>
    <col min="1" max="1" width="16.88671875" style="23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102</v>
      </c>
      <c r="B1" s="338" t="s">
        <v>17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3.8" x14ac:dyDescent="0.25">
      <c r="A2" s="23" t="s">
        <v>108</v>
      </c>
      <c r="B2" s="339" t="s">
        <v>165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 x14ac:dyDescent="0.25">
      <c r="A3" s="23" t="s">
        <v>109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 x14ac:dyDescent="0.25">
      <c r="A4" s="24">
        <v>36586</v>
      </c>
    </row>
    <row r="5" spans="1:40" x14ac:dyDescent="0.25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47</v>
      </c>
      <c r="B6" s="7"/>
      <c r="D6" s="332" t="s">
        <v>166</v>
      </c>
      <c r="E6" s="333"/>
      <c r="F6" s="334"/>
      <c r="G6" s="1"/>
      <c r="H6" s="332" t="s">
        <v>167</v>
      </c>
      <c r="I6" s="333"/>
      <c r="J6" s="334"/>
      <c r="K6" s="1"/>
      <c r="L6" s="332" t="s">
        <v>68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257</v>
      </c>
      <c r="B9" s="7" t="s">
        <v>3</v>
      </c>
      <c r="D9" s="87">
        <f>_xll.HPVAL($A9,$A$47,$A$2,$A$5,$A$6,$A$7)</f>
        <v>0</v>
      </c>
      <c r="E9" s="88">
        <f>_xll.HPVAL($A9,$A$47,$A$3,$A$5,$A$6,$A$7)</f>
        <v>0</v>
      </c>
      <c r="F9" s="89">
        <f>+D9+E9</f>
        <v>0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-52</v>
      </c>
      <c r="M9" s="88">
        <f>+E9-I9</f>
        <v>-11</v>
      </c>
      <c r="N9" s="89">
        <f>+L9+M9</f>
        <v>-63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105</v>
      </c>
      <c r="B10" s="7" t="s">
        <v>106</v>
      </c>
      <c r="D10" s="87">
        <f>_xll.HPVAL($A10,$A$47,$A$2,$A$5,$A$6,$A$7)</f>
        <v>0</v>
      </c>
      <c r="E10" s="88">
        <f>_xll.HPVAL($A10,$A$47,$A$3,$A$5,$A$6,$A$7)</f>
        <v>0</v>
      </c>
      <c r="F10" s="89">
        <f t="shared" ref="F10:F17" si="0">+D10+E10</f>
        <v>0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-48</v>
      </c>
      <c r="M10" s="88">
        <f t="shared" ref="M10:M17" si="3">+E10-I10</f>
        <v>-75</v>
      </c>
      <c r="N10" s="89">
        <f t="shared" ref="N10:N17" si="4">+L10+M10</f>
        <v>-123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27</v>
      </c>
      <c r="B11" s="7" t="s">
        <v>132</v>
      </c>
      <c r="D11" s="87">
        <f>_xll.HPVAL($A11,$A$47,$A$2,$A$5,$A$6,$A$7)</f>
        <v>0</v>
      </c>
      <c r="E11" s="88">
        <f>_xll.HPVAL($A11,$A$47,$A$3,$A$5,$A$6,$A$7)</f>
        <v>0</v>
      </c>
      <c r="F11" s="89">
        <f t="shared" si="0"/>
        <v>0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-10</v>
      </c>
      <c r="M11" s="88">
        <f t="shared" si="3"/>
        <v>-3</v>
      </c>
      <c r="N11" s="89">
        <f t="shared" si="4"/>
        <v>-13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29</v>
      </c>
      <c r="B12" s="7" t="s">
        <v>133</v>
      </c>
      <c r="D12" s="87">
        <f>_xll.HPVAL($A12,$A$47,$A$2,$A$5,$A$6,$A$7)</f>
        <v>0</v>
      </c>
      <c r="E12" s="88">
        <f>_xll.HPVAL($A12,$A$47,$A$3,$A$5,$A$6,$A$7)</f>
        <v>0</v>
      </c>
      <c r="F12" s="89">
        <f>+D12+E12</f>
        <v>0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-10</v>
      </c>
      <c r="M12" s="88">
        <f>+E12-I12</f>
        <v>-8</v>
      </c>
      <c r="N12" s="89">
        <f>+L12+M12</f>
        <v>-18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43</v>
      </c>
      <c r="B13" s="7" t="s">
        <v>114</v>
      </c>
      <c r="C13" s="72"/>
      <c r="D13" s="87">
        <f>_xll.HPVAL($A13,$A$47,$A$2,$A$5,$A$6,$A$7)</f>
        <v>0</v>
      </c>
      <c r="E13" s="88">
        <f>_xll.HPVAL($A13,$A$47,$A$3,$A$5,$A$6,$A$7)</f>
        <v>0</v>
      </c>
      <c r="F13" s="89">
        <f t="shared" si="0"/>
        <v>0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-15.5</v>
      </c>
      <c r="M13" s="88">
        <f t="shared" si="3"/>
        <v>-29</v>
      </c>
      <c r="N13" s="89">
        <f t="shared" si="4"/>
        <v>-44.5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28</v>
      </c>
      <c r="B14" s="7" t="s">
        <v>5</v>
      </c>
      <c r="D14" s="87">
        <f>_xll.HPVAL($A14,$A$47,$A$2,$A$5,$A$6,$A$7)</f>
        <v>0</v>
      </c>
      <c r="E14" s="88">
        <f>_xll.HPVAL($A14,$A$47,$A$3,$A$5,$A$6,$A$7)</f>
        <v>0</v>
      </c>
      <c r="F14" s="89">
        <f t="shared" si="0"/>
        <v>0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-24</v>
      </c>
      <c r="M14" s="88">
        <f t="shared" si="3"/>
        <v>-17</v>
      </c>
      <c r="N14" s="89">
        <f t="shared" si="4"/>
        <v>-41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30</v>
      </c>
      <c r="B15" s="7" t="s">
        <v>155</v>
      </c>
      <c r="D15" s="87">
        <f>_xll.HPVAL($A15,$A$47,$A$2,$A$5,$A$6,$A$7)</f>
        <v>0</v>
      </c>
      <c r="E15" s="88">
        <f>_xll.HPVAL($A15,$A$47,$A$3,$A$5,$A$6,$A$7)</f>
        <v>0</v>
      </c>
      <c r="F15" s="89">
        <f t="shared" si="0"/>
        <v>0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-9</v>
      </c>
      <c r="M15" s="88">
        <f t="shared" si="3"/>
        <v>-14</v>
      </c>
      <c r="N15" s="89">
        <f t="shared" si="4"/>
        <v>-23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4</v>
      </c>
      <c r="B16" s="7" t="s">
        <v>107</v>
      </c>
      <c r="D16" s="87">
        <f>_xll.HPVAL($A16,$A$47,$A$2,$A$5,$A$6,$A$7)</f>
        <v>0</v>
      </c>
      <c r="E16" s="88">
        <f>_xll.HPVAL($A16,$A$47,$A$3,$A$5,$A$6,$A$7)</f>
        <v>0</v>
      </c>
      <c r="F16" s="89">
        <f t="shared" si="0"/>
        <v>0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-1</v>
      </c>
      <c r="N16" s="89">
        <f t="shared" si="4"/>
        <v>-2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73</v>
      </c>
      <c r="B17" s="7" t="s">
        <v>156</v>
      </c>
      <c r="D17" s="87">
        <f>_xll.HPVAL($A17,$A$47,$A$2,$A$5,$A$6,$A$7)</f>
        <v>0</v>
      </c>
      <c r="E17" s="88">
        <f>_xll.HPVAL($A17,$A$47,$A$3,$A$5,$A$6,$A$7)</f>
        <v>0</v>
      </c>
      <c r="F17" s="89">
        <f t="shared" si="0"/>
        <v>0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-10</v>
      </c>
      <c r="M17" s="88">
        <f t="shared" si="3"/>
        <v>-13</v>
      </c>
      <c r="N17" s="89">
        <f t="shared" si="4"/>
        <v>-23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B18" s="115" t="s">
        <v>6</v>
      </c>
      <c r="C18" s="114"/>
      <c r="D18" s="111">
        <f>SUM(D9:D17)</f>
        <v>0</v>
      </c>
      <c r="E18" s="112">
        <f>SUM(E9:E17)</f>
        <v>0</v>
      </c>
      <c r="F18" s="130">
        <f>SUM(F9:F17)</f>
        <v>0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-179.5</v>
      </c>
      <c r="M18" s="112">
        <f>SUM(M9:M17)</f>
        <v>-171</v>
      </c>
      <c r="N18" s="130">
        <f>SUM(N9:N17)</f>
        <v>-350.5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5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5">
      <c r="A20" s="23" t="s">
        <v>32</v>
      </c>
      <c r="B20" s="7" t="s">
        <v>88</v>
      </c>
      <c r="D20" s="87">
        <f>_xll.HPVAL($A20,$A$47,$A$2,$A$5,$A$6,$A$7)</f>
        <v>0</v>
      </c>
      <c r="E20" s="88">
        <f>_xll.HPVAL($A20,$A$47,$A$3,$A$5,$A$6,$A$7)</f>
        <v>0</v>
      </c>
      <c r="F20" s="89">
        <f>+D20+E20</f>
        <v>0</v>
      </c>
      <c r="G20" s="5"/>
      <c r="H20" s="87">
        <f>_xll.HPVAL($A20,$A$1,$A$2,$A$5,$A$6,$A$7)</f>
        <v>31</v>
      </c>
      <c r="I20" s="88">
        <f>_xll.HPVAL($A20,$A$1,$A$3,$A$5,$A$6,$A$7)</f>
        <v>12</v>
      </c>
      <c r="J20" s="89">
        <f>+H20+I20</f>
        <v>43</v>
      </c>
      <c r="K20" s="1"/>
      <c r="L20" s="87">
        <f t="shared" ref="L20:M24" si="5">+D20-H20</f>
        <v>-31</v>
      </c>
      <c r="M20" s="88">
        <f t="shared" si="5"/>
        <v>-12</v>
      </c>
      <c r="N20" s="89">
        <f>+L20+M20</f>
        <v>-43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38</v>
      </c>
      <c r="B21" s="7" t="s">
        <v>89</v>
      </c>
      <c r="D21" s="87">
        <f>_xll.HPVAL($A21,$A$47,$A$2,$A$5,$A$6,$A$7)</f>
        <v>0</v>
      </c>
      <c r="E21" s="88">
        <f>_xll.HPVAL($A21,$A$47,$A$3,$A$5,$A$6,$A$7)</f>
        <v>0</v>
      </c>
      <c r="F21" s="89">
        <f>+D21+E21</f>
        <v>0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-23</v>
      </c>
      <c r="M21" s="88">
        <f t="shared" si="5"/>
        <v>-15</v>
      </c>
      <c r="N21" s="89">
        <f>+L21+M21</f>
        <v>-38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255</v>
      </c>
      <c r="B22" s="7" t="s">
        <v>90</v>
      </c>
      <c r="D22" s="87">
        <f>_xll.HPVAL($A22,$A$47,$A$2,$A$5,$A$6,$A$7)</f>
        <v>0</v>
      </c>
      <c r="E22" s="88">
        <f>_xll.HPVAL($A22,$A$47,$A$3,$A$5,$A$6,$A$7)</f>
        <v>0</v>
      </c>
      <c r="F22" s="89">
        <f>+D22+E22</f>
        <v>0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-56</v>
      </c>
      <c r="M22" s="88">
        <f t="shared" si="5"/>
        <v>-18</v>
      </c>
      <c r="N22" s="89">
        <f>+L22+M22</f>
        <v>-74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103</v>
      </c>
      <c r="B23" s="7" t="s">
        <v>104</v>
      </c>
      <c r="D23" s="87">
        <f>_xll.HPVAL($A23,$A$47,$A$2,$A$5,$A$6,$A$7)</f>
        <v>0</v>
      </c>
      <c r="E23" s="88">
        <f>_xll.HPVAL($A23,$A$47,$A$3,$A$5,$A$6,$A$7)</f>
        <v>0</v>
      </c>
      <c r="F23" s="89">
        <f>+D23+E23</f>
        <v>0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-14</v>
      </c>
      <c r="M23" s="88">
        <f t="shared" si="5"/>
        <v>-9</v>
      </c>
      <c r="N23" s="89">
        <f>+L23+M23</f>
        <v>-23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A24" s="23" t="s">
        <v>36</v>
      </c>
      <c r="B24" s="7" t="s">
        <v>0</v>
      </c>
      <c r="D24" s="87">
        <f>_xll.HPVAL($A24,$A$47,$A$2,$A$5,$A$6,$A$7)</f>
        <v>0</v>
      </c>
      <c r="E24" s="88">
        <f>_xll.HPVAL($A24,$A$47,$A$3,$A$5,$A$6,$A$7)</f>
        <v>0</v>
      </c>
      <c r="F24" s="89">
        <f>+D24+E24</f>
        <v>0</v>
      </c>
      <c r="G24" s="5"/>
      <c r="H24" s="87">
        <f>_xll.HPVAL($A24,$A$1,$A$2,$A$5,$A$6,$A$7)</f>
        <v>11</v>
      </c>
      <c r="I24" s="88">
        <f>_xll.HPVAL($A24,$A$1,$A$3,$A$5,$A$6,$A$7)</f>
        <v>11</v>
      </c>
      <c r="J24" s="89">
        <f>+H24+I24</f>
        <v>22</v>
      </c>
      <c r="K24" s="1"/>
      <c r="L24" s="87">
        <f t="shared" si="5"/>
        <v>-11</v>
      </c>
      <c r="M24" s="88">
        <f t="shared" si="5"/>
        <v>-11</v>
      </c>
      <c r="N24" s="89">
        <f>+L24+M24</f>
        <v>-22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B25" s="115" t="s">
        <v>1</v>
      </c>
      <c r="C25" s="114"/>
      <c r="D25" s="111">
        <f>SUM(D20:D24)</f>
        <v>0</v>
      </c>
      <c r="E25" s="112">
        <f>SUM(E20:E24)</f>
        <v>0</v>
      </c>
      <c r="F25" s="130">
        <f>SUM(F20:F24)</f>
        <v>0</v>
      </c>
      <c r="G25" s="116"/>
      <c r="H25" s="111">
        <f>SUM(H20:H24)</f>
        <v>135</v>
      </c>
      <c r="I25" s="112">
        <f>SUM(I20:I24)</f>
        <v>65</v>
      </c>
      <c r="J25" s="130">
        <f>SUM(J20:J24)</f>
        <v>200</v>
      </c>
      <c r="K25" s="114"/>
      <c r="L25" s="111">
        <f>SUM(L20:L24)</f>
        <v>-135</v>
      </c>
      <c r="M25" s="112">
        <f>SUM(M20:M24)</f>
        <v>-65</v>
      </c>
      <c r="N25" s="130">
        <f>SUM(N20:N24)</f>
        <v>-200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3" customHeight="1" x14ac:dyDescent="0.25">
      <c r="B26" s="7"/>
      <c r="D26" s="87"/>
      <c r="E26" s="88"/>
      <c r="F26" s="89"/>
      <c r="G26" s="5"/>
      <c r="H26" s="87"/>
      <c r="I26" s="88"/>
      <c r="J26" s="89"/>
      <c r="K26" s="1"/>
      <c r="L26" s="87"/>
      <c r="M26" s="88"/>
      <c r="N26" s="8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A27" s="23" t="s">
        <v>37</v>
      </c>
      <c r="B27" s="7" t="s">
        <v>67</v>
      </c>
      <c r="D27" s="87">
        <f>_xll.HPVAL($A27,$A$47,$A$2,$A$5,$A$6,$A$7)</f>
        <v>0</v>
      </c>
      <c r="E27" s="88">
        <f>_xll.HPVAL($A27,$A$47,$A$3,$A$5,$A$6,$A$7)</f>
        <v>0</v>
      </c>
      <c r="F27" s="89">
        <f>+D27+E27</f>
        <v>0</v>
      </c>
      <c r="G27" s="5"/>
      <c r="H27" s="87">
        <f>_xll.HPVAL($A27,$A$1,$A$2,$A$5,$A$6,$A$7)</f>
        <v>8</v>
      </c>
      <c r="I27" s="88">
        <f>_xll.HPVAL($A27,$A$1,$A$3,$A$5,$A$6,$A$7)</f>
        <v>6</v>
      </c>
      <c r="J27" s="89">
        <f>+H27+I27</f>
        <v>14</v>
      </c>
      <c r="K27" s="1"/>
      <c r="L27" s="87">
        <f t="shared" ref="L27:M29" si="6">+D27-H27</f>
        <v>-8</v>
      </c>
      <c r="M27" s="88">
        <f t="shared" si="6"/>
        <v>-6</v>
      </c>
      <c r="N27" s="89">
        <f>+L27+M27</f>
        <v>-14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5">
      <c r="A28" s="23" t="s">
        <v>41</v>
      </c>
      <c r="B28" s="7" t="s">
        <v>92</v>
      </c>
      <c r="C28" s="72"/>
      <c r="D28" s="87">
        <f>_xll.HPVAL($A28,$A$47,$A$2,$A$5,$A$6,$A$7)</f>
        <v>0</v>
      </c>
      <c r="E28" s="88">
        <f>_xll.HPVAL($A28,$A$47,$A$3,$A$5,$A$6,$A$7)</f>
        <v>0</v>
      </c>
      <c r="F28" s="89">
        <f>+D28+E28</f>
        <v>0</v>
      </c>
      <c r="G28" s="5"/>
      <c r="H28" s="87">
        <f>_xll.HPVAL($A28,$A$1,$A$2,$A$5,$A$6,$A$7)</f>
        <v>46</v>
      </c>
      <c r="I28" s="88">
        <f>_xll.HPVAL($A28,$A$1,$A$3,$A$5,$A$6,$A$7)</f>
        <v>101</v>
      </c>
      <c r="J28" s="89">
        <f>+H28+I28</f>
        <v>147</v>
      </c>
      <c r="K28" s="1"/>
      <c r="L28" s="87">
        <f t="shared" si="6"/>
        <v>-46</v>
      </c>
      <c r="M28" s="88">
        <f t="shared" si="6"/>
        <v>-101</v>
      </c>
      <c r="N28" s="89">
        <f>+L28+M28</f>
        <v>-147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42</v>
      </c>
      <c r="B29" s="7" t="s">
        <v>93</v>
      </c>
      <c r="C29" s="72"/>
      <c r="D29" s="87">
        <f>_xll.HPVAL($A29,$A$47,$A$2,$A$5,$A$6,$A$7)</f>
        <v>0</v>
      </c>
      <c r="E29" s="88">
        <f>_xll.HPVAL($A29,$A$47,$A$3,$A$5,$A$6,$A$7)</f>
        <v>0</v>
      </c>
      <c r="F29" s="89">
        <f>+D29+E29</f>
        <v>0</v>
      </c>
      <c r="G29" s="5"/>
      <c r="H29" s="87">
        <f>_xll.HPVAL($A29,$A$1,$A$2,$A$5,$A$6,$A$7)</f>
        <v>6</v>
      </c>
      <c r="I29" s="88">
        <f>_xll.HPVAL($A29,$A$1,$A$3,$A$5,$A$6,$A$7)</f>
        <v>18</v>
      </c>
      <c r="J29" s="89">
        <f>+H29+I29</f>
        <v>24</v>
      </c>
      <c r="K29" s="1"/>
      <c r="L29" s="87">
        <f t="shared" si="6"/>
        <v>-6</v>
      </c>
      <c r="M29" s="88">
        <f t="shared" si="6"/>
        <v>-18</v>
      </c>
      <c r="N29" s="89">
        <f>+L29+M29</f>
        <v>-24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B30" s="115" t="s">
        <v>86</v>
      </c>
      <c r="C30" s="114"/>
      <c r="D30" s="111">
        <f>SUM(D27:D29)</f>
        <v>0</v>
      </c>
      <c r="E30" s="112">
        <f>SUM(E27:E29)</f>
        <v>0</v>
      </c>
      <c r="F30" s="130">
        <f>SUM(F27:F29)</f>
        <v>0</v>
      </c>
      <c r="G30" s="116"/>
      <c r="H30" s="111">
        <f>SUM(H27:H29)</f>
        <v>60</v>
      </c>
      <c r="I30" s="112">
        <f>SUM(I27:I29)</f>
        <v>125</v>
      </c>
      <c r="J30" s="130">
        <f>SUM(J27:J29)</f>
        <v>185</v>
      </c>
      <c r="K30" s="114"/>
      <c r="L30" s="111">
        <f>SUM(L27:L29)</f>
        <v>-60</v>
      </c>
      <c r="M30" s="112">
        <f>SUM(M27:M29)</f>
        <v>-125</v>
      </c>
      <c r="N30" s="130">
        <f>SUM(N27:N29)</f>
        <v>-185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3" customHeight="1" x14ac:dyDescent="0.25">
      <c r="B31" s="7"/>
      <c r="D31" s="87"/>
      <c r="E31" s="88"/>
      <c r="F31" s="89"/>
      <c r="G31" s="5"/>
      <c r="H31" s="87"/>
      <c r="I31" s="88"/>
      <c r="J31" s="89"/>
      <c r="K31" s="1"/>
      <c r="L31" s="87"/>
      <c r="M31" s="88"/>
      <c r="N31" s="8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A32" s="23" t="s">
        <v>40</v>
      </c>
      <c r="B32" s="7" t="s">
        <v>9</v>
      </c>
      <c r="D32" s="87">
        <f>_xll.HPVAL($A32,$A$47,$A$2,$A$5,$A$6,$A$7)</f>
        <v>0</v>
      </c>
      <c r="E32" s="88">
        <f>_xll.HPVAL($A32,$A$47,$A$3,$A$5,$A$6,$A$7)</f>
        <v>0</v>
      </c>
      <c r="F32" s="89">
        <f>+D32+E32</f>
        <v>0</v>
      </c>
      <c r="G32" s="5"/>
      <c r="H32" s="87">
        <f>_xll.HPVAL($A32,$A$1,$A$2,$A$5,$A$6,$A$7)</f>
        <v>9</v>
      </c>
      <c r="I32" s="88">
        <f>_xll.HPVAL($A32,$A$1,$A$3,$A$5,$A$6,$A$7)</f>
        <v>8</v>
      </c>
      <c r="J32" s="89">
        <f>+H32+I32</f>
        <v>17</v>
      </c>
      <c r="K32" s="1"/>
      <c r="L32" s="87">
        <f t="shared" ref="L32:M34" si="7">+D32-H32</f>
        <v>-9</v>
      </c>
      <c r="M32" s="88">
        <f t="shared" si="7"/>
        <v>-8</v>
      </c>
      <c r="N32" s="89">
        <f>+L32+M32</f>
        <v>-17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A33" s="23" t="s">
        <v>39</v>
      </c>
      <c r="B33" s="7" t="s">
        <v>151</v>
      </c>
      <c r="D33" s="87">
        <f>_xll.HPVAL($A33,$A$47,$A$2,$A$5,$A$6,$A$7)</f>
        <v>0</v>
      </c>
      <c r="E33" s="88">
        <f>_xll.HPVAL($A33,$A$47,$A$3,$A$5,$A$6,$A$7)</f>
        <v>0</v>
      </c>
      <c r="F33" s="89">
        <f>+D33+E33</f>
        <v>0</v>
      </c>
      <c r="G33" s="5"/>
      <c r="H33" s="87">
        <f>_xll.HPVAL($A33,$A$1,$A$2,$A$5,$A$6,$A$7)</f>
        <v>7</v>
      </c>
      <c r="I33" s="88">
        <f>_xll.HPVAL($A33,$A$1,$A$3,$A$5,$A$6,$A$7)</f>
        <v>8</v>
      </c>
      <c r="J33" s="89">
        <f>+H33+I33</f>
        <v>15</v>
      </c>
      <c r="K33" s="1"/>
      <c r="L33" s="87">
        <f t="shared" si="7"/>
        <v>-7</v>
      </c>
      <c r="M33" s="88">
        <f t="shared" si="7"/>
        <v>-8</v>
      </c>
      <c r="N33" s="89">
        <f>+L33+M33</f>
        <v>-15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hidden="1" customHeight="1" x14ac:dyDescent="0.25">
      <c r="A34" s="23" t="s">
        <v>153</v>
      </c>
      <c r="B34" s="7" t="s">
        <v>180</v>
      </c>
      <c r="D34" s="87">
        <f>_xll.HPVAL($A34,$A$47,$A$2,$A$5,$A$6,$A$7)</f>
        <v>0</v>
      </c>
      <c r="E34" s="88">
        <f>_xll.HPVAL($A34,$A$47,$A$3,$A$5,$A$6,$A$7)</f>
        <v>0</v>
      </c>
      <c r="F34" s="89">
        <f>+D34+E34</f>
        <v>0</v>
      </c>
      <c r="G34" s="5"/>
      <c r="H34" s="87">
        <f>_xll.HPVAL($A34,$A$1,$A$2,$A$5,$A$6,$A$7)</f>
        <v>12</v>
      </c>
      <c r="I34" s="88">
        <f>_xll.HPVAL($A34,$A$1,$A$3,$A$5,$A$6,$A$7)</f>
        <v>8</v>
      </c>
      <c r="J34" s="89">
        <f>+H34+I34</f>
        <v>20</v>
      </c>
      <c r="K34" s="1"/>
      <c r="L34" s="87">
        <f t="shared" si="7"/>
        <v>-12</v>
      </c>
      <c r="M34" s="88">
        <f t="shared" si="7"/>
        <v>-8</v>
      </c>
      <c r="N34" s="89">
        <f>+L34+M34</f>
        <v>-20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hidden="1" customHeight="1" x14ac:dyDescent="0.25">
      <c r="A35" s="23" t="s">
        <v>157</v>
      </c>
      <c r="B35" s="7" t="s">
        <v>154</v>
      </c>
      <c r="D35" s="87">
        <f>_xll.HPVAL($A35,$A$47,$A$2,$A$5,$A$6,$A$7)</f>
        <v>0</v>
      </c>
      <c r="E35" s="88">
        <f>_xll.HPVAL($A35,$A$47,$A$3,$A$5,$A$6,$A$7)</f>
        <v>0</v>
      </c>
      <c r="F35" s="89">
        <f>+D35+E35</f>
        <v>0</v>
      </c>
      <c r="G35" s="5"/>
      <c r="H35" s="87">
        <f>_xll.HPVAL($A35,$A$1,$A$2,$A$5,$A$6,$A$7)</f>
        <v>0</v>
      </c>
      <c r="I35" s="88">
        <f>_xll.HPVAL($A35,$A$1,$A$3,$A$5,$A$6,$A$7)</f>
        <v>0</v>
      </c>
      <c r="J35" s="89">
        <f>+H35+I35</f>
        <v>0</v>
      </c>
      <c r="K35" s="1"/>
      <c r="L35" s="87">
        <f>+D35-H35</f>
        <v>0</v>
      </c>
      <c r="M35" s="88">
        <f>+E35-I35</f>
        <v>0</v>
      </c>
      <c r="N35" s="89">
        <f>+L35+M35</f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B36" s="7" t="s">
        <v>154</v>
      </c>
      <c r="D36" s="87">
        <f>SUM(D34:D35)</f>
        <v>0</v>
      </c>
      <c r="E36" s="88">
        <f>SUM(E34:E35)</f>
        <v>0</v>
      </c>
      <c r="F36" s="89">
        <f>SUM(F34:F35)</f>
        <v>0</v>
      </c>
      <c r="G36" s="5"/>
      <c r="H36" s="87">
        <f>SUM(H34:H35)</f>
        <v>12</v>
      </c>
      <c r="I36" s="88">
        <f>SUM(I34:I35)</f>
        <v>8</v>
      </c>
      <c r="J36" s="89">
        <f>SUM(J34:J35)</f>
        <v>20</v>
      </c>
      <c r="K36" s="1"/>
      <c r="L36" s="87">
        <f>SUM(L34:L35)</f>
        <v>-12</v>
      </c>
      <c r="M36" s="88">
        <f>SUM(M34:M35)</f>
        <v>-8</v>
      </c>
      <c r="N36" s="89">
        <f>SUM(N34:N35)</f>
        <v>-20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B37" s="115" t="s">
        <v>87</v>
      </c>
      <c r="C37" s="114"/>
      <c r="D37" s="111">
        <f>SUM(D32:D35)</f>
        <v>0</v>
      </c>
      <c r="E37" s="112">
        <f>SUM(E32:E35)</f>
        <v>0</v>
      </c>
      <c r="F37" s="130">
        <f>SUM(F32:F35)</f>
        <v>0</v>
      </c>
      <c r="G37" s="116"/>
      <c r="H37" s="111">
        <f>SUM(H32:H35)</f>
        <v>28</v>
      </c>
      <c r="I37" s="112">
        <f>SUM(I32:I35)</f>
        <v>24</v>
      </c>
      <c r="J37" s="130">
        <f>SUM(J32:J35)</f>
        <v>52</v>
      </c>
      <c r="K37" s="114"/>
      <c r="L37" s="111">
        <f>SUM(L32:L35)</f>
        <v>-28</v>
      </c>
      <c r="M37" s="112">
        <f>SUM(M32:M35)</f>
        <v>-24</v>
      </c>
      <c r="N37" s="130">
        <f>SUM(N32:N35)</f>
        <v>-52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3" customHeight="1" x14ac:dyDescent="0.25">
      <c r="B38" s="7"/>
      <c r="D38" s="87"/>
      <c r="E38" s="88"/>
      <c r="F38" s="89"/>
      <c r="G38" s="5"/>
      <c r="H38" s="87"/>
      <c r="I38" s="88"/>
      <c r="J38" s="89"/>
      <c r="K38" s="1"/>
      <c r="L38" s="87"/>
      <c r="M38" s="88"/>
      <c r="N38" s="8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A39" s="23" t="s">
        <v>82</v>
      </c>
      <c r="B39" s="7" t="s">
        <v>8</v>
      </c>
      <c r="C39" s="72"/>
      <c r="D39" s="87">
        <f>_xll.HPVAL($A39,$A$47,$A$2,$A$5,$A$6,$A$7)</f>
        <v>0</v>
      </c>
      <c r="E39" s="88">
        <f>_xll.HPVAL($A39,$A$47,$A$3,$A$5,$A$6,$A$7)</f>
        <v>0</v>
      </c>
      <c r="F39" s="89">
        <f>+D39+E39</f>
        <v>0</v>
      </c>
      <c r="G39" s="5"/>
      <c r="H39" s="87">
        <f>_xll.HPVAL($A39,$A$1,$A$2,$A$5,$A$6,$A$7)</f>
        <v>79</v>
      </c>
      <c r="I39" s="88">
        <f>_xll.HPVAL($A39,$A$1,$A$3,$A$5,$A$6,$A$7)</f>
        <v>74</v>
      </c>
      <c r="J39" s="89">
        <f>+H39+I39</f>
        <v>153</v>
      </c>
      <c r="K39" s="1"/>
      <c r="L39" s="87">
        <f>+D39-H39</f>
        <v>-79</v>
      </c>
      <c r="M39" s="88">
        <f>+E39-I39</f>
        <v>-74</v>
      </c>
      <c r="N39" s="89">
        <f>+L39+M39</f>
        <v>-153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5">
      <c r="B40" s="7"/>
      <c r="C40" s="72"/>
      <c r="D40" s="87"/>
      <c r="E40" s="88"/>
      <c r="F40" s="89">
        <f>+D40+E40</f>
        <v>0</v>
      </c>
      <c r="G40" s="5"/>
      <c r="H40" s="87"/>
      <c r="I40" s="88"/>
      <c r="J40" s="89">
        <f>+H40+I40</f>
        <v>0</v>
      </c>
      <c r="K40" s="1"/>
      <c r="L40" s="87"/>
      <c r="M40" s="88"/>
      <c r="N40" s="89">
        <f>+L40+M40</f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A41" s="25" t="s">
        <v>44</v>
      </c>
      <c r="B41" s="7" t="s">
        <v>7</v>
      </c>
      <c r="C41" s="72"/>
      <c r="D41" s="87">
        <f>_xll.HPVAL($A41,$A$47,$A$2,$A$5,$A$6,$A$7)</f>
        <v>0</v>
      </c>
      <c r="E41" s="88">
        <f>_xll.HPVAL($A41,$A$47,$A$3,$A$5,$A$6,$A$7)</f>
        <v>0</v>
      </c>
      <c r="F41" s="89">
        <f>+D41+E41</f>
        <v>0</v>
      </c>
      <c r="G41" s="5"/>
      <c r="H41" s="87">
        <f>_xll.HPVAL($A41,$A$1,$A$2,$A$5,$A$6,$A$7)</f>
        <v>19</v>
      </c>
      <c r="I41" s="88">
        <f>_xll.HPVAL($A41,$A$1,$A$3,$A$5,$A$6,$A$7)</f>
        <v>32</v>
      </c>
      <c r="J41" s="89">
        <f>+H41+I41</f>
        <v>51</v>
      </c>
      <c r="K41" s="1"/>
      <c r="L41" s="87">
        <f>+D41-H41</f>
        <v>-19</v>
      </c>
      <c r="M41" s="88">
        <f>+E41-I41</f>
        <v>-32</v>
      </c>
      <c r="N41" s="89">
        <f>+L41+M41</f>
        <v>-51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D42" s="87"/>
      <c r="E42" s="88"/>
      <c r="F42" s="89"/>
      <c r="G42" s="5"/>
      <c r="H42" s="87"/>
      <c r="I42" s="88"/>
      <c r="J42" s="89"/>
      <c r="K42" s="1"/>
      <c r="L42" s="87"/>
      <c r="M42" s="88"/>
      <c r="N42" s="8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s="114" customFormat="1" ht="11.25" customHeight="1" x14ac:dyDescent="0.25">
      <c r="A43" s="23"/>
      <c r="B43" s="115" t="s">
        <v>10</v>
      </c>
      <c r="D43" s="111">
        <f>SUM(D37:D41)+D18+D25+D30</f>
        <v>0</v>
      </c>
      <c r="E43" s="112">
        <f>SUM(E37:E41)+E18+E25+E30</f>
        <v>0</v>
      </c>
      <c r="F43" s="130">
        <f>SUM(F37:F41)+F18+F25+F30</f>
        <v>0</v>
      </c>
      <c r="G43" s="116"/>
      <c r="H43" s="111">
        <f>SUM(H37:H41)+H18+H25+H30</f>
        <v>500.5</v>
      </c>
      <c r="I43" s="112">
        <f>SUM(I37:I41)+I18+I25+I30</f>
        <v>491</v>
      </c>
      <c r="J43" s="130">
        <f>SUM(J37:J41)+J18+J25+J30</f>
        <v>991.5</v>
      </c>
      <c r="L43" s="111">
        <f>SUM(L37:L41)+L18+L25+L30</f>
        <v>-500.5</v>
      </c>
      <c r="M43" s="112">
        <f>SUM(M37:M41)+M18+M25+M30</f>
        <v>-491</v>
      </c>
      <c r="N43" s="130">
        <f>SUM(N37:N41)+N18+N25+N30</f>
        <v>-991.5</v>
      </c>
    </row>
    <row r="44" spans="1:40" ht="3" customHeight="1" x14ac:dyDescent="0.25">
      <c r="A44" s="114"/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5">
      <c r="A45" s="23" t="s">
        <v>45</v>
      </c>
      <c r="B45" s="7" t="s">
        <v>48</v>
      </c>
      <c r="C45" s="72"/>
      <c r="D45" s="87"/>
      <c r="E45" s="88">
        <f>_xll.HPVAL($A45,$A$47,"total_headcount",$A$5,$A$6,$A$7)</f>
        <v>0</v>
      </c>
      <c r="F45" s="89">
        <f>+D45+E45</f>
        <v>0</v>
      </c>
      <c r="G45" s="5"/>
      <c r="H45" s="87"/>
      <c r="I45" s="88">
        <f>_xll.HPVAL($A45,$A$1,"total_headcount",$A$5,$A$6,$A$7)</f>
        <v>962.55</v>
      </c>
      <c r="J45" s="89">
        <f>+H45+I45</f>
        <v>962.55</v>
      </c>
      <c r="K45" s="1"/>
      <c r="L45" s="87">
        <f>+D45-H45</f>
        <v>0</v>
      </c>
      <c r="M45" s="88">
        <f>+E45-I45</f>
        <v>-962.55</v>
      </c>
      <c r="N45" s="89">
        <f>+L45+M45</f>
        <v>-962.55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5">
      <c r="A46" s="23" t="s">
        <v>45</v>
      </c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72" customFormat="1" ht="11.25" customHeight="1" x14ac:dyDescent="0.25">
      <c r="A47" s="23" t="s">
        <v>64</v>
      </c>
      <c r="B47" s="107" t="s">
        <v>14</v>
      </c>
      <c r="D47" s="111">
        <f>D43+D45</f>
        <v>0</v>
      </c>
      <c r="E47" s="112">
        <f>E43+E45</f>
        <v>0</v>
      </c>
      <c r="F47" s="130">
        <f>F43+F45</f>
        <v>0</v>
      </c>
      <c r="G47" s="5"/>
      <c r="H47" s="111">
        <f>H43+H45</f>
        <v>500.5</v>
      </c>
      <c r="I47" s="112">
        <f>I43+I45</f>
        <v>1453.55</v>
      </c>
      <c r="J47" s="130">
        <f>J43+J45</f>
        <v>1954.05</v>
      </c>
      <c r="K47" s="1"/>
      <c r="L47" s="111">
        <f>L43+L45</f>
        <v>-500.5</v>
      </c>
      <c r="M47" s="112">
        <f>M43+M45</f>
        <v>-1453.55</v>
      </c>
      <c r="N47" s="130">
        <f>N43+N45</f>
        <v>-1954.05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5">
      <c r="A48" s="114"/>
      <c r="B48" s="19"/>
      <c r="D48" s="13"/>
      <c r="E48" s="14"/>
      <c r="F48" s="22"/>
      <c r="G48" s="1"/>
      <c r="H48" s="13"/>
      <c r="I48" s="14"/>
      <c r="J48" s="22"/>
      <c r="K48" s="1"/>
      <c r="L48" s="13"/>
      <c r="M48" s="14"/>
      <c r="N48" s="2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C33" sqref="C33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3" width="8.33203125" style="27" customWidth="1"/>
    <col min="4" max="5" width="8.6640625" style="27" customWidth="1"/>
    <col min="6" max="6" width="0.88671875" style="27" customWidth="1"/>
    <col min="7" max="8" width="7.6640625" style="27" customWidth="1"/>
    <col min="9" max="9" width="8.5546875" style="27" customWidth="1"/>
    <col min="10" max="10" width="0.88671875" style="27" customWidth="1"/>
    <col min="11" max="13" width="8.6640625" style="27" customWidth="1"/>
    <col min="14" max="14" width="0.88671875" style="27" customWidth="1"/>
    <col min="15" max="15" width="8.6640625" style="27" customWidth="1"/>
    <col min="16" max="19" width="7.6640625" style="27" customWidth="1"/>
    <col min="20" max="21" width="8.6640625" style="27" customWidth="1"/>
    <col min="22" max="22" width="0.88671875" style="27" customWidth="1"/>
    <col min="23" max="16384" width="9.109375" style="27"/>
  </cols>
  <sheetData>
    <row r="1" spans="1:22" s="195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4"/>
    </row>
    <row r="2" spans="1:22" s="200" customFormat="1" ht="29.25" customHeight="1" x14ac:dyDescent="0.5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 t="s">
        <v>268</v>
      </c>
      <c r="N2" s="197"/>
      <c r="O2" s="197"/>
      <c r="P2" s="197"/>
      <c r="Q2" s="197"/>
      <c r="R2" s="197"/>
      <c r="S2" s="197"/>
      <c r="T2" s="197"/>
      <c r="V2" s="199"/>
    </row>
    <row r="3" spans="1:22" s="195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 s="201" t="s">
        <v>269</v>
      </c>
      <c r="N3"/>
      <c r="O3"/>
      <c r="P3"/>
      <c r="Q3"/>
      <c r="R3"/>
      <c r="S3"/>
      <c r="T3"/>
      <c r="V3" s="199"/>
    </row>
    <row r="4" spans="1:22" s="195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2"/>
    </row>
    <row r="5" spans="1:22" s="203" customFormat="1" ht="18" customHeight="1" x14ac:dyDescent="0.25">
      <c r="A5" s="228"/>
      <c r="B5" s="269"/>
      <c r="C5" s="307" t="s">
        <v>21</v>
      </c>
      <c r="D5" s="308"/>
      <c r="E5" s="309"/>
      <c r="F5" s="272"/>
      <c r="G5" s="307" t="s">
        <v>59</v>
      </c>
      <c r="H5" s="308"/>
      <c r="I5" s="309"/>
      <c r="J5" s="260"/>
      <c r="K5" s="307" t="s">
        <v>249</v>
      </c>
      <c r="L5" s="308"/>
      <c r="M5" s="309"/>
    </row>
    <row r="6" spans="1:22" ht="12" customHeight="1" thickBot="1" x14ac:dyDescent="0.35">
      <c r="A6" s="282" t="s">
        <v>16</v>
      </c>
      <c r="B6" s="293"/>
      <c r="C6" s="283" t="s">
        <v>71</v>
      </c>
      <c r="D6" s="284" t="s">
        <v>15</v>
      </c>
      <c r="E6" s="285" t="s">
        <v>20</v>
      </c>
      <c r="F6" s="286"/>
      <c r="G6" s="283" t="s">
        <v>13</v>
      </c>
      <c r="H6" s="284" t="s">
        <v>252</v>
      </c>
      <c r="I6" s="285" t="s">
        <v>20</v>
      </c>
      <c r="J6" s="286"/>
      <c r="K6" s="283" t="s">
        <v>13</v>
      </c>
      <c r="L6" s="284" t="s">
        <v>15</v>
      </c>
      <c r="M6" s="285" t="s">
        <v>20</v>
      </c>
    </row>
    <row r="7" spans="1:22" ht="12" customHeight="1" x14ac:dyDescent="0.2">
      <c r="A7" s="230"/>
      <c r="B7" s="270"/>
      <c r="C7" s="231"/>
      <c r="D7" s="36"/>
      <c r="E7" s="232"/>
      <c r="F7" s="273"/>
      <c r="G7" s="231"/>
      <c r="H7" s="36"/>
      <c r="I7" s="232"/>
      <c r="J7" s="229"/>
      <c r="K7" s="231"/>
      <c r="L7" s="36"/>
      <c r="M7" s="232"/>
    </row>
    <row r="8" spans="1:22" ht="12" customHeight="1" x14ac:dyDescent="0.2">
      <c r="A8" s="230" t="s">
        <v>3</v>
      </c>
      <c r="B8" s="270"/>
      <c r="C8" s="59">
        <f>59009-6286</f>
        <v>52723</v>
      </c>
      <c r="D8" s="59">
        <v>41592</v>
      </c>
      <c r="E8" s="234">
        <f>+C8-D8</f>
        <v>11131</v>
      </c>
      <c r="F8" s="274"/>
      <c r="G8" s="60">
        <f>15010+72</f>
        <v>15082</v>
      </c>
      <c r="H8" s="294">
        <f>16105+169</f>
        <v>16274</v>
      </c>
      <c r="I8" s="234">
        <f>+H8-G8</f>
        <v>1192</v>
      </c>
      <c r="J8" s="237"/>
      <c r="K8" s="233">
        <f>+C8-G8</f>
        <v>37641</v>
      </c>
      <c r="L8" s="59">
        <f>+D8-H8</f>
        <v>25318</v>
      </c>
      <c r="M8" s="234">
        <f>+K8-L8</f>
        <v>12323</v>
      </c>
    </row>
    <row r="9" spans="1:22" ht="12" customHeight="1" x14ac:dyDescent="0.2">
      <c r="A9" s="230" t="s">
        <v>106</v>
      </c>
      <c r="B9" s="270"/>
      <c r="C9" s="41">
        <f>55253+27841</f>
        <v>83094</v>
      </c>
      <c r="D9" s="41">
        <f>31680-1729</f>
        <v>29951</v>
      </c>
      <c r="E9" s="236">
        <f>+C9-D9</f>
        <v>53143</v>
      </c>
      <c r="F9" s="274"/>
      <c r="G9" s="42">
        <f>10718+13150</f>
        <v>23868</v>
      </c>
      <c r="H9" s="295">
        <f>10220+13596</f>
        <v>23816</v>
      </c>
      <c r="I9" s="236">
        <f>+H9-G9</f>
        <v>-52</v>
      </c>
      <c r="J9" s="237"/>
      <c r="K9" s="235">
        <f>+C9-G9</f>
        <v>59226</v>
      </c>
      <c r="L9" s="41">
        <f>+D9-H9</f>
        <v>6135</v>
      </c>
      <c r="M9" s="236">
        <f>+K9-L9</f>
        <v>53091</v>
      </c>
    </row>
    <row r="10" spans="1:22" ht="12" customHeight="1" x14ac:dyDescent="0.2">
      <c r="A10" s="230" t="s">
        <v>132</v>
      </c>
      <c r="B10" s="270"/>
      <c r="C10" s="41">
        <v>25965</v>
      </c>
      <c r="D10" s="41">
        <v>22402</v>
      </c>
      <c r="E10" s="236">
        <f t="shared" ref="E10:E16" si="0">+C10-D10</f>
        <v>3563</v>
      </c>
      <c r="F10" s="274"/>
      <c r="G10" s="42">
        <v>1834</v>
      </c>
      <c r="H10" s="295">
        <v>1630</v>
      </c>
      <c r="I10" s="236">
        <f t="shared" ref="I10:I16" si="1">+H10-G10</f>
        <v>-204</v>
      </c>
      <c r="J10" s="237"/>
      <c r="K10" s="235">
        <f t="shared" ref="K10:L16" si="2">+C10-G10</f>
        <v>24131</v>
      </c>
      <c r="L10" s="41">
        <f t="shared" si="2"/>
        <v>20772</v>
      </c>
      <c r="M10" s="236">
        <f t="shared" ref="M10:M16" si="3">+K10-L10</f>
        <v>3359</v>
      </c>
    </row>
    <row r="11" spans="1:22" ht="12" customHeight="1" x14ac:dyDescent="0.2">
      <c r="A11" s="230" t="s">
        <v>133</v>
      </c>
      <c r="B11" s="270"/>
      <c r="C11" s="41">
        <v>35765</v>
      </c>
      <c r="D11" s="41">
        <v>11447</v>
      </c>
      <c r="E11" s="236">
        <f t="shared" si="0"/>
        <v>24318</v>
      </c>
      <c r="F11" s="274"/>
      <c r="G11" s="42">
        <v>1854</v>
      </c>
      <c r="H11" s="295">
        <v>2436</v>
      </c>
      <c r="I11" s="236">
        <f t="shared" si="1"/>
        <v>582</v>
      </c>
      <c r="J11" s="237"/>
      <c r="K11" s="235">
        <f t="shared" si="2"/>
        <v>33911</v>
      </c>
      <c r="L11" s="41">
        <f t="shared" si="2"/>
        <v>9011</v>
      </c>
      <c r="M11" s="236">
        <f t="shared" si="3"/>
        <v>24900</v>
      </c>
    </row>
    <row r="12" spans="1:22" ht="12" customHeight="1" x14ac:dyDescent="0.2">
      <c r="A12" s="230" t="s">
        <v>114</v>
      </c>
      <c r="B12" s="270"/>
      <c r="C12" s="41">
        <v>22243</v>
      </c>
      <c r="D12" s="41">
        <v>23112</v>
      </c>
      <c r="E12" s="236">
        <f t="shared" si="0"/>
        <v>-869</v>
      </c>
      <c r="F12" s="274"/>
      <c r="G12" s="42">
        <v>4814</v>
      </c>
      <c r="H12" s="295">
        <v>5562</v>
      </c>
      <c r="I12" s="236">
        <f t="shared" si="1"/>
        <v>748</v>
      </c>
      <c r="J12" s="237"/>
      <c r="K12" s="235">
        <f t="shared" si="2"/>
        <v>17429</v>
      </c>
      <c r="L12" s="41">
        <f t="shared" si="2"/>
        <v>17550</v>
      </c>
      <c r="M12" s="236">
        <f t="shared" si="3"/>
        <v>-121</v>
      </c>
    </row>
    <row r="13" spans="1:22" ht="12" customHeight="1" x14ac:dyDescent="0.2">
      <c r="A13" s="230" t="s">
        <v>5</v>
      </c>
      <c r="B13" s="270"/>
      <c r="C13" s="41">
        <v>2271</v>
      </c>
      <c r="D13" s="41">
        <v>12747</v>
      </c>
      <c r="E13" s="236">
        <f t="shared" si="0"/>
        <v>-10476</v>
      </c>
      <c r="F13" s="274"/>
      <c r="G13" s="42">
        <v>6393</v>
      </c>
      <c r="H13" s="295">
        <v>4728</v>
      </c>
      <c r="I13" s="236">
        <f t="shared" si="1"/>
        <v>-1665</v>
      </c>
      <c r="J13" s="237"/>
      <c r="K13" s="235">
        <f t="shared" si="2"/>
        <v>-4122</v>
      </c>
      <c r="L13" s="41">
        <f t="shared" si="2"/>
        <v>8019</v>
      </c>
      <c r="M13" s="236">
        <f t="shared" si="3"/>
        <v>-12141</v>
      </c>
    </row>
    <row r="14" spans="1:22" ht="12" customHeight="1" x14ac:dyDescent="0.2">
      <c r="A14" s="230" t="s">
        <v>155</v>
      </c>
      <c r="B14" s="270"/>
      <c r="C14" s="41">
        <v>5666</v>
      </c>
      <c r="D14" s="41">
        <v>3215</v>
      </c>
      <c r="E14" s="236">
        <f t="shared" si="0"/>
        <v>2451</v>
      </c>
      <c r="F14" s="274"/>
      <c r="G14" s="42">
        <v>2609</v>
      </c>
      <c r="H14" s="295">
        <v>1722</v>
      </c>
      <c r="I14" s="236">
        <f t="shared" si="1"/>
        <v>-887</v>
      </c>
      <c r="J14" s="237"/>
      <c r="K14" s="235">
        <f t="shared" si="2"/>
        <v>3057</v>
      </c>
      <c r="L14" s="41">
        <f t="shared" si="2"/>
        <v>1493</v>
      </c>
      <c r="M14" s="236">
        <f t="shared" si="3"/>
        <v>1564</v>
      </c>
    </row>
    <row r="15" spans="1:22" ht="12" customHeight="1" x14ac:dyDescent="0.2">
      <c r="A15" s="230" t="s">
        <v>107</v>
      </c>
      <c r="B15" s="270"/>
      <c r="C15" s="41">
        <v>3674</v>
      </c>
      <c r="D15" s="41">
        <v>750</v>
      </c>
      <c r="E15" s="236">
        <f t="shared" si="0"/>
        <v>2924</v>
      </c>
      <c r="F15" s="274"/>
      <c r="G15" s="42">
        <v>266</v>
      </c>
      <c r="H15" s="295">
        <v>342</v>
      </c>
      <c r="I15" s="236">
        <f t="shared" si="1"/>
        <v>76</v>
      </c>
      <c r="J15" s="237"/>
      <c r="K15" s="235">
        <f t="shared" si="2"/>
        <v>3408</v>
      </c>
      <c r="L15" s="41">
        <f t="shared" si="2"/>
        <v>408</v>
      </c>
      <c r="M15" s="236">
        <f t="shared" si="3"/>
        <v>3000</v>
      </c>
    </row>
    <row r="16" spans="1:22" ht="12" customHeight="1" x14ac:dyDescent="0.2">
      <c r="A16" s="230" t="s">
        <v>156</v>
      </c>
      <c r="B16" s="270"/>
      <c r="C16" s="41">
        <v>0</v>
      </c>
      <c r="D16" s="41">
        <v>7712</v>
      </c>
      <c r="E16" s="236">
        <f t="shared" si="0"/>
        <v>-7712</v>
      </c>
      <c r="F16" s="274"/>
      <c r="G16" s="42">
        <v>1484</v>
      </c>
      <c r="H16" s="128">
        <v>1217</v>
      </c>
      <c r="I16" s="236">
        <f t="shared" si="1"/>
        <v>-267</v>
      </c>
      <c r="J16" s="237"/>
      <c r="K16" s="235">
        <f t="shared" si="2"/>
        <v>-1484</v>
      </c>
      <c r="L16" s="41">
        <f t="shared" si="2"/>
        <v>6495</v>
      </c>
      <c r="M16" s="236">
        <f t="shared" si="3"/>
        <v>-7979</v>
      </c>
    </row>
    <row r="17" spans="1:13" s="204" customFormat="1" ht="12" customHeight="1" x14ac:dyDescent="0.25">
      <c r="A17" s="261" t="s">
        <v>130</v>
      </c>
      <c r="B17" s="296"/>
      <c r="C17" s="297">
        <f>SUM(C8:C16)</f>
        <v>231401</v>
      </c>
      <c r="D17" s="297">
        <f>SUM(D8:D16)</f>
        <v>152928</v>
      </c>
      <c r="E17" s="298">
        <f>SUM(E8:E16)</f>
        <v>78473</v>
      </c>
      <c r="F17" s="275">
        <v>129970</v>
      </c>
      <c r="G17" s="297">
        <f>SUM(G8:G16)</f>
        <v>58204</v>
      </c>
      <c r="H17" s="297">
        <f>SUM(H8:H16)</f>
        <v>57727</v>
      </c>
      <c r="I17" s="298">
        <f>SUM(I8:I16)</f>
        <v>-477</v>
      </c>
      <c r="J17" s="238"/>
      <c r="K17" s="262">
        <v>-8675</v>
      </c>
      <c r="L17" s="263">
        <v>129850</v>
      </c>
      <c r="M17" s="298">
        <f>SUM(M8:M16)</f>
        <v>77996</v>
      </c>
    </row>
    <row r="18" spans="1:13" ht="12" customHeight="1" x14ac:dyDescent="0.2">
      <c r="A18" s="230"/>
      <c r="B18" s="299"/>
      <c r="C18" s="295"/>
      <c r="D18" s="295"/>
      <c r="E18" s="236"/>
      <c r="F18" s="274"/>
      <c r="G18" s="295"/>
      <c r="H18" s="295"/>
      <c r="I18" s="236"/>
      <c r="J18" s="237"/>
      <c r="K18" s="235"/>
      <c r="L18" s="41"/>
      <c r="M18" s="236"/>
    </row>
    <row r="19" spans="1:13" ht="12" customHeight="1" x14ac:dyDescent="0.2">
      <c r="A19" s="230" t="s">
        <v>88</v>
      </c>
      <c r="B19" s="299"/>
      <c r="C19" s="295">
        <v>2838</v>
      </c>
      <c r="D19" s="295">
        <v>14243</v>
      </c>
      <c r="E19" s="236">
        <f>+C19-D19</f>
        <v>-11405</v>
      </c>
      <c r="F19" s="274"/>
      <c r="G19" s="295">
        <v>4815</v>
      </c>
      <c r="H19" s="295">
        <v>6563</v>
      </c>
      <c r="I19" s="236">
        <f>+H19-G19</f>
        <v>1748</v>
      </c>
      <c r="J19" s="237"/>
      <c r="K19" s="235">
        <f t="shared" ref="K19:L23" si="4">+C19-G19</f>
        <v>-1977</v>
      </c>
      <c r="L19" s="41">
        <f t="shared" si="4"/>
        <v>7680</v>
      </c>
      <c r="M19" s="236">
        <f>+K19-L19</f>
        <v>-9657</v>
      </c>
    </row>
    <row r="20" spans="1:13" ht="12" customHeight="1" x14ac:dyDescent="0.2">
      <c r="A20" s="230" t="s">
        <v>89</v>
      </c>
      <c r="B20" s="299"/>
      <c r="C20" s="295">
        <v>8356</v>
      </c>
      <c r="D20" s="295">
        <v>13235</v>
      </c>
      <c r="E20" s="236">
        <f>+C20-D20</f>
        <v>-4879</v>
      </c>
      <c r="F20" s="274"/>
      <c r="G20" s="295">
        <v>5047</v>
      </c>
      <c r="H20" s="295">
        <v>7464</v>
      </c>
      <c r="I20" s="236">
        <f>+H20-G20</f>
        <v>2417</v>
      </c>
      <c r="J20" s="237"/>
      <c r="K20" s="235">
        <f t="shared" si="4"/>
        <v>3309</v>
      </c>
      <c r="L20" s="41">
        <f t="shared" si="4"/>
        <v>5771</v>
      </c>
      <c r="M20" s="236">
        <f>+K20-L20</f>
        <v>-2462</v>
      </c>
    </row>
    <row r="21" spans="1:13" ht="12" customHeight="1" x14ac:dyDescent="0.2">
      <c r="A21" s="230" t="s">
        <v>258</v>
      </c>
      <c r="B21" s="299"/>
      <c r="C21" s="295">
        <v>3230</v>
      </c>
      <c r="D21" s="295">
        <v>16861</v>
      </c>
      <c r="E21" s="236">
        <f>+C21-D21</f>
        <v>-13631</v>
      </c>
      <c r="F21" s="274"/>
      <c r="G21" s="295">
        <f>4591+1462</f>
        <v>6053</v>
      </c>
      <c r="H21" s="295">
        <f>5895+3806</f>
        <v>9701</v>
      </c>
      <c r="I21" s="236">
        <f>+H21-G21</f>
        <v>3648</v>
      </c>
      <c r="J21" s="237"/>
      <c r="K21" s="235">
        <f t="shared" si="4"/>
        <v>-2823</v>
      </c>
      <c r="L21" s="41">
        <f t="shared" si="4"/>
        <v>7160</v>
      </c>
      <c r="M21" s="236">
        <f>+K21-L21</f>
        <v>-9983</v>
      </c>
    </row>
    <row r="22" spans="1:13" ht="12" customHeight="1" x14ac:dyDescent="0.2">
      <c r="A22" s="230" t="s">
        <v>104</v>
      </c>
      <c r="B22" s="299"/>
      <c r="C22" s="295">
        <v>0</v>
      </c>
      <c r="D22" s="295">
        <v>6477</v>
      </c>
      <c r="E22" s="236">
        <f>+C22-D22</f>
        <v>-6477</v>
      </c>
      <c r="F22" s="274"/>
      <c r="G22" s="295">
        <v>2392</v>
      </c>
      <c r="H22" s="295">
        <v>2694</v>
      </c>
      <c r="I22" s="236">
        <f>+H22-G22</f>
        <v>302</v>
      </c>
      <c r="J22" s="237"/>
      <c r="K22" s="235">
        <f t="shared" si="4"/>
        <v>-2392</v>
      </c>
      <c r="L22" s="41">
        <f t="shared" si="4"/>
        <v>3783</v>
      </c>
      <c r="M22" s="236">
        <f>+K22-L22</f>
        <v>-6175</v>
      </c>
    </row>
    <row r="23" spans="1:13" ht="12" customHeight="1" x14ac:dyDescent="0.2">
      <c r="A23" s="230" t="s">
        <v>0</v>
      </c>
      <c r="B23" s="299"/>
      <c r="C23" s="295">
        <v>11</v>
      </c>
      <c r="D23" s="295">
        <v>4656</v>
      </c>
      <c r="E23" s="236">
        <f>+C23-D23</f>
        <v>-4645</v>
      </c>
      <c r="F23" s="274"/>
      <c r="G23" s="295">
        <v>2218</v>
      </c>
      <c r="H23" s="295">
        <v>2456</v>
      </c>
      <c r="I23" s="236">
        <f>+H23-G23</f>
        <v>238</v>
      </c>
      <c r="J23" s="237"/>
      <c r="K23" s="235">
        <f t="shared" si="4"/>
        <v>-2207</v>
      </c>
      <c r="L23" s="41">
        <f t="shared" si="4"/>
        <v>2200</v>
      </c>
      <c r="M23" s="236">
        <f>+K23-L23</f>
        <v>-4407</v>
      </c>
    </row>
    <row r="24" spans="1:13" s="204" customFormat="1" ht="12" customHeight="1" x14ac:dyDescent="0.25">
      <c r="A24" s="261" t="s">
        <v>1</v>
      </c>
      <c r="B24" s="296"/>
      <c r="C24" s="297">
        <f>SUM(C19:C23)</f>
        <v>14435</v>
      </c>
      <c r="D24" s="297">
        <f>SUM(D19:D23)</f>
        <v>55472</v>
      </c>
      <c r="E24" s="264">
        <f>SUM(E19:E23)</f>
        <v>-41037</v>
      </c>
      <c r="F24" s="275">
        <v>0</v>
      </c>
      <c r="G24" s="297">
        <f>SUM(G19:G23)</f>
        <v>20525</v>
      </c>
      <c r="H24" s="297">
        <f>SUM(H19:H23)</f>
        <v>28878</v>
      </c>
      <c r="I24" s="264">
        <f>SUM(I19:I23)</f>
        <v>8353</v>
      </c>
      <c r="J24" s="238"/>
      <c r="K24" s="262">
        <v>62310</v>
      </c>
      <c r="L24" s="263">
        <v>39821</v>
      </c>
      <c r="M24" s="264">
        <f>SUM(M19:M23)</f>
        <v>-32684</v>
      </c>
    </row>
    <row r="25" spans="1:13" ht="12" customHeight="1" x14ac:dyDescent="0.2">
      <c r="A25" s="230"/>
      <c r="B25" s="299"/>
      <c r="C25" s="295"/>
      <c r="D25" s="295"/>
      <c r="E25" s="236"/>
      <c r="F25" s="274"/>
      <c r="G25" s="295"/>
      <c r="H25" s="295"/>
      <c r="I25" s="236"/>
      <c r="J25" s="237"/>
      <c r="K25" s="235"/>
      <c r="L25" s="41"/>
      <c r="M25" s="236"/>
    </row>
    <row r="26" spans="1:13" ht="12" customHeight="1" x14ac:dyDescent="0.2">
      <c r="A26" s="230" t="s">
        <v>67</v>
      </c>
      <c r="B26" s="299"/>
      <c r="C26" s="295">
        <v>7219</v>
      </c>
      <c r="D26" s="295">
        <v>12234</v>
      </c>
      <c r="E26" s="236">
        <f>+C26-D26</f>
        <v>-5015</v>
      </c>
      <c r="F26" s="274"/>
      <c r="G26" s="295">
        <v>7164</v>
      </c>
      <c r="H26" s="295">
        <v>7910</v>
      </c>
      <c r="I26" s="236">
        <f>+H26-G26</f>
        <v>746</v>
      </c>
      <c r="J26" s="237"/>
      <c r="K26" s="235">
        <f t="shared" ref="K26:L28" si="5">+C26-G26</f>
        <v>55</v>
      </c>
      <c r="L26" s="41">
        <f t="shared" si="5"/>
        <v>4324</v>
      </c>
      <c r="M26" s="236">
        <f>+K26-L26</f>
        <v>-4269</v>
      </c>
    </row>
    <row r="27" spans="1:13" ht="12" customHeight="1" x14ac:dyDescent="0.2">
      <c r="A27" s="230" t="s">
        <v>92</v>
      </c>
      <c r="B27" s="299"/>
      <c r="C27" s="295">
        <v>23078</v>
      </c>
      <c r="D27" s="295">
        <v>30320</v>
      </c>
      <c r="E27" s="236">
        <f>+C27-D27</f>
        <v>-7242</v>
      </c>
      <c r="F27" s="274"/>
      <c r="G27" s="295">
        <v>62429</v>
      </c>
      <c r="H27" s="295">
        <v>60693</v>
      </c>
      <c r="I27" s="236">
        <f>+H27-G27</f>
        <v>-1736</v>
      </c>
      <c r="J27" s="237"/>
      <c r="K27" s="235">
        <f t="shared" si="5"/>
        <v>-39351</v>
      </c>
      <c r="L27" s="41">
        <f t="shared" si="5"/>
        <v>-30373</v>
      </c>
      <c r="M27" s="236">
        <f>+K27-L27</f>
        <v>-8978</v>
      </c>
    </row>
    <row r="28" spans="1:13" ht="12" customHeight="1" x14ac:dyDescent="0.2">
      <c r="A28" s="230" t="s">
        <v>93</v>
      </c>
      <c r="B28" s="299"/>
      <c r="C28" s="295">
        <v>17193</v>
      </c>
      <c r="D28" s="295">
        <v>7436</v>
      </c>
      <c r="E28" s="236">
        <f>+C28-D28</f>
        <v>9757</v>
      </c>
      <c r="F28" s="274"/>
      <c r="G28" s="295">
        <v>2875</v>
      </c>
      <c r="H28" s="295">
        <v>3355</v>
      </c>
      <c r="I28" s="236">
        <f>+H28-G28</f>
        <v>480</v>
      </c>
      <c r="J28" s="237"/>
      <c r="K28" s="235">
        <f t="shared" si="5"/>
        <v>14318</v>
      </c>
      <c r="L28" s="41">
        <f t="shared" si="5"/>
        <v>4081</v>
      </c>
      <c r="M28" s="236">
        <f>+K28-L28</f>
        <v>10237</v>
      </c>
    </row>
    <row r="29" spans="1:13" s="204" customFormat="1" ht="12" customHeight="1" x14ac:dyDescent="0.25">
      <c r="A29" s="261" t="s">
        <v>86</v>
      </c>
      <c r="B29" s="296"/>
      <c r="C29" s="297">
        <f>SUM(C26:C28)</f>
        <v>47490</v>
      </c>
      <c r="D29" s="297">
        <f>SUM(D26:D28)</f>
        <v>49990</v>
      </c>
      <c r="E29" s="264">
        <f>SUM(E26:E28)</f>
        <v>-2500</v>
      </c>
      <c r="F29" s="275"/>
      <c r="G29" s="297">
        <f>SUM(G26:G28)</f>
        <v>72468</v>
      </c>
      <c r="H29" s="297">
        <f>SUM(H26:H28)</f>
        <v>71958</v>
      </c>
      <c r="I29" s="264">
        <f>SUM(I26:I28)</f>
        <v>-510</v>
      </c>
      <c r="J29" s="238"/>
      <c r="K29" s="262">
        <v>-9167</v>
      </c>
      <c r="L29" s="263">
        <v>-20328</v>
      </c>
      <c r="M29" s="264">
        <f>SUM(M26:M28)</f>
        <v>-3010</v>
      </c>
    </row>
    <row r="30" spans="1:13" ht="12" customHeight="1" x14ac:dyDescent="0.2">
      <c r="A30" s="230"/>
      <c r="B30" s="299"/>
      <c r="C30" s="295"/>
      <c r="D30" s="295"/>
      <c r="E30" s="236"/>
      <c r="F30" s="274"/>
      <c r="G30" s="295"/>
      <c r="H30" s="295"/>
      <c r="I30" s="236"/>
      <c r="J30" s="237"/>
      <c r="K30" s="235"/>
      <c r="L30" s="41"/>
      <c r="M30" s="236"/>
    </row>
    <row r="31" spans="1:13" ht="12" customHeight="1" x14ac:dyDescent="0.2">
      <c r="A31" s="230" t="s">
        <v>9</v>
      </c>
      <c r="B31" s="299"/>
      <c r="C31" s="295">
        <v>93673</v>
      </c>
      <c r="D31" s="295">
        <v>15379</v>
      </c>
      <c r="E31" s="236">
        <f>+C31-D31</f>
        <v>78294</v>
      </c>
      <c r="F31" s="274"/>
      <c r="G31" s="295">
        <v>2669</v>
      </c>
      <c r="H31" s="295">
        <v>3204</v>
      </c>
      <c r="I31" s="236">
        <f>+H31-G31</f>
        <v>535</v>
      </c>
      <c r="J31" s="237"/>
      <c r="K31" s="235">
        <f t="shared" ref="K31:L33" si="6">+C31-G31</f>
        <v>91004</v>
      </c>
      <c r="L31" s="41">
        <f t="shared" si="6"/>
        <v>12175</v>
      </c>
      <c r="M31" s="236">
        <f>+K31-L31</f>
        <v>78829</v>
      </c>
    </row>
    <row r="32" spans="1:13" ht="12" customHeight="1" x14ac:dyDescent="0.2">
      <c r="A32" s="230" t="s">
        <v>151</v>
      </c>
      <c r="B32" s="299"/>
      <c r="C32" s="295">
        <v>858</v>
      </c>
      <c r="D32" s="295">
        <v>10317</v>
      </c>
      <c r="E32" s="236">
        <f>+C32-D32</f>
        <v>-9459</v>
      </c>
      <c r="F32" s="274"/>
      <c r="G32" s="295">
        <v>6027</v>
      </c>
      <c r="H32" s="295">
        <v>7138</v>
      </c>
      <c r="I32" s="236">
        <f>+H32-G32</f>
        <v>1111</v>
      </c>
      <c r="J32" s="237"/>
      <c r="K32" s="235">
        <f t="shared" si="6"/>
        <v>-5169</v>
      </c>
      <c r="L32" s="41">
        <f t="shared" si="6"/>
        <v>3179</v>
      </c>
      <c r="M32" s="236">
        <f>+K32-L32</f>
        <v>-8348</v>
      </c>
    </row>
    <row r="33" spans="1:13" x14ac:dyDescent="0.2">
      <c r="A33" s="230" t="s">
        <v>154</v>
      </c>
      <c r="B33" s="299"/>
      <c r="C33" s="295">
        <f>26838-27505</f>
        <v>-667</v>
      </c>
      <c r="D33" s="295">
        <v>14404</v>
      </c>
      <c r="E33" s="236">
        <f>+C33-D33</f>
        <v>-15071</v>
      </c>
      <c r="F33" s="229"/>
      <c r="G33" s="295">
        <f>3379+6134</f>
        <v>9513</v>
      </c>
      <c r="H33" s="295">
        <f>2561+7811</f>
        <v>10372</v>
      </c>
      <c r="I33" s="236">
        <f>+H33-G33</f>
        <v>859</v>
      </c>
      <c r="J33" s="229"/>
      <c r="K33" s="235">
        <f t="shared" si="6"/>
        <v>-10180</v>
      </c>
      <c r="L33" s="41">
        <f t="shared" si="6"/>
        <v>4032</v>
      </c>
      <c r="M33" s="236">
        <f>+K33-L33</f>
        <v>-14212</v>
      </c>
    </row>
    <row r="34" spans="1:13" s="204" customFormat="1" ht="12" customHeight="1" x14ac:dyDescent="0.25">
      <c r="A34" s="261" t="s">
        <v>87</v>
      </c>
      <c r="B34" s="296"/>
      <c r="C34" s="297">
        <f>SUM(C31:C33)</f>
        <v>93864</v>
      </c>
      <c r="D34" s="297">
        <f>SUM(D31:D33)</f>
        <v>40100</v>
      </c>
      <c r="E34" s="264">
        <f>SUM(E31:E33)</f>
        <v>53764</v>
      </c>
      <c r="F34" s="275"/>
      <c r="G34" s="297">
        <f>SUM(G31:G33)</f>
        <v>18209</v>
      </c>
      <c r="H34" s="297">
        <f>SUM(H31:H33)</f>
        <v>20714</v>
      </c>
      <c r="I34" s="264">
        <f>SUM(I31:I33)</f>
        <v>2505</v>
      </c>
      <c r="J34" s="238"/>
      <c r="K34" s="262">
        <v>-49969</v>
      </c>
      <c r="L34" s="263">
        <v>24814</v>
      </c>
      <c r="M34" s="264">
        <f>SUM(M31:M33)</f>
        <v>56269</v>
      </c>
    </row>
    <row r="35" spans="1:13" ht="12" customHeight="1" x14ac:dyDescent="0.2">
      <c r="A35" s="240"/>
      <c r="B35" s="299"/>
      <c r="C35" s="300"/>
      <c r="D35" s="300"/>
      <c r="E35" s="242"/>
      <c r="F35" s="274"/>
      <c r="G35" s="300"/>
      <c r="H35" s="300"/>
      <c r="I35" s="242"/>
      <c r="J35" s="237"/>
      <c r="K35" s="241"/>
      <c r="L35" s="104"/>
      <c r="M35" s="242"/>
    </row>
    <row r="36" spans="1:13" ht="12" customHeight="1" x14ac:dyDescent="0.2">
      <c r="A36" s="240" t="s">
        <v>8</v>
      </c>
      <c r="B36" s="299"/>
      <c r="C36" s="295">
        <v>1400</v>
      </c>
      <c r="D36" s="295">
        <v>2500</v>
      </c>
      <c r="E36" s="236">
        <f>+C36-D36</f>
        <v>-1100</v>
      </c>
      <c r="F36" s="274"/>
      <c r="G36" s="295">
        <v>8467</v>
      </c>
      <c r="H36" s="295">
        <v>8514</v>
      </c>
      <c r="I36" s="236">
        <f>+H36-G36</f>
        <v>47</v>
      </c>
      <c r="J36" s="237"/>
      <c r="K36" s="235">
        <f t="shared" ref="K36:L38" si="7">+C36-G36</f>
        <v>-7067</v>
      </c>
      <c r="L36" s="41">
        <f t="shared" si="7"/>
        <v>-6014</v>
      </c>
      <c r="M36" s="236">
        <f>+K36-L36</f>
        <v>-1053</v>
      </c>
    </row>
    <row r="37" spans="1:13" ht="12" customHeight="1" x14ac:dyDescent="0.2">
      <c r="A37" s="240" t="s">
        <v>7</v>
      </c>
      <c r="B37" s="299"/>
      <c r="C37" s="300">
        <v>0</v>
      </c>
      <c r="D37" s="300">
        <v>0</v>
      </c>
      <c r="E37" s="236">
        <f>+C37-D37</f>
        <v>0</v>
      </c>
      <c r="F37" s="274"/>
      <c r="G37" s="300">
        <v>8285</v>
      </c>
      <c r="H37" s="300">
        <v>7652</v>
      </c>
      <c r="I37" s="236">
        <f>+H37-G37</f>
        <v>-633</v>
      </c>
      <c r="J37" s="237"/>
      <c r="K37" s="235">
        <f t="shared" si="7"/>
        <v>-8285</v>
      </c>
      <c r="L37" s="41">
        <f t="shared" si="7"/>
        <v>-7652</v>
      </c>
      <c r="M37" s="236">
        <f>+K37-L37</f>
        <v>-633</v>
      </c>
    </row>
    <row r="38" spans="1:13" ht="12" customHeight="1" x14ac:dyDescent="0.2">
      <c r="A38" s="240" t="s">
        <v>19</v>
      </c>
      <c r="B38" s="299"/>
      <c r="C38" s="295">
        <v>0</v>
      </c>
      <c r="D38" s="295">
        <v>38376</v>
      </c>
      <c r="E38" s="236">
        <f>+C38-D38</f>
        <v>-38376</v>
      </c>
      <c r="F38" s="274"/>
      <c r="G38" s="295">
        <v>0</v>
      </c>
      <c r="H38" s="295">
        <v>0</v>
      </c>
      <c r="I38" s="236">
        <f>+H38-G38</f>
        <v>0</v>
      </c>
      <c r="J38" s="237"/>
      <c r="K38" s="235">
        <f t="shared" si="7"/>
        <v>0</v>
      </c>
      <c r="L38" s="41">
        <f t="shared" si="7"/>
        <v>38376</v>
      </c>
      <c r="M38" s="236">
        <f>+K38-L38</f>
        <v>-38376</v>
      </c>
    </row>
    <row r="39" spans="1:13" s="204" customFormat="1" ht="12" customHeight="1" x14ac:dyDescent="0.25">
      <c r="A39" s="261" t="s">
        <v>10</v>
      </c>
      <c r="B39" s="296"/>
      <c r="C39" s="297">
        <f>C38+C37+C36+C34+C29+C24+C17</f>
        <v>388590</v>
      </c>
      <c r="D39" s="297">
        <f>D38+D37+D36+D34+D29+D24+D17</f>
        <v>339366</v>
      </c>
      <c r="E39" s="264">
        <f>E38+E37+E36+E34+E29+E24+E17</f>
        <v>49224</v>
      </c>
      <c r="F39" s="275"/>
      <c r="G39" s="297">
        <f>G38+G37+G36+G34+G29+G24+G17</f>
        <v>186158</v>
      </c>
      <c r="H39" s="297">
        <f>H38+H37+H36+H34+H29+H24+H17</f>
        <v>195443</v>
      </c>
      <c r="I39" s="264">
        <f>I38+I37+I36+I34+I29+I24+I17</f>
        <v>9285</v>
      </c>
      <c r="J39" s="238"/>
      <c r="K39" s="262">
        <v>-21321</v>
      </c>
      <c r="L39" s="263">
        <v>199411</v>
      </c>
      <c r="M39" s="264">
        <f>M38+M37+M36+M34+M29+M24+M17</f>
        <v>58509</v>
      </c>
    </row>
    <row r="40" spans="1:13" ht="12" customHeight="1" x14ac:dyDescent="0.2">
      <c r="A40" s="240"/>
      <c r="B40" s="299"/>
      <c r="C40" s="300"/>
      <c r="D40" s="300"/>
      <c r="E40" s="242"/>
      <c r="F40" s="274"/>
      <c r="G40" s="300"/>
      <c r="H40" s="300"/>
      <c r="I40" s="242"/>
      <c r="J40" s="237"/>
      <c r="K40" s="241"/>
      <c r="L40" s="104"/>
      <c r="M40" s="242"/>
    </row>
    <row r="41" spans="1:13" ht="12" customHeight="1" x14ac:dyDescent="0.2">
      <c r="A41" s="240" t="s">
        <v>265</v>
      </c>
      <c r="B41" s="299"/>
      <c r="C41" s="300"/>
      <c r="D41" s="300"/>
      <c r="E41" s="236">
        <f>+C41-D41</f>
        <v>0</v>
      </c>
      <c r="F41" s="274"/>
      <c r="G41" s="300"/>
      <c r="H41" s="300"/>
      <c r="I41" s="236">
        <f>+H41-G41</f>
        <v>0</v>
      </c>
      <c r="J41" s="237"/>
      <c r="K41" s="235">
        <f>+C41-G41</f>
        <v>0</v>
      </c>
      <c r="L41" s="41">
        <f>+D41-H41</f>
        <v>0</v>
      </c>
      <c r="M41" s="236">
        <f>+K41-L41</f>
        <v>0</v>
      </c>
    </row>
    <row r="42" spans="1:13" ht="12" customHeight="1" x14ac:dyDescent="0.2">
      <c r="A42" s="240" t="s">
        <v>266</v>
      </c>
      <c r="B42" s="299"/>
      <c r="C42" s="300">
        <v>0</v>
      </c>
      <c r="D42" s="300"/>
      <c r="E42" s="236">
        <f>+C42-D42</f>
        <v>0</v>
      </c>
      <c r="F42" s="274"/>
      <c r="G42" s="300">
        <v>30368</v>
      </c>
      <c r="H42" s="300">
        <v>6999</v>
      </c>
      <c r="I42" s="236">
        <f>+H42-G42</f>
        <v>-23369</v>
      </c>
      <c r="J42" s="237"/>
      <c r="K42" s="235">
        <f t="shared" ref="K42:L44" si="8">+C42-G42</f>
        <v>-30368</v>
      </c>
      <c r="L42" s="41">
        <f t="shared" si="8"/>
        <v>-6999</v>
      </c>
      <c r="M42" s="236">
        <f>+K42-L42</f>
        <v>-23369</v>
      </c>
    </row>
    <row r="43" spans="1:13" ht="12" customHeight="1" x14ac:dyDescent="0.2">
      <c r="A43" s="240" t="s">
        <v>18</v>
      </c>
      <c r="B43" s="299"/>
      <c r="C43" s="295">
        <v>-22158</v>
      </c>
      <c r="D43" s="295">
        <v>-10795</v>
      </c>
      <c r="E43" s="236">
        <f>+C43-D43</f>
        <v>-11363</v>
      </c>
      <c r="F43" s="276"/>
      <c r="G43" s="295">
        <v>14727</v>
      </c>
      <c r="H43" s="295">
        <v>22603</v>
      </c>
      <c r="I43" s="236">
        <f>+H43-G43</f>
        <v>7876</v>
      </c>
      <c r="J43" s="237"/>
      <c r="K43" s="235">
        <f t="shared" si="8"/>
        <v>-36885</v>
      </c>
      <c r="L43" s="41">
        <f t="shared" si="8"/>
        <v>-33398</v>
      </c>
      <c r="M43" s="236">
        <f>+K43-L43</f>
        <v>-3487</v>
      </c>
    </row>
    <row r="44" spans="1:13" ht="12" customHeight="1" x14ac:dyDescent="0.2">
      <c r="A44" s="240" t="s">
        <v>60</v>
      </c>
      <c r="B44" s="299"/>
      <c r="C44" s="300">
        <f>SUM(C40)</f>
        <v>0</v>
      </c>
      <c r="D44" s="300">
        <f>SUM(D40)</f>
        <v>0</v>
      </c>
      <c r="E44" s="236">
        <f>+C44-D44</f>
        <v>0</v>
      </c>
      <c r="F44" s="274"/>
      <c r="G44" s="300">
        <v>-32741</v>
      </c>
      <c r="H44" s="300">
        <v>-39874</v>
      </c>
      <c r="I44" s="236">
        <f>+H44-G44</f>
        <v>-7133</v>
      </c>
      <c r="J44" s="237"/>
      <c r="K44" s="235">
        <f t="shared" si="8"/>
        <v>32741</v>
      </c>
      <c r="L44" s="41">
        <f t="shared" si="8"/>
        <v>39874</v>
      </c>
      <c r="M44" s="236">
        <f>+K44-L44</f>
        <v>-7133</v>
      </c>
    </row>
    <row r="45" spans="1:13" s="204" customFormat="1" ht="12" customHeight="1" x14ac:dyDescent="0.25">
      <c r="A45" s="261" t="s">
        <v>65</v>
      </c>
      <c r="B45" s="296"/>
      <c r="C45" s="297">
        <f>SUM(C39:C44)</f>
        <v>366432</v>
      </c>
      <c r="D45" s="297">
        <f>SUM(D39:D44)</f>
        <v>328571</v>
      </c>
      <c r="E45" s="265">
        <f>SUM(E39:E44)</f>
        <v>37861</v>
      </c>
      <c r="F45" s="275"/>
      <c r="G45" s="297">
        <f>SUM(G39:G44)</f>
        <v>198512</v>
      </c>
      <c r="H45" s="297">
        <f>SUM(H39:H44)</f>
        <v>185171</v>
      </c>
      <c r="I45" s="265">
        <f>SUM(I39:I44)</f>
        <v>-13341</v>
      </c>
      <c r="J45" s="238"/>
      <c r="K45" s="262">
        <v>-45083</v>
      </c>
      <c r="L45" s="263">
        <v>187598</v>
      </c>
      <c r="M45" s="265">
        <f>SUM(M39:M44)</f>
        <v>24520</v>
      </c>
    </row>
    <row r="46" spans="1:13" ht="12" customHeight="1" thickBot="1" x14ac:dyDescent="0.25">
      <c r="A46" s="240" t="s">
        <v>150</v>
      </c>
      <c r="B46" s="299"/>
      <c r="C46" s="300"/>
      <c r="D46" s="300"/>
      <c r="E46" s="236">
        <f>+C46-D46</f>
        <v>0</v>
      </c>
      <c r="F46" s="274"/>
      <c r="G46" s="300">
        <v>1223</v>
      </c>
      <c r="H46" s="300">
        <v>12000</v>
      </c>
      <c r="I46" s="236">
        <f>+H46-G46</f>
        <v>10777</v>
      </c>
      <c r="J46" s="237"/>
      <c r="K46" s="235">
        <f>+C46-G46</f>
        <v>-1223</v>
      </c>
      <c r="L46" s="41">
        <f>+D46-H46</f>
        <v>-12000</v>
      </c>
      <c r="M46" s="236">
        <f>+K46-L46</f>
        <v>10777</v>
      </c>
    </row>
    <row r="47" spans="1:13" s="204" customFormat="1" ht="12" customHeight="1" thickBot="1" x14ac:dyDescent="0.3">
      <c r="A47" s="287" t="s">
        <v>66</v>
      </c>
      <c r="B47" s="301"/>
      <c r="C47" s="302">
        <f>SUM(C45:C46)</f>
        <v>366432</v>
      </c>
      <c r="D47" s="302">
        <f>SUM(D45:D46)</f>
        <v>328571</v>
      </c>
      <c r="E47" s="291">
        <f>SUM(E45:E46)</f>
        <v>37861</v>
      </c>
      <c r="F47" s="292"/>
      <c r="G47" s="302">
        <f>SUM(G45:G46)</f>
        <v>199735</v>
      </c>
      <c r="H47" s="302">
        <f>SUM(H45:H46)</f>
        <v>197171</v>
      </c>
      <c r="I47" s="291">
        <f>SUM(I45:I46)</f>
        <v>-2564</v>
      </c>
      <c r="J47" s="292"/>
      <c r="K47" s="289">
        <v>-53683</v>
      </c>
      <c r="L47" s="290">
        <v>178998</v>
      </c>
      <c r="M47" s="291">
        <f>SUM(M45:M46)</f>
        <v>35297</v>
      </c>
    </row>
    <row r="48" spans="1:13" ht="3" customHeight="1" x14ac:dyDescent="0.3">
      <c r="A48" s="185"/>
      <c r="C48" s="186"/>
      <c r="D48" s="42"/>
      <c r="E48" s="185"/>
      <c r="F48" s="44"/>
      <c r="I48" s="177"/>
    </row>
    <row r="49" spans="1:6" x14ac:dyDescent="0.2">
      <c r="A49" s="177" t="s">
        <v>149</v>
      </c>
      <c r="C49" s="44"/>
      <c r="D49" s="42"/>
      <c r="E49" s="44"/>
      <c r="F49" s="44"/>
    </row>
  </sheetData>
  <mergeCells count="3">
    <mergeCell ref="C5:E5"/>
    <mergeCell ref="G5:I5"/>
    <mergeCell ref="K5:M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7"/>
  <sheetViews>
    <sheetView workbookViewId="0">
      <selection sqref="A1:IV65536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3" width="8.33203125" style="27" customWidth="1"/>
    <col min="4" max="5" width="8.6640625" style="27" customWidth="1"/>
    <col min="6" max="6" width="0.88671875" style="27" customWidth="1"/>
    <col min="7" max="8" width="7.6640625" style="27" customWidth="1"/>
    <col min="9" max="9" width="8.5546875" style="27" bestFit="1" customWidth="1"/>
    <col min="10" max="10" width="0.88671875" style="27" customWidth="1"/>
    <col min="11" max="13" width="8.6640625" style="27" customWidth="1"/>
    <col min="14" max="14" width="0.88671875" style="27" customWidth="1"/>
    <col min="15" max="15" width="8.6640625" style="27" customWidth="1"/>
    <col min="16" max="19" width="7.6640625" style="27" customWidth="1"/>
    <col min="20" max="21" width="8.6640625" style="27" customWidth="1"/>
    <col min="22" max="22" width="0.88671875" style="27" customWidth="1"/>
    <col min="23" max="16384" width="9.109375" style="27"/>
  </cols>
  <sheetData>
    <row r="1" spans="1:22" s="195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4"/>
    </row>
    <row r="2" spans="1:22" s="200" customFormat="1" ht="29.25" customHeight="1" x14ac:dyDescent="0.5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 t="s">
        <v>267</v>
      </c>
      <c r="N2" s="197"/>
      <c r="O2" s="197"/>
      <c r="P2" s="197"/>
      <c r="Q2" s="197"/>
      <c r="R2" s="197"/>
      <c r="S2" s="197"/>
      <c r="T2" s="197"/>
      <c r="V2" s="199"/>
    </row>
    <row r="3" spans="1:22" s="195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 s="201" t="str">
        <f>'Old Mgmt Summary'!A3</f>
        <v>Results based on Activity through April 14, 2000</v>
      </c>
      <c r="N3"/>
      <c r="O3"/>
      <c r="P3"/>
      <c r="Q3"/>
      <c r="R3"/>
      <c r="S3"/>
      <c r="T3"/>
      <c r="V3" s="199"/>
    </row>
    <row r="4" spans="1:22" s="195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2"/>
    </row>
    <row r="5" spans="1:22" s="203" customFormat="1" ht="18" customHeight="1" x14ac:dyDescent="0.25">
      <c r="A5" s="228"/>
      <c r="B5" s="269"/>
      <c r="C5" s="307" t="s">
        <v>21</v>
      </c>
      <c r="D5" s="308"/>
      <c r="E5" s="309"/>
      <c r="F5" s="272"/>
      <c r="G5" s="307" t="s">
        <v>59</v>
      </c>
      <c r="H5" s="308"/>
      <c r="I5" s="309"/>
      <c r="J5" s="260"/>
      <c r="K5" s="307" t="s">
        <v>249</v>
      </c>
      <c r="L5" s="308"/>
      <c r="M5" s="309"/>
    </row>
    <row r="6" spans="1:22" ht="12" customHeight="1" thickBot="1" x14ac:dyDescent="0.35">
      <c r="A6" s="282" t="s">
        <v>16</v>
      </c>
      <c r="B6" s="270"/>
      <c r="C6" s="283" t="s">
        <v>71</v>
      </c>
      <c r="D6" s="284" t="s">
        <v>15</v>
      </c>
      <c r="E6" s="285" t="s">
        <v>20</v>
      </c>
      <c r="F6" s="286"/>
      <c r="G6" s="283" t="s">
        <v>13</v>
      </c>
      <c r="H6" s="284" t="s">
        <v>252</v>
      </c>
      <c r="I6" s="285" t="s">
        <v>20</v>
      </c>
      <c r="J6" s="286"/>
      <c r="K6" s="283" t="s">
        <v>13</v>
      </c>
      <c r="L6" s="284" t="s">
        <v>15</v>
      </c>
      <c r="M6" s="285" t="s">
        <v>20</v>
      </c>
    </row>
    <row r="7" spans="1:22" ht="12" customHeight="1" x14ac:dyDescent="0.2">
      <c r="A7" s="230"/>
      <c r="B7" s="270"/>
      <c r="C7" s="231"/>
      <c r="D7" s="36"/>
      <c r="E7" s="232"/>
      <c r="F7" s="273"/>
      <c r="G7" s="231"/>
      <c r="H7" s="36"/>
      <c r="I7" s="232"/>
      <c r="J7" s="229"/>
      <c r="K7" s="231"/>
      <c r="L7" s="36"/>
      <c r="M7" s="232"/>
    </row>
    <row r="8" spans="1:22" ht="12" customHeight="1" x14ac:dyDescent="0.2">
      <c r="A8" s="230" t="s">
        <v>3</v>
      </c>
      <c r="B8" s="270"/>
      <c r="C8" s="233">
        <f>GrossMargin!I10</f>
        <v>20776</v>
      </c>
      <c r="D8" s="59">
        <f>GrossMargin!M10</f>
        <v>41497</v>
      </c>
      <c r="E8" s="234">
        <f t="shared" ref="E8:E16" si="0">-D8+C8</f>
        <v>-20721</v>
      </c>
      <c r="F8" s="274"/>
      <c r="G8" s="235">
        <f>Expenses!D9+'CapChrg-AllocExp'!D10+'CapChrg-AllocExp'!K10</f>
        <v>14857</v>
      </c>
      <c r="H8" s="41">
        <f>Expenses!E9+'CapChrg-AllocExp'!E10+'CapChrg-AllocExp'!L10</f>
        <v>14857</v>
      </c>
      <c r="I8" s="236">
        <f t="shared" ref="I8:I16" si="1">H8-G8</f>
        <v>0</v>
      </c>
      <c r="J8" s="237"/>
      <c r="K8" s="233">
        <f t="shared" ref="K8:K16" si="2">C8-G8</f>
        <v>5919</v>
      </c>
      <c r="L8" s="59">
        <f t="shared" ref="L8:L16" si="3">D8-H8</f>
        <v>26640</v>
      </c>
      <c r="M8" s="234">
        <f t="shared" ref="M8:M16" si="4">K8-L8</f>
        <v>-20721</v>
      </c>
    </row>
    <row r="9" spans="1:22" ht="12" customHeight="1" x14ac:dyDescent="0.2">
      <c r="A9" s="230" t="s">
        <v>106</v>
      </c>
      <c r="B9" s="270"/>
      <c r="C9" s="235">
        <f>GrossMargin!I11</f>
        <v>-6131</v>
      </c>
      <c r="D9" s="41">
        <f>GrossMargin!M11</f>
        <v>67236</v>
      </c>
      <c r="E9" s="236">
        <f t="shared" si="0"/>
        <v>-73367</v>
      </c>
      <c r="F9" s="274"/>
      <c r="G9" s="235">
        <f>Expenses!D10+'CapChrg-AllocExp'!D11+'CapChrg-AllocExp'!K11+Expenses!D54</f>
        <v>26502</v>
      </c>
      <c r="H9" s="41">
        <f>Expenses!E10+'CapChrg-AllocExp'!E11+'CapChrg-AllocExp'!L11+Expenses!E54</f>
        <v>28234</v>
      </c>
      <c r="I9" s="236">
        <f t="shared" si="1"/>
        <v>1732</v>
      </c>
      <c r="J9" s="237"/>
      <c r="K9" s="235">
        <f t="shared" si="2"/>
        <v>-32633</v>
      </c>
      <c r="L9" s="41">
        <f t="shared" si="3"/>
        <v>39002</v>
      </c>
      <c r="M9" s="236">
        <f t="shared" si="4"/>
        <v>-71635</v>
      </c>
    </row>
    <row r="10" spans="1:22" ht="12" customHeight="1" x14ac:dyDescent="0.2">
      <c r="A10" s="230" t="s">
        <v>132</v>
      </c>
      <c r="B10" s="270"/>
      <c r="C10" s="235">
        <f>GrossMargin!I12</f>
        <v>4610</v>
      </c>
      <c r="D10" s="41">
        <f>GrossMargin!M12</f>
        <v>22402</v>
      </c>
      <c r="E10" s="236">
        <f t="shared" si="0"/>
        <v>-17792</v>
      </c>
      <c r="F10" s="274"/>
      <c r="G10" s="235">
        <f>Expenses!D11+'CapChrg-AllocExp'!D12+'CapChrg-AllocExp'!K12</f>
        <v>1607</v>
      </c>
      <c r="H10" s="41">
        <f>Expenses!E11+'CapChrg-AllocExp'!E12+'CapChrg-AllocExp'!L12</f>
        <v>1607</v>
      </c>
      <c r="I10" s="236">
        <f t="shared" si="1"/>
        <v>0</v>
      </c>
      <c r="J10" s="237"/>
      <c r="K10" s="235">
        <f t="shared" si="2"/>
        <v>3003</v>
      </c>
      <c r="L10" s="41">
        <f t="shared" si="3"/>
        <v>20795</v>
      </c>
      <c r="M10" s="236">
        <f t="shared" si="4"/>
        <v>-17792</v>
      </c>
    </row>
    <row r="11" spans="1:22" ht="12" customHeight="1" x14ac:dyDescent="0.2">
      <c r="A11" s="230" t="s">
        <v>133</v>
      </c>
      <c r="B11" s="270"/>
      <c r="C11" s="235">
        <f>GrossMargin!I13</f>
        <v>-5591</v>
      </c>
      <c r="D11" s="41">
        <f>GrossMargin!M13</f>
        <v>11447</v>
      </c>
      <c r="E11" s="236">
        <f t="shared" si="0"/>
        <v>-17038</v>
      </c>
      <c r="F11" s="274"/>
      <c r="G11" s="235">
        <f>Expenses!D12+'CapChrg-AllocExp'!D13+'CapChrg-AllocExp'!K13</f>
        <v>2496</v>
      </c>
      <c r="H11" s="41">
        <f>Expenses!E12+'CapChrg-AllocExp'!E13+'CapChrg-AllocExp'!L13</f>
        <v>2496</v>
      </c>
      <c r="I11" s="236">
        <f t="shared" si="1"/>
        <v>0</v>
      </c>
      <c r="J11" s="237"/>
      <c r="K11" s="235">
        <f t="shared" si="2"/>
        <v>-8087</v>
      </c>
      <c r="L11" s="41">
        <f t="shared" si="3"/>
        <v>8951</v>
      </c>
      <c r="M11" s="236">
        <f t="shared" si="4"/>
        <v>-17038</v>
      </c>
    </row>
    <row r="12" spans="1:22" ht="12" customHeight="1" x14ac:dyDescent="0.2">
      <c r="A12" s="230" t="s">
        <v>114</v>
      </c>
      <c r="B12" s="270"/>
      <c r="C12" s="235">
        <f>GrossMargin!I14</f>
        <v>6666</v>
      </c>
      <c r="D12" s="41">
        <f>(GrossMargin!M14)</f>
        <v>23112</v>
      </c>
      <c r="E12" s="236">
        <f t="shared" si="0"/>
        <v>-16446</v>
      </c>
      <c r="F12" s="274"/>
      <c r="G12" s="235">
        <f>Expenses!D13+'CapChrg-AllocExp'!D14+'CapChrg-AllocExp'!K14</f>
        <v>4757</v>
      </c>
      <c r="H12" s="41">
        <f>(Expenses!E13+'CapChrg-AllocExp'!E14+'CapChrg-AllocExp'!L14)</f>
        <v>4947</v>
      </c>
      <c r="I12" s="236">
        <f t="shared" si="1"/>
        <v>190</v>
      </c>
      <c r="J12" s="237"/>
      <c r="K12" s="235">
        <f t="shared" si="2"/>
        <v>1909</v>
      </c>
      <c r="L12" s="41">
        <f t="shared" si="3"/>
        <v>18165</v>
      </c>
      <c r="M12" s="236">
        <f t="shared" si="4"/>
        <v>-16256</v>
      </c>
    </row>
    <row r="13" spans="1:22" ht="12" customHeight="1" x14ac:dyDescent="0.2">
      <c r="A13" s="230" t="s">
        <v>5</v>
      </c>
      <c r="B13" s="270"/>
      <c r="C13" s="235">
        <f>GrossMargin!I15</f>
        <v>8</v>
      </c>
      <c r="D13" s="41">
        <f>GrossMargin!M15</f>
        <v>12747</v>
      </c>
      <c r="E13" s="236">
        <f t="shared" si="0"/>
        <v>-12739</v>
      </c>
      <c r="F13" s="274"/>
      <c r="G13" s="235">
        <f>Expenses!D14+'CapChrg-AllocExp'!D15+'CapChrg-AllocExp'!K15</f>
        <v>4692</v>
      </c>
      <c r="H13" s="41">
        <f>Expenses!E14+'CapChrg-AllocExp'!E15+'CapChrg-AllocExp'!L15</f>
        <v>4794</v>
      </c>
      <c r="I13" s="236">
        <f t="shared" si="1"/>
        <v>102</v>
      </c>
      <c r="J13" s="237"/>
      <c r="K13" s="235">
        <f t="shared" si="2"/>
        <v>-4684</v>
      </c>
      <c r="L13" s="41">
        <f t="shared" si="3"/>
        <v>7953</v>
      </c>
      <c r="M13" s="236">
        <f t="shared" si="4"/>
        <v>-12637</v>
      </c>
    </row>
    <row r="14" spans="1:22" ht="12" customHeight="1" x14ac:dyDescent="0.2">
      <c r="A14" s="230" t="s">
        <v>155</v>
      </c>
      <c r="B14" s="270"/>
      <c r="C14" s="235">
        <f>GrossMargin!I16</f>
        <v>213</v>
      </c>
      <c r="D14" s="41">
        <f>GrossMargin!M16</f>
        <v>3215</v>
      </c>
      <c r="E14" s="236">
        <f t="shared" si="0"/>
        <v>-3002</v>
      </c>
      <c r="F14" s="274"/>
      <c r="G14" s="235">
        <f>Expenses!D15+'CapChrg-AllocExp'!D16+'CapChrg-AllocExp'!K16</f>
        <v>1661</v>
      </c>
      <c r="H14" s="41">
        <f>Expenses!E15+'CapChrg-AllocExp'!E16+'CapChrg-AllocExp'!L16</f>
        <v>1661</v>
      </c>
      <c r="I14" s="236">
        <f t="shared" si="1"/>
        <v>0</v>
      </c>
      <c r="J14" s="237"/>
      <c r="K14" s="235">
        <f t="shared" si="2"/>
        <v>-1448</v>
      </c>
      <c r="L14" s="41">
        <f t="shared" si="3"/>
        <v>1554</v>
      </c>
      <c r="M14" s="236">
        <f t="shared" si="4"/>
        <v>-3002</v>
      </c>
    </row>
    <row r="15" spans="1:22" ht="12" customHeight="1" x14ac:dyDescent="0.2">
      <c r="A15" s="230" t="s">
        <v>107</v>
      </c>
      <c r="B15" s="270"/>
      <c r="C15" s="235">
        <f>GrossMargin!I17</f>
        <v>-1488</v>
      </c>
      <c r="D15" s="41">
        <f>GrossMargin!M17</f>
        <v>750</v>
      </c>
      <c r="E15" s="236">
        <f t="shared" si="0"/>
        <v>-2238</v>
      </c>
      <c r="F15" s="274"/>
      <c r="G15" s="235">
        <f>Expenses!D16+'CapChrg-AllocExp'!D17+'CapChrg-AllocExp'!K17</f>
        <v>338</v>
      </c>
      <c r="H15" s="41">
        <f>Expenses!E16+'CapChrg-AllocExp'!E17+'CapChrg-AllocExp'!L17</f>
        <v>338</v>
      </c>
      <c r="I15" s="236">
        <f t="shared" si="1"/>
        <v>0</v>
      </c>
      <c r="J15" s="237"/>
      <c r="K15" s="235">
        <f t="shared" si="2"/>
        <v>-1826</v>
      </c>
      <c r="L15" s="41">
        <f t="shared" si="3"/>
        <v>412</v>
      </c>
      <c r="M15" s="236">
        <f t="shared" si="4"/>
        <v>-2238</v>
      </c>
    </row>
    <row r="16" spans="1:22" ht="12" customHeight="1" x14ac:dyDescent="0.2">
      <c r="A16" s="230" t="s">
        <v>156</v>
      </c>
      <c r="B16" s="270"/>
      <c r="C16" s="235">
        <f>GrossMargin!I18</f>
        <v>0</v>
      </c>
      <c r="D16" s="41">
        <f>GrossMargin!M18</f>
        <v>7712</v>
      </c>
      <c r="E16" s="236">
        <f t="shared" si="0"/>
        <v>-7712</v>
      </c>
      <c r="F16" s="274"/>
      <c r="G16" s="235">
        <f>Expenses!D17+'CapChrg-AllocExp'!D18+'CapChrg-AllocExp'!K18</f>
        <v>1400</v>
      </c>
      <c r="H16" s="41">
        <f>Expenses!E17+'CapChrg-AllocExp'!E18+'CapChrg-AllocExp'!L18</f>
        <v>1334</v>
      </c>
      <c r="I16" s="236">
        <f t="shared" si="1"/>
        <v>-66</v>
      </c>
      <c r="J16" s="237"/>
      <c r="K16" s="235">
        <f t="shared" si="2"/>
        <v>-1400</v>
      </c>
      <c r="L16" s="41">
        <f t="shared" si="3"/>
        <v>6378</v>
      </c>
      <c r="M16" s="236">
        <f t="shared" si="4"/>
        <v>-7778</v>
      </c>
    </row>
    <row r="17" spans="1:13" s="204" customFormat="1" ht="12" customHeight="1" x14ac:dyDescent="0.25">
      <c r="A17" s="261" t="s">
        <v>130</v>
      </c>
      <c r="B17" s="271"/>
      <c r="C17" s="262">
        <f>SUM(C8:C16)</f>
        <v>19063</v>
      </c>
      <c r="D17" s="263">
        <f>SUM(D8:D16)</f>
        <v>190118</v>
      </c>
      <c r="E17" s="264">
        <f>SUM(E8:E16)</f>
        <v>-171055</v>
      </c>
      <c r="F17" s="275">
        <f>SUM(D17:E17)</f>
        <v>19063</v>
      </c>
      <c r="G17" s="262">
        <f>SUM(G8:G16)</f>
        <v>58310</v>
      </c>
      <c r="H17" s="263">
        <f>SUM(H8:H16)</f>
        <v>60268</v>
      </c>
      <c r="I17" s="264">
        <f>SUM(I8:I16)</f>
        <v>1958</v>
      </c>
      <c r="J17" s="238"/>
      <c r="K17" s="262">
        <f>SUM(K8:K16)</f>
        <v>-39247</v>
      </c>
      <c r="L17" s="263">
        <f>SUM(L8:L16)</f>
        <v>129850</v>
      </c>
      <c r="M17" s="264">
        <f>SUM(M8:M16)</f>
        <v>-169097</v>
      </c>
    </row>
    <row r="18" spans="1:13" ht="12" customHeight="1" x14ac:dyDescent="0.2">
      <c r="A18" s="230"/>
      <c r="B18" s="270"/>
      <c r="C18" s="235"/>
      <c r="D18" s="41"/>
      <c r="E18" s="236"/>
      <c r="F18" s="274"/>
      <c r="G18" s="239"/>
      <c r="H18" s="41"/>
      <c r="I18" s="236"/>
      <c r="J18" s="237"/>
      <c r="K18" s="235"/>
      <c r="L18" s="41"/>
      <c r="M18" s="236"/>
    </row>
    <row r="19" spans="1:13" ht="12" customHeight="1" x14ac:dyDescent="0.2">
      <c r="A19" s="230" t="s">
        <v>88</v>
      </c>
      <c r="B19" s="270"/>
      <c r="C19" s="235">
        <f>GrossMargin!I22</f>
        <v>0</v>
      </c>
      <c r="D19" s="41">
        <f>GrossMargin!M22</f>
        <v>20493</v>
      </c>
      <c r="E19" s="236">
        <f>-D19+C19</f>
        <v>-20493</v>
      </c>
      <c r="F19" s="274"/>
      <c r="G19" s="235">
        <f>Expenses!D20+'CapChrg-AllocExp'!D21+'CapChrg-AllocExp'!K21</f>
        <v>6374</v>
      </c>
      <c r="H19" s="41">
        <f>Expenses!E20+'CapChrg-AllocExp'!E21+'CapChrg-AllocExp'!L21</f>
        <v>6374</v>
      </c>
      <c r="I19" s="236">
        <f>H19-G19</f>
        <v>0</v>
      </c>
      <c r="J19" s="237"/>
      <c r="K19" s="235">
        <f t="shared" ref="K19:L23" si="5">C19-G19</f>
        <v>-6374</v>
      </c>
      <c r="L19" s="41">
        <f t="shared" si="5"/>
        <v>14119</v>
      </c>
      <c r="M19" s="236">
        <f>K19-L19</f>
        <v>-20493</v>
      </c>
    </row>
    <row r="20" spans="1:13" ht="12" customHeight="1" x14ac:dyDescent="0.2">
      <c r="A20" s="230" t="s">
        <v>89</v>
      </c>
      <c r="B20" s="270"/>
      <c r="C20" s="235">
        <f>GrossMargin!I23</f>
        <v>0</v>
      </c>
      <c r="D20" s="41">
        <f>GrossMargin!M23</f>
        <v>13235</v>
      </c>
      <c r="E20" s="236">
        <f>-D20+C20</f>
        <v>-13235</v>
      </c>
      <c r="F20" s="274"/>
      <c r="G20" s="235">
        <f>Expenses!D21+'CapChrg-AllocExp'!D22+'CapChrg-AllocExp'!K22</f>
        <v>7921</v>
      </c>
      <c r="H20" s="41">
        <f>Expenses!E21+'CapChrg-AllocExp'!E22+'CapChrg-AllocExp'!L22</f>
        <v>7266</v>
      </c>
      <c r="I20" s="236">
        <f>H20-G20</f>
        <v>-655</v>
      </c>
      <c r="J20" s="237"/>
      <c r="K20" s="235">
        <f t="shared" si="5"/>
        <v>-7921</v>
      </c>
      <c r="L20" s="41">
        <f t="shared" si="5"/>
        <v>5969</v>
      </c>
      <c r="M20" s="236">
        <f>K20-L20</f>
        <v>-13890</v>
      </c>
    </row>
    <row r="21" spans="1:13" ht="12" customHeight="1" x14ac:dyDescent="0.2">
      <c r="A21" s="230" t="s">
        <v>258</v>
      </c>
      <c r="B21" s="270"/>
      <c r="C21" s="235">
        <f>GrossMargin!I24</f>
        <v>417</v>
      </c>
      <c r="D21" s="41">
        <f>GrossMargin!M24</f>
        <v>22861</v>
      </c>
      <c r="E21" s="236">
        <f>-D21+C21</f>
        <v>-22444</v>
      </c>
      <c r="F21" s="274"/>
      <c r="G21" s="235">
        <f>Expenses!D22+'CapChrg-AllocExp'!D23+'CapChrg-AllocExp'!K23</f>
        <v>7933</v>
      </c>
      <c r="H21" s="41">
        <f>Expenses!E22+'CapChrg-AllocExp'!E23+'CapChrg-AllocExp'!L23</f>
        <v>8910</v>
      </c>
      <c r="I21" s="236">
        <f>H21-G21</f>
        <v>977</v>
      </c>
      <c r="J21" s="237"/>
      <c r="K21" s="235">
        <f t="shared" si="5"/>
        <v>-7516</v>
      </c>
      <c r="L21" s="41">
        <f t="shared" si="5"/>
        <v>13951</v>
      </c>
      <c r="M21" s="236">
        <f>K21-L21</f>
        <v>-21467</v>
      </c>
    </row>
    <row r="22" spans="1:13" ht="12" customHeight="1" x14ac:dyDescent="0.2">
      <c r="A22" s="230" t="s">
        <v>104</v>
      </c>
      <c r="B22" s="270"/>
      <c r="C22" s="235">
        <f>GrossMargin!I25</f>
        <v>0</v>
      </c>
      <c r="D22" s="41">
        <f>GrossMargin!M25</f>
        <v>6477</v>
      </c>
      <c r="E22" s="236">
        <f>-D22+C22</f>
        <v>-6477</v>
      </c>
      <c r="F22" s="274"/>
      <c r="G22" s="235">
        <f>Expenses!D23+'CapChrg-AllocExp'!D24+'CapChrg-AllocExp'!K24</f>
        <v>2725</v>
      </c>
      <c r="H22" s="41">
        <f>Expenses!E23+'CapChrg-AllocExp'!E24+'CapChrg-AllocExp'!L24</f>
        <v>2725</v>
      </c>
      <c r="I22" s="236">
        <f>H22-G22</f>
        <v>0</v>
      </c>
      <c r="J22" s="237"/>
      <c r="K22" s="235">
        <f t="shared" si="5"/>
        <v>-2725</v>
      </c>
      <c r="L22" s="41">
        <f t="shared" si="5"/>
        <v>3752</v>
      </c>
      <c r="M22" s="236">
        <f>K22-L22</f>
        <v>-6477</v>
      </c>
    </row>
    <row r="23" spans="1:13" ht="12" customHeight="1" x14ac:dyDescent="0.2">
      <c r="A23" s="230" t="s">
        <v>0</v>
      </c>
      <c r="B23" s="270"/>
      <c r="C23" s="235">
        <f>GrossMargin!I26</f>
        <v>0</v>
      </c>
      <c r="D23" s="41">
        <f>GrossMargin!M26</f>
        <v>4656</v>
      </c>
      <c r="E23" s="236">
        <f>-D23+C23</f>
        <v>-4656</v>
      </c>
      <c r="F23" s="274"/>
      <c r="G23" s="235">
        <f>Expenses!D24+'CapChrg-AllocExp'!D25+'CapChrg-AllocExp'!K25</f>
        <v>2626</v>
      </c>
      <c r="H23" s="41">
        <f>Expenses!E24+'CapChrg-AllocExp'!E25+'CapChrg-AllocExp'!L25</f>
        <v>2626</v>
      </c>
      <c r="I23" s="236">
        <f>H23-G23</f>
        <v>0</v>
      </c>
      <c r="J23" s="237"/>
      <c r="K23" s="235">
        <f t="shared" si="5"/>
        <v>-2626</v>
      </c>
      <c r="L23" s="41">
        <f t="shared" si="5"/>
        <v>2030</v>
      </c>
      <c r="M23" s="236">
        <f>K23-L23</f>
        <v>-4656</v>
      </c>
    </row>
    <row r="24" spans="1:13" s="204" customFormat="1" ht="12" customHeight="1" x14ac:dyDescent="0.25">
      <c r="A24" s="261" t="s">
        <v>1</v>
      </c>
      <c r="B24" s="271"/>
      <c r="C24" s="262">
        <f t="shared" ref="C24:I24" si="6">SUM(C19:C23)</f>
        <v>417</v>
      </c>
      <c r="D24" s="263">
        <f t="shared" si="6"/>
        <v>67722</v>
      </c>
      <c r="E24" s="264">
        <f t="shared" si="6"/>
        <v>-67305</v>
      </c>
      <c r="F24" s="275">
        <f t="shared" si="6"/>
        <v>0</v>
      </c>
      <c r="G24" s="262">
        <f t="shared" si="6"/>
        <v>27579</v>
      </c>
      <c r="H24" s="263">
        <f t="shared" si="6"/>
        <v>27901</v>
      </c>
      <c r="I24" s="264">
        <f t="shared" si="6"/>
        <v>322</v>
      </c>
      <c r="J24" s="238"/>
      <c r="K24" s="262">
        <f>SUM(K19:K23)</f>
        <v>-27162</v>
      </c>
      <c r="L24" s="263">
        <f>SUM(L19:L23)</f>
        <v>39821</v>
      </c>
      <c r="M24" s="264">
        <f>SUM(M19:M23)</f>
        <v>-66983</v>
      </c>
    </row>
    <row r="25" spans="1:13" ht="12" customHeight="1" x14ac:dyDescent="0.2">
      <c r="A25" s="230"/>
      <c r="B25" s="270"/>
      <c r="C25" s="235"/>
      <c r="D25" s="41"/>
      <c r="E25" s="236"/>
      <c r="F25" s="274"/>
      <c r="G25" s="239"/>
      <c r="H25" s="41"/>
      <c r="I25" s="236"/>
      <c r="J25" s="237"/>
      <c r="K25" s="235"/>
      <c r="L25" s="41"/>
      <c r="M25" s="236"/>
    </row>
    <row r="26" spans="1:13" ht="12" customHeight="1" x14ac:dyDescent="0.2">
      <c r="A26" s="230" t="s">
        <v>67</v>
      </c>
      <c r="B26" s="270"/>
      <c r="C26" s="235">
        <f>GrossMargin!I30</f>
        <v>3553</v>
      </c>
      <c r="D26" s="41">
        <f>GrossMargin!M30</f>
        <v>12234</v>
      </c>
      <c r="E26" s="236">
        <f>-D26+C26</f>
        <v>-8681</v>
      </c>
      <c r="F26" s="274"/>
      <c r="G26" s="235">
        <f>Expenses!D27+'CapChrg-AllocExp'!D28+'CapChrg-AllocExp'!K28</f>
        <v>7713</v>
      </c>
      <c r="H26" s="41">
        <f>Expenses!E27+'CapChrg-AllocExp'!E28+'CapChrg-AllocExp'!L28</f>
        <v>7955</v>
      </c>
      <c r="I26" s="236">
        <f>H26-G26</f>
        <v>242</v>
      </c>
      <c r="J26" s="237"/>
      <c r="K26" s="235">
        <f t="shared" ref="K26:L28" si="7">C26-G26</f>
        <v>-4160</v>
      </c>
      <c r="L26" s="41">
        <f t="shared" si="7"/>
        <v>4279</v>
      </c>
      <c r="M26" s="236">
        <f>K26-L26</f>
        <v>-8439</v>
      </c>
    </row>
    <row r="27" spans="1:13" ht="12" customHeight="1" x14ac:dyDescent="0.2">
      <c r="A27" s="230" t="s">
        <v>92</v>
      </c>
      <c r="B27" s="270"/>
      <c r="C27" s="235">
        <f>GrossMargin!I31</f>
        <v>17421</v>
      </c>
      <c r="D27" s="41">
        <f>GrossMargin!M31</f>
        <v>32604</v>
      </c>
      <c r="E27" s="236">
        <f>-D27+C27</f>
        <v>-15183</v>
      </c>
      <c r="F27" s="274"/>
      <c r="G27" s="235">
        <f>Expenses!D28+'CapChrg-AllocExp'!D29+'CapChrg-AllocExp'!K29+Expenses!D55</f>
        <v>64838</v>
      </c>
      <c r="H27" s="41">
        <f>Expenses!E28+'CapChrg-AllocExp'!E29+'CapChrg-AllocExp'!L29+Expenses!E55</f>
        <v>61623</v>
      </c>
      <c r="I27" s="236">
        <f>H27-G27</f>
        <v>-3215</v>
      </c>
      <c r="J27" s="237"/>
      <c r="K27" s="235">
        <f t="shared" si="7"/>
        <v>-47417</v>
      </c>
      <c r="L27" s="41">
        <f t="shared" si="7"/>
        <v>-29019</v>
      </c>
      <c r="M27" s="236">
        <f>K27-L27</f>
        <v>-18398</v>
      </c>
    </row>
    <row r="28" spans="1:13" ht="12" customHeight="1" x14ac:dyDescent="0.2">
      <c r="A28" s="230" t="s">
        <v>93</v>
      </c>
      <c r="B28" s="270"/>
      <c r="C28" s="235">
        <f>GrossMargin!I32</f>
        <v>5531</v>
      </c>
      <c r="D28" s="41">
        <f>GrossMargin!M32</f>
        <v>7570</v>
      </c>
      <c r="E28" s="236">
        <f>-D28+C28</f>
        <v>-2039</v>
      </c>
      <c r="F28" s="274"/>
      <c r="G28" s="235">
        <f>Expenses!D29+'CapChrg-AllocExp'!D30+'CapChrg-AllocExp'!K30</f>
        <v>3158</v>
      </c>
      <c r="H28" s="41">
        <f>Expenses!E29+'CapChrg-AllocExp'!E30+'CapChrg-AllocExp'!L30</f>
        <v>3158</v>
      </c>
      <c r="I28" s="236">
        <f>H28-G28</f>
        <v>0</v>
      </c>
      <c r="J28" s="237"/>
      <c r="K28" s="235">
        <f t="shared" si="7"/>
        <v>2373</v>
      </c>
      <c r="L28" s="41">
        <f t="shared" si="7"/>
        <v>4412</v>
      </c>
      <c r="M28" s="236">
        <f>K28-L28</f>
        <v>-2039</v>
      </c>
    </row>
    <row r="29" spans="1:13" s="204" customFormat="1" ht="12" customHeight="1" x14ac:dyDescent="0.25">
      <c r="A29" s="261" t="s">
        <v>86</v>
      </c>
      <c r="B29" s="271"/>
      <c r="C29" s="262">
        <f>SUM(C26:C28)</f>
        <v>26505</v>
      </c>
      <c r="D29" s="263">
        <f>SUM(D26:D28)</f>
        <v>52408</v>
      </c>
      <c r="E29" s="264">
        <f>SUM(E26:E28)</f>
        <v>-25903</v>
      </c>
      <c r="F29" s="275"/>
      <c r="G29" s="262">
        <f>SUM(G26:G28)</f>
        <v>75709</v>
      </c>
      <c r="H29" s="263">
        <f>SUM(H26:H28)</f>
        <v>72736</v>
      </c>
      <c r="I29" s="264">
        <f>SUM(I26:I28)</f>
        <v>-2973</v>
      </c>
      <c r="J29" s="238"/>
      <c r="K29" s="262">
        <f>SUM(K26:K28)</f>
        <v>-49204</v>
      </c>
      <c r="L29" s="263">
        <f>SUM(L26:L28)</f>
        <v>-20328</v>
      </c>
      <c r="M29" s="264">
        <f>SUM(M26:M28)</f>
        <v>-28876</v>
      </c>
    </row>
    <row r="30" spans="1:13" ht="12" customHeight="1" x14ac:dyDescent="0.2">
      <c r="A30" s="230"/>
      <c r="B30" s="270"/>
      <c r="C30" s="235"/>
      <c r="D30" s="41"/>
      <c r="E30" s="236"/>
      <c r="F30" s="274"/>
      <c r="G30" s="239"/>
      <c r="H30" s="41"/>
      <c r="I30" s="236"/>
      <c r="J30" s="237"/>
      <c r="K30" s="235"/>
      <c r="L30" s="41"/>
      <c r="M30" s="236"/>
    </row>
    <row r="31" spans="1:13" ht="12" customHeight="1" x14ac:dyDescent="0.2">
      <c r="A31" s="230" t="s">
        <v>9</v>
      </c>
      <c r="B31" s="270"/>
      <c r="C31" s="235">
        <f>GrossMargin!I36</f>
        <v>-24822</v>
      </c>
      <c r="D31" s="41">
        <f>GrossMargin!M36</f>
        <v>15385</v>
      </c>
      <c r="E31" s="236">
        <f>-D31+C31</f>
        <v>-40207</v>
      </c>
      <c r="F31" s="274"/>
      <c r="G31" s="235">
        <f>Expenses!D32+'CapChrg-AllocExp'!D33+'CapChrg-AllocExp'!K33</f>
        <v>2456</v>
      </c>
      <c r="H31" s="41">
        <f>Expenses!E32+'CapChrg-AllocExp'!E33+'CapChrg-AllocExp'!L33</f>
        <v>3691</v>
      </c>
      <c r="I31" s="236">
        <f>H31-G31</f>
        <v>1235</v>
      </c>
      <c r="J31" s="237"/>
      <c r="K31" s="235">
        <f t="shared" ref="K31:L33" si="8">C31-G31</f>
        <v>-27278</v>
      </c>
      <c r="L31" s="41">
        <f t="shared" si="8"/>
        <v>11694</v>
      </c>
      <c r="M31" s="236">
        <f>K31-L31</f>
        <v>-38972</v>
      </c>
    </row>
    <row r="32" spans="1:13" ht="12" customHeight="1" x14ac:dyDescent="0.2">
      <c r="A32" s="230" t="s">
        <v>151</v>
      </c>
      <c r="B32" s="270"/>
      <c r="C32" s="235">
        <f>GrossMargin!I37</f>
        <v>-505</v>
      </c>
      <c r="D32" s="41">
        <f>GrossMargin!M37</f>
        <v>16142</v>
      </c>
      <c r="E32" s="236">
        <f>-D32+C32</f>
        <v>-16647</v>
      </c>
      <c r="F32" s="274"/>
      <c r="G32" s="235">
        <f>Expenses!D33+'CapChrg-AllocExp'!D34+'CapChrg-AllocExp'!K34</f>
        <v>5971</v>
      </c>
      <c r="H32" s="41">
        <f>Expenses!E33+'CapChrg-AllocExp'!E34+'CapChrg-AllocExp'!L34</f>
        <v>7328</v>
      </c>
      <c r="I32" s="236">
        <f>H32-G32</f>
        <v>1357</v>
      </c>
      <c r="J32" s="237"/>
      <c r="K32" s="235">
        <f t="shared" si="8"/>
        <v>-6476</v>
      </c>
      <c r="L32" s="41">
        <f t="shared" si="8"/>
        <v>8814</v>
      </c>
      <c r="M32" s="236">
        <f>K32-L32</f>
        <v>-15290</v>
      </c>
    </row>
    <row r="33" spans="1:13" x14ac:dyDescent="0.2">
      <c r="A33" s="230" t="s">
        <v>154</v>
      </c>
      <c r="B33" s="270"/>
      <c r="C33" s="235">
        <f>GrossMargin!I40</f>
        <v>-21391</v>
      </c>
      <c r="D33" s="41">
        <f>GrossMargin!M40</f>
        <v>14705</v>
      </c>
      <c r="E33" s="236">
        <f>-D33+C33</f>
        <v>-36096</v>
      </c>
      <c r="F33" s="229"/>
      <c r="G33" s="235">
        <f>Expenses!D36+'CapChrg-AllocExp'!D37+'CapChrg-AllocExp'!K37</f>
        <v>10320</v>
      </c>
      <c r="H33" s="41">
        <f>Expenses!E36+'CapChrg-AllocExp'!E37+'CapChrg-AllocExp'!L37</f>
        <v>10399</v>
      </c>
      <c r="I33" s="236">
        <f>H33-G33</f>
        <v>79</v>
      </c>
      <c r="J33" s="229"/>
      <c r="K33" s="235">
        <f t="shared" si="8"/>
        <v>-31711</v>
      </c>
      <c r="L33" s="41">
        <f t="shared" si="8"/>
        <v>4306</v>
      </c>
      <c r="M33" s="236">
        <f>K33-L33</f>
        <v>-36017</v>
      </c>
    </row>
    <row r="34" spans="1:13" s="204" customFormat="1" ht="12" customHeight="1" x14ac:dyDescent="0.25">
      <c r="A34" s="261" t="s">
        <v>87</v>
      </c>
      <c r="B34" s="271"/>
      <c r="C34" s="262">
        <f>C31+C32+C33</f>
        <v>-46718</v>
      </c>
      <c r="D34" s="263">
        <f>D31+D32+D33</f>
        <v>46232</v>
      </c>
      <c r="E34" s="264">
        <f>SUM(E31:E33)</f>
        <v>-92950</v>
      </c>
      <c r="F34" s="275"/>
      <c r="G34" s="262">
        <f>G31+G32+G33</f>
        <v>18747</v>
      </c>
      <c r="H34" s="263">
        <f>H31+H32+H33</f>
        <v>21418</v>
      </c>
      <c r="I34" s="264">
        <f>SUM(I31:I33)</f>
        <v>2671</v>
      </c>
      <c r="J34" s="238"/>
      <c r="K34" s="262">
        <f>K31+K32+K33</f>
        <v>-65465</v>
      </c>
      <c r="L34" s="263">
        <f>L31+L32+L33</f>
        <v>24814</v>
      </c>
      <c r="M34" s="264">
        <f>SUM(M31:M33)</f>
        <v>-90279</v>
      </c>
    </row>
    <row r="35" spans="1:13" ht="12" customHeight="1" x14ac:dyDescent="0.2">
      <c r="A35" s="240"/>
      <c r="B35" s="270"/>
      <c r="C35" s="241"/>
      <c r="D35" s="104"/>
      <c r="E35" s="242"/>
      <c r="F35" s="274"/>
      <c r="G35" s="243"/>
      <c r="H35" s="104"/>
      <c r="I35" s="242"/>
      <c r="J35" s="237"/>
      <c r="K35" s="241"/>
      <c r="L35" s="104"/>
      <c r="M35" s="242"/>
    </row>
    <row r="36" spans="1:13" ht="12" customHeight="1" x14ac:dyDescent="0.2">
      <c r="A36" s="240" t="s">
        <v>8</v>
      </c>
      <c r="B36" s="270"/>
      <c r="C36" s="241">
        <f>GrossMargin!I44</f>
        <v>0</v>
      </c>
      <c r="D36" s="104">
        <f>GrossMargin!M44</f>
        <v>2500</v>
      </c>
      <c r="E36" s="242">
        <f>-D36+C36</f>
        <v>-2500</v>
      </c>
      <c r="F36" s="274"/>
      <c r="G36" s="241">
        <f>Expenses!D39+'CapChrg-AllocExp'!D40+'CapChrg-AllocExp'!K40</f>
        <v>8392</v>
      </c>
      <c r="H36" s="104">
        <f>Expenses!E39+'CapChrg-AllocExp'!E40+'CapChrg-AllocExp'!L40</f>
        <v>8392</v>
      </c>
      <c r="I36" s="242">
        <f>H36-G36</f>
        <v>0</v>
      </c>
      <c r="J36" s="237"/>
      <c r="K36" s="241">
        <f t="shared" ref="K36:L38" si="9">C36-G36</f>
        <v>-8392</v>
      </c>
      <c r="L36" s="104">
        <f t="shared" si="9"/>
        <v>-5892</v>
      </c>
      <c r="M36" s="242">
        <f>K36-L36</f>
        <v>-2500</v>
      </c>
    </row>
    <row r="37" spans="1:13" ht="12" customHeight="1" x14ac:dyDescent="0.2">
      <c r="A37" s="240" t="s">
        <v>7</v>
      </c>
      <c r="B37" s="270"/>
      <c r="C37" s="241">
        <f>GrossMargin!I46</f>
        <v>0</v>
      </c>
      <c r="D37" s="104">
        <f>GrossMargin!M46</f>
        <v>0</v>
      </c>
      <c r="E37" s="242">
        <f>-D37+C37</f>
        <v>0</v>
      </c>
      <c r="F37" s="274"/>
      <c r="G37" s="241">
        <f>Expenses!D41+'CapChrg-AllocExp'!D42+'CapChrg-AllocExp'!K42</f>
        <v>7428</v>
      </c>
      <c r="H37" s="104">
        <f>Expenses!E41+'CapChrg-AllocExp'!E42+'CapChrg-AllocExp'!L42</f>
        <v>6928</v>
      </c>
      <c r="I37" s="242">
        <f>H37-G37</f>
        <v>-500</v>
      </c>
      <c r="J37" s="237"/>
      <c r="K37" s="241">
        <f t="shared" si="9"/>
        <v>-7428</v>
      </c>
      <c r="L37" s="104">
        <f t="shared" si="9"/>
        <v>-6928</v>
      </c>
      <c r="M37" s="242">
        <f>K37-L37</f>
        <v>-500</v>
      </c>
    </row>
    <row r="38" spans="1:13" ht="12" customHeight="1" x14ac:dyDescent="0.2">
      <c r="A38" s="240" t="s">
        <v>19</v>
      </c>
      <c r="B38" s="270"/>
      <c r="C38" s="241">
        <f>GrossMargin!I50</f>
        <v>0</v>
      </c>
      <c r="D38" s="104">
        <f>GrossMargin!M50</f>
        <v>38074</v>
      </c>
      <c r="E38" s="242">
        <f>-D38+C38</f>
        <v>-38074</v>
      </c>
      <c r="F38" s="274"/>
      <c r="G38" s="241">
        <f>Expenses!D51+'CapChrg-AllocExp'!D52+'CapChrg-AllocExp'!K52</f>
        <v>0</v>
      </c>
      <c r="H38" s="104">
        <f>Expenses!E51+'CapChrg-AllocExp'!E52+'CapChrg-AllocExp'!L52</f>
        <v>0</v>
      </c>
      <c r="I38" s="242">
        <f>H38-G38</f>
        <v>0</v>
      </c>
      <c r="J38" s="237"/>
      <c r="K38" s="241">
        <f t="shared" si="9"/>
        <v>0</v>
      </c>
      <c r="L38" s="104">
        <f t="shared" si="9"/>
        <v>38074</v>
      </c>
      <c r="M38" s="242">
        <f>K38-L38</f>
        <v>-38074</v>
      </c>
    </row>
    <row r="39" spans="1:13" s="204" customFormat="1" ht="12" customHeight="1" x14ac:dyDescent="0.25">
      <c r="A39" s="261" t="s">
        <v>10</v>
      </c>
      <c r="B39" s="271"/>
      <c r="C39" s="262">
        <f>SUM(C34:C38)+C17+C24+C29</f>
        <v>-733</v>
      </c>
      <c r="D39" s="263">
        <f>SUM(D34:D38)+D17+D24+D29</f>
        <v>397054</v>
      </c>
      <c r="E39" s="264">
        <f>SUM(E34:E38)+E17+E24+E29</f>
        <v>-397787</v>
      </c>
      <c r="F39" s="275"/>
      <c r="G39" s="262">
        <f>SUM(G34:G38)+G17+G24+G29</f>
        <v>196165</v>
      </c>
      <c r="H39" s="263">
        <f>SUM(H34:H38)+H17+H24+H29</f>
        <v>197643</v>
      </c>
      <c r="I39" s="264">
        <f>SUM(I34:I38)+I17+I24+I29</f>
        <v>1478</v>
      </c>
      <c r="J39" s="238"/>
      <c r="K39" s="262">
        <f>SUM(K34:K38)+K17+K24+K29</f>
        <v>-196898</v>
      </c>
      <c r="L39" s="263">
        <f>SUM(L34:L38)+L17+L24+L29</f>
        <v>199411</v>
      </c>
      <c r="M39" s="264">
        <f>SUM(M34:M38)+M17+M24+M29</f>
        <v>-396309</v>
      </c>
    </row>
    <row r="40" spans="1:13" ht="12" customHeight="1" x14ac:dyDescent="0.2">
      <c r="A40" s="240"/>
      <c r="B40" s="270"/>
      <c r="C40" s="241"/>
      <c r="D40" s="104"/>
      <c r="E40" s="242"/>
      <c r="F40" s="274"/>
      <c r="G40" s="243"/>
      <c r="H40" s="104"/>
      <c r="I40" s="242"/>
      <c r="J40" s="237"/>
      <c r="K40" s="241"/>
      <c r="L40" s="104"/>
      <c r="M40" s="242"/>
    </row>
    <row r="41" spans="1:13" ht="12" customHeight="1" x14ac:dyDescent="0.2">
      <c r="A41" s="240" t="s">
        <v>265</v>
      </c>
      <c r="B41" s="270"/>
      <c r="C41" s="241">
        <v>0</v>
      </c>
      <c r="D41" s="104">
        <v>0</v>
      </c>
      <c r="E41" s="242">
        <f>-D41+C41</f>
        <v>0</v>
      </c>
      <c r="F41" s="274"/>
      <c r="G41" s="243">
        <v>0</v>
      </c>
      <c r="H41" s="104">
        <v>0</v>
      </c>
      <c r="I41" s="242">
        <f>H41-G41</f>
        <v>0</v>
      </c>
      <c r="J41" s="237"/>
      <c r="K41" s="241">
        <f t="shared" ref="K41:L44" si="10">C41-G41</f>
        <v>0</v>
      </c>
      <c r="L41" s="104">
        <f t="shared" si="10"/>
        <v>0</v>
      </c>
      <c r="M41" s="242">
        <f>K41-L41</f>
        <v>0</v>
      </c>
    </row>
    <row r="42" spans="1:13" ht="12" customHeight="1" x14ac:dyDescent="0.2">
      <c r="A42" s="240" t="s">
        <v>266</v>
      </c>
      <c r="B42" s="270"/>
      <c r="C42" s="241">
        <v>0</v>
      </c>
      <c r="D42" s="104">
        <v>0</v>
      </c>
      <c r="E42" s="242">
        <f>-D42+C42</f>
        <v>0</v>
      </c>
      <c r="F42" s="274"/>
      <c r="G42" s="241">
        <f>Expenses!D45+'CapChrg-AllocExp'!D48+'CapChrg-AllocExp'!K48</f>
        <v>17274</v>
      </c>
      <c r="H42" s="104">
        <f>Expenses!E45+'CapChrg-AllocExp'!E48+'CapChrg-AllocExp'!L48</f>
        <v>17274</v>
      </c>
      <c r="I42" s="242">
        <f>H42-G42</f>
        <v>0</v>
      </c>
      <c r="J42" s="237"/>
      <c r="K42" s="241">
        <f t="shared" si="10"/>
        <v>-17274</v>
      </c>
      <c r="L42" s="104">
        <f t="shared" si="10"/>
        <v>-17274</v>
      </c>
      <c r="M42" s="242">
        <f>K42-L42</f>
        <v>0</v>
      </c>
    </row>
    <row r="43" spans="1:13" ht="12" customHeight="1" x14ac:dyDescent="0.2">
      <c r="A43" s="240" t="s">
        <v>18</v>
      </c>
      <c r="B43" s="270"/>
      <c r="C43" s="241">
        <f>GrossMargin!I48</f>
        <v>-19367</v>
      </c>
      <c r="D43" s="104">
        <f>GrossMargin!M48</f>
        <v>-10795</v>
      </c>
      <c r="E43" s="242">
        <f>-D43+C43</f>
        <v>-8572</v>
      </c>
      <c r="F43" s="276"/>
      <c r="G43" s="241">
        <f>Expenses!D47</f>
        <v>26684</v>
      </c>
      <c r="H43" s="104">
        <f>Expenses!E47</f>
        <v>26684</v>
      </c>
      <c r="I43" s="242">
        <f>H43-G43</f>
        <v>0</v>
      </c>
      <c r="J43" s="237"/>
      <c r="K43" s="241">
        <f t="shared" si="10"/>
        <v>-46051</v>
      </c>
      <c r="L43" s="104">
        <f t="shared" si="10"/>
        <v>-37479</v>
      </c>
      <c r="M43" s="242">
        <f>K43-L43</f>
        <v>-8572</v>
      </c>
    </row>
    <row r="44" spans="1:13" ht="12" customHeight="1" x14ac:dyDescent="0.2">
      <c r="A44" s="240" t="s">
        <v>60</v>
      </c>
      <c r="B44" s="270"/>
      <c r="C44" s="241">
        <v>0</v>
      </c>
      <c r="D44" s="104">
        <v>0</v>
      </c>
      <c r="E44" s="242">
        <f>-D44+C44</f>
        <v>0</v>
      </c>
      <c r="F44" s="274"/>
      <c r="G44" s="241">
        <f>'CapChrg-AllocExp'!D44</f>
        <v>-39563</v>
      </c>
      <c r="H44" s="104">
        <f>'CapChrg-AllocExp'!E44</f>
        <v>-42940</v>
      </c>
      <c r="I44" s="242">
        <f>H44-G44</f>
        <v>-3377</v>
      </c>
      <c r="J44" s="237"/>
      <c r="K44" s="241">
        <f t="shared" si="10"/>
        <v>39563</v>
      </c>
      <c r="L44" s="104">
        <f t="shared" si="10"/>
        <v>42940</v>
      </c>
      <c r="M44" s="242">
        <f>K44-L44</f>
        <v>-3377</v>
      </c>
    </row>
    <row r="45" spans="1:13" s="204" customFormat="1" ht="12" customHeight="1" x14ac:dyDescent="0.25">
      <c r="A45" s="261" t="s">
        <v>65</v>
      </c>
      <c r="B45" s="271"/>
      <c r="C45" s="262">
        <f>SUM(C39:C44)</f>
        <v>-20100</v>
      </c>
      <c r="D45" s="263">
        <f>SUM(D39:D44)</f>
        <v>386259</v>
      </c>
      <c r="E45" s="265">
        <f>SUM(E39:E44)</f>
        <v>-406359</v>
      </c>
      <c r="F45" s="275"/>
      <c r="G45" s="262">
        <f>SUM(G39:G44)</f>
        <v>200560</v>
      </c>
      <c r="H45" s="263">
        <f>SUM(H39:H44)</f>
        <v>198661</v>
      </c>
      <c r="I45" s="265">
        <f>SUM(I39:I44)</f>
        <v>-1899</v>
      </c>
      <c r="J45" s="238"/>
      <c r="K45" s="262">
        <f>SUM(K39:K44)</f>
        <v>-220660</v>
      </c>
      <c r="L45" s="263">
        <f>SUM(L39:L44)</f>
        <v>187598</v>
      </c>
      <c r="M45" s="265">
        <f>SUM(M39:M44)</f>
        <v>-408258</v>
      </c>
    </row>
    <row r="46" spans="1:13" ht="12" customHeight="1" thickBot="1" x14ac:dyDescent="0.25">
      <c r="A46" s="240" t="s">
        <v>150</v>
      </c>
      <c r="B46" s="270"/>
      <c r="C46" s="241">
        <v>0</v>
      </c>
      <c r="D46" s="104">
        <v>0</v>
      </c>
      <c r="E46" s="242">
        <f>D46-C46</f>
        <v>0</v>
      </c>
      <c r="F46" s="274"/>
      <c r="G46" s="241">
        <f>'Old Mgmt Summary'!M53</f>
        <v>8600</v>
      </c>
      <c r="H46" s="104">
        <f>'Old Mgmt Summary'!D53</f>
        <v>8600</v>
      </c>
      <c r="I46" s="242">
        <f>H46-G46</f>
        <v>0</v>
      </c>
      <c r="J46" s="237"/>
      <c r="K46" s="241">
        <f>C46-G46</f>
        <v>-8600</v>
      </c>
      <c r="L46" s="104">
        <f>D46-H46</f>
        <v>-8600</v>
      </c>
      <c r="M46" s="242">
        <f>K46-L46</f>
        <v>0</v>
      </c>
    </row>
    <row r="47" spans="1:13" s="204" customFormat="1" ht="12" customHeight="1" thickBot="1" x14ac:dyDescent="0.3">
      <c r="A47" s="287" t="s">
        <v>66</v>
      </c>
      <c r="B47" s="288"/>
      <c r="C47" s="289">
        <f>SUM(C45:C46)</f>
        <v>-20100</v>
      </c>
      <c r="D47" s="290">
        <f>SUM(D45:D46)</f>
        <v>386259</v>
      </c>
      <c r="E47" s="291">
        <f>SUM(E45:E46)</f>
        <v>-406359</v>
      </c>
      <c r="F47" s="292"/>
      <c r="G47" s="289">
        <f>SUM(G45:G46)</f>
        <v>209160</v>
      </c>
      <c r="H47" s="290">
        <f>SUM(H45:H46)</f>
        <v>207261</v>
      </c>
      <c r="I47" s="291">
        <f>SUM(I45:I46)</f>
        <v>-1899</v>
      </c>
      <c r="J47" s="292"/>
      <c r="K47" s="289">
        <f>SUM(K45:K46)</f>
        <v>-229260</v>
      </c>
      <c r="L47" s="290">
        <f>SUM(L45:L46)</f>
        <v>178998</v>
      </c>
      <c r="M47" s="291">
        <f>SUM(M45:M46)</f>
        <v>-408258</v>
      </c>
    </row>
    <row r="48" spans="1:13" ht="3" customHeight="1" x14ac:dyDescent="0.3">
      <c r="A48" s="185"/>
      <c r="C48" s="186"/>
      <c r="D48" s="42"/>
      <c r="E48" s="185"/>
      <c r="F48" s="44"/>
      <c r="I48" s="177"/>
    </row>
    <row r="49" spans="1:8" x14ac:dyDescent="0.2">
      <c r="A49" s="177" t="s">
        <v>149</v>
      </c>
      <c r="C49" s="44"/>
      <c r="D49" s="42"/>
      <c r="E49" s="44"/>
      <c r="F49" s="44"/>
    </row>
    <row r="50" spans="1:8" ht="13.5" customHeight="1" x14ac:dyDescent="0.2">
      <c r="D50" s="38"/>
      <c r="E50" s="38"/>
      <c r="F50" s="38"/>
      <c r="G50" s="38"/>
      <c r="H50" s="38"/>
    </row>
    <row r="51" spans="1:8" ht="13.8" x14ac:dyDescent="0.3">
      <c r="A51" s="266" t="s">
        <v>254</v>
      </c>
      <c r="B51" s="310">
        <v>36623</v>
      </c>
      <c r="C51" s="311"/>
    </row>
    <row r="52" spans="1:8" ht="13.8" x14ac:dyDescent="0.3">
      <c r="A52" s="277" t="s">
        <v>263</v>
      </c>
      <c r="B52" s="278"/>
      <c r="C52" s="279">
        <f>[1]web_summary!$C$62</f>
        <v>-8488</v>
      </c>
    </row>
    <row r="53" spans="1:8" x14ac:dyDescent="0.2">
      <c r="A53" s="244" t="s">
        <v>182</v>
      </c>
      <c r="B53" s="205"/>
      <c r="C53" s="66">
        <f>'GM-WklyChnge'!C51</f>
        <v>26916</v>
      </c>
    </row>
    <row r="54" spans="1:8" x14ac:dyDescent="0.2">
      <c r="A54" s="244" t="s">
        <v>136</v>
      </c>
      <c r="B54" s="205"/>
      <c r="C54" s="66">
        <f>'GM-WklyChnge'!D51</f>
        <v>-30391</v>
      </c>
    </row>
    <row r="55" spans="1:8" x14ac:dyDescent="0.2">
      <c r="A55" s="245" t="s">
        <v>183</v>
      </c>
      <c r="B55" s="246"/>
      <c r="C55" s="247">
        <f>'GM-WklyChnge'!E51+'GM-WklyChnge'!F51+'GM-WklyChnge'!G51</f>
        <v>-8137</v>
      </c>
    </row>
    <row r="56" spans="1:8" ht="13.8" x14ac:dyDescent="0.3">
      <c r="A56" s="248" t="s">
        <v>184</v>
      </c>
      <c r="B56" s="249"/>
      <c r="C56" s="303">
        <f>SUM(C53:C55)</f>
        <v>-11612</v>
      </c>
    </row>
    <row r="57" spans="1:8" ht="13.8" x14ac:dyDescent="0.3">
      <c r="A57" s="266" t="s">
        <v>264</v>
      </c>
      <c r="B57" s="267"/>
      <c r="C57" s="268">
        <f>C52+C53+C54+C55</f>
        <v>-20100</v>
      </c>
    </row>
  </sheetData>
  <mergeCells count="4">
    <mergeCell ref="C5:E5"/>
    <mergeCell ref="G5:I5"/>
    <mergeCell ref="K5:M5"/>
    <mergeCell ref="B51:C51"/>
  </mergeCells>
  <printOptions horizontalCentered="1" verticalCentered="1"/>
  <pageMargins left="0.17" right="0.25" top="0.17" bottom="0.28000000000000003" header="0.17" footer="0.26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ColWidth="9.109375" defaultRowHeight="13.8" x14ac:dyDescent="0.3"/>
  <cols>
    <col min="1" max="1" width="1.6640625" style="85" customWidth="1"/>
    <col min="2" max="2" width="19.6640625" style="85" customWidth="1"/>
    <col min="3" max="3" width="10.6640625" style="85" customWidth="1"/>
    <col min="4" max="4" width="1.6640625" style="85" customWidth="1"/>
    <col min="5" max="5" width="8.6640625" style="85" customWidth="1"/>
    <col min="6" max="6" width="1.6640625" style="85" customWidth="1"/>
    <col min="7" max="7" width="8.6640625" style="85" customWidth="1"/>
    <col min="8" max="8" width="1.6640625" style="85" customWidth="1"/>
    <col min="9" max="9" width="8.6640625" style="85" customWidth="1"/>
    <col min="10" max="10" width="1.6640625" style="85" customWidth="1"/>
    <col min="11" max="11" width="8.6640625" style="85" customWidth="1"/>
    <col min="12" max="12" width="1.6640625" style="85" customWidth="1"/>
    <col min="13" max="13" width="8.6640625" style="85" customWidth="1"/>
    <col min="14" max="14" width="9.109375" style="150"/>
    <col min="15" max="15" width="9.109375" style="170"/>
    <col min="16" max="24" width="9.109375" style="150"/>
    <col min="25" max="16384" width="9.109375" style="85"/>
  </cols>
  <sheetData>
    <row r="1" spans="1:24" ht="15.6" x14ac:dyDescent="0.3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147"/>
      <c r="O1" s="16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4.4" x14ac:dyDescent="0.3">
      <c r="A2" s="313" t="s">
        <v>158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148"/>
      <c r="O2" s="16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3">
      <c r="A3" s="314" t="str">
        <f>'Old Mgmt Summary'!A3</f>
        <v>Results based on Activity through April 14, 2000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149"/>
      <c r="O3" s="16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3" customHeight="1" x14ac:dyDescent="0.3"/>
    <row r="5" spans="1:24" s="27" customFormat="1" ht="10.199999999999999" x14ac:dyDescent="0.2">
      <c r="A5" s="151" t="s">
        <v>94</v>
      </c>
      <c r="B5" s="152"/>
      <c r="C5" s="152"/>
      <c r="D5" s="152"/>
      <c r="E5" s="145" t="s">
        <v>95</v>
      </c>
      <c r="F5" s="152"/>
      <c r="G5" s="145" t="s">
        <v>96</v>
      </c>
      <c r="H5" s="152"/>
      <c r="I5" s="145" t="s">
        <v>97</v>
      </c>
      <c r="J5" s="152"/>
      <c r="K5" s="145" t="s">
        <v>98</v>
      </c>
      <c r="L5" s="152"/>
      <c r="M5" s="146" t="s">
        <v>14</v>
      </c>
      <c r="N5" s="153"/>
      <c r="O5" s="171"/>
      <c r="P5" s="153"/>
      <c r="Q5" s="153"/>
      <c r="R5" s="153"/>
      <c r="S5" s="173" t="s">
        <v>115</v>
      </c>
      <c r="T5" s="153"/>
      <c r="U5" s="153"/>
      <c r="V5" s="153"/>
      <c r="W5" s="153"/>
      <c r="X5" s="153"/>
    </row>
    <row r="6" spans="1:24" s="27" customFormat="1" ht="3" customHeight="1" x14ac:dyDescent="0.2">
      <c r="N6" s="153"/>
      <c r="O6" s="172"/>
      <c r="P6" s="153"/>
      <c r="Q6" s="153"/>
      <c r="R6" s="153"/>
      <c r="S6" s="153"/>
      <c r="T6" s="153"/>
      <c r="U6" s="153"/>
      <c r="V6" s="153"/>
      <c r="W6" s="153"/>
      <c r="X6" s="153"/>
    </row>
    <row r="7" spans="1:24" s="27" customFormat="1" ht="10.199999999999999" x14ac:dyDescent="0.2">
      <c r="A7" s="154" t="s">
        <v>114</v>
      </c>
      <c r="N7" s="153"/>
      <c r="O7" s="172"/>
      <c r="P7" s="153"/>
      <c r="Q7" s="153"/>
      <c r="R7" s="153"/>
      <c r="S7" s="153"/>
      <c r="T7" s="153"/>
      <c r="U7" s="153"/>
      <c r="V7" s="153"/>
      <c r="W7" s="153"/>
      <c r="X7" s="153"/>
    </row>
    <row r="8" spans="1:24" s="27" customFormat="1" ht="10.199999999999999" x14ac:dyDescent="0.2">
      <c r="A8" s="154"/>
      <c r="N8" s="153"/>
      <c r="O8" s="172"/>
      <c r="P8" s="153"/>
      <c r="Q8" s="153"/>
      <c r="R8" s="153"/>
      <c r="S8" s="153"/>
      <c r="T8" s="153"/>
      <c r="U8" s="153"/>
      <c r="V8" s="153"/>
      <c r="W8" s="153"/>
      <c r="X8" s="153"/>
    </row>
    <row r="9" spans="1:24" s="27" customFormat="1" ht="10.199999999999999" x14ac:dyDescent="0.2">
      <c r="E9" s="44"/>
      <c r="F9" s="44"/>
      <c r="G9" s="44"/>
      <c r="H9" s="44"/>
      <c r="I9" s="44"/>
      <c r="J9" s="44"/>
      <c r="K9" s="44"/>
      <c r="L9" s="44"/>
      <c r="M9" s="155"/>
      <c r="N9" s="153"/>
      <c r="O9" s="172"/>
      <c r="P9" s="153"/>
      <c r="Q9" s="153"/>
      <c r="R9" s="153"/>
      <c r="S9" s="153"/>
      <c r="T9" s="153"/>
      <c r="U9" s="153"/>
      <c r="V9" s="153"/>
      <c r="W9" s="153"/>
      <c r="X9" s="153"/>
    </row>
    <row r="10" spans="1:24" s="27" customFormat="1" ht="10.199999999999999" x14ac:dyDescent="0.2">
      <c r="A10" s="156"/>
      <c r="B10" s="156"/>
      <c r="C10" s="156"/>
      <c r="D10" s="156"/>
      <c r="E10" s="157">
        <f>SUM(E8:E9)</f>
        <v>0</v>
      </c>
      <c r="F10" s="158"/>
      <c r="G10" s="157">
        <f>SUM(G8:G9)</f>
        <v>0</v>
      </c>
      <c r="H10" s="158"/>
      <c r="I10" s="157">
        <f>SUM(I8:I9)</f>
        <v>0</v>
      </c>
      <c r="J10" s="158"/>
      <c r="K10" s="157">
        <f>SUM(K8:K9)</f>
        <v>0</v>
      </c>
      <c r="L10" s="158"/>
      <c r="M10" s="157">
        <f>SUM(E10:K10)</f>
        <v>0</v>
      </c>
      <c r="N10" s="153"/>
      <c r="O10" s="172"/>
      <c r="P10" s="153"/>
      <c r="Q10" s="153"/>
      <c r="R10" s="153"/>
      <c r="S10" s="153"/>
      <c r="T10" s="153"/>
      <c r="U10" s="153"/>
      <c r="V10" s="153"/>
      <c r="W10" s="153"/>
      <c r="X10" s="153"/>
    </row>
    <row r="11" spans="1:24" s="27" customFormat="1" ht="10.199999999999999" x14ac:dyDescent="0.2">
      <c r="A11" s="154" t="s">
        <v>5</v>
      </c>
      <c r="N11" s="153"/>
      <c r="O11" s="172"/>
      <c r="P11" s="153"/>
      <c r="Q11" s="153"/>
      <c r="R11" s="153"/>
      <c r="S11" s="153"/>
      <c r="T11" s="153"/>
      <c r="U11" s="153"/>
      <c r="V11" s="153"/>
      <c r="W11" s="153"/>
      <c r="X11" s="153"/>
    </row>
    <row r="12" spans="1:24" s="27" customFormat="1" ht="10.199999999999999" x14ac:dyDescent="0.2">
      <c r="A12" s="154"/>
      <c r="B12" s="27" t="s">
        <v>185</v>
      </c>
      <c r="C12" s="27" t="s">
        <v>186</v>
      </c>
      <c r="I12" s="44">
        <v>2000</v>
      </c>
      <c r="N12" s="153"/>
      <c r="O12" s="172"/>
      <c r="P12" s="153"/>
      <c r="Q12" s="153"/>
      <c r="R12" s="153"/>
      <c r="S12" s="153"/>
      <c r="T12" s="153"/>
      <c r="U12" s="153"/>
      <c r="V12" s="153"/>
      <c r="W12" s="153"/>
      <c r="X12" s="153"/>
    </row>
    <row r="13" spans="1:24" s="27" customFormat="1" ht="10.199999999999999" x14ac:dyDescent="0.2">
      <c r="A13" s="154"/>
      <c r="B13" s="27" t="s">
        <v>187</v>
      </c>
      <c r="C13" s="27" t="s">
        <v>186</v>
      </c>
      <c r="I13" s="44">
        <v>2000</v>
      </c>
      <c r="N13" s="153"/>
      <c r="O13" s="172"/>
      <c r="P13" s="153"/>
      <c r="Q13" s="153"/>
      <c r="R13" s="153"/>
      <c r="S13" s="153"/>
      <c r="T13" s="153"/>
      <c r="U13" s="153"/>
      <c r="V13" s="153"/>
      <c r="W13" s="153"/>
      <c r="X13" s="153"/>
    </row>
    <row r="14" spans="1:24" s="27" customFormat="1" ht="10.199999999999999" x14ac:dyDescent="0.2">
      <c r="A14" s="154"/>
      <c r="B14" s="27" t="s">
        <v>188</v>
      </c>
      <c r="C14" s="27" t="s">
        <v>189</v>
      </c>
      <c r="I14" s="44">
        <v>1000</v>
      </c>
      <c r="N14" s="153"/>
      <c r="O14" s="172"/>
      <c r="P14" s="153"/>
      <c r="Q14" s="153"/>
      <c r="R14" s="153"/>
      <c r="S14" s="153"/>
      <c r="T14" s="153"/>
      <c r="U14" s="153"/>
      <c r="V14" s="153"/>
      <c r="W14" s="153"/>
      <c r="X14" s="153"/>
    </row>
    <row r="15" spans="1:24" s="27" customFormat="1" ht="10.199999999999999" x14ac:dyDescent="0.2">
      <c r="A15" s="154"/>
      <c r="B15" s="27" t="s">
        <v>190</v>
      </c>
      <c r="C15" s="27" t="s">
        <v>191</v>
      </c>
      <c r="I15" s="44">
        <v>2000</v>
      </c>
      <c r="N15" s="153"/>
      <c r="O15" s="172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 s="27" customFormat="1" ht="10.199999999999999" x14ac:dyDescent="0.2">
      <c r="A16" s="156"/>
      <c r="B16" s="156"/>
      <c r="C16" s="156"/>
      <c r="D16" s="156"/>
      <c r="E16" s="157">
        <f>SUM(E12:E15)</f>
        <v>0</v>
      </c>
      <c r="F16" s="158"/>
      <c r="G16" s="157">
        <f>SUM(G12:G15)</f>
        <v>0</v>
      </c>
      <c r="H16" s="158"/>
      <c r="I16" s="157">
        <f>SUM(I12:I15)</f>
        <v>7000</v>
      </c>
      <c r="J16" s="158"/>
      <c r="K16" s="157">
        <f>SUM(K12:K15)</f>
        <v>0</v>
      </c>
      <c r="L16" s="158"/>
      <c r="M16" s="157">
        <f>SUM(E16:K16)</f>
        <v>7000</v>
      </c>
      <c r="N16" s="153"/>
      <c r="O16" s="172"/>
      <c r="P16" s="153"/>
      <c r="Q16" s="153"/>
      <c r="R16" s="153"/>
      <c r="S16" s="153"/>
      <c r="T16" s="153"/>
      <c r="U16" s="153"/>
      <c r="V16" s="153"/>
      <c r="W16" s="153"/>
      <c r="X16" s="153"/>
    </row>
    <row r="17" spans="1:24" s="27" customFormat="1" ht="10.199999999999999" x14ac:dyDescent="0.2">
      <c r="A17" s="154" t="s">
        <v>156</v>
      </c>
      <c r="N17" s="153"/>
      <c r="O17" s="172"/>
      <c r="P17" s="153"/>
      <c r="Q17" s="153"/>
      <c r="R17" s="153"/>
      <c r="S17" s="153"/>
      <c r="T17" s="153"/>
      <c r="U17" s="153"/>
      <c r="V17" s="153"/>
      <c r="W17" s="153"/>
      <c r="X17" s="153"/>
    </row>
    <row r="18" spans="1:24" s="27" customFormat="1" ht="10.199999999999999" x14ac:dyDescent="0.2">
      <c r="A18" s="154"/>
      <c r="B18" s="27" t="s">
        <v>250</v>
      </c>
      <c r="C18" s="27" t="s">
        <v>251</v>
      </c>
      <c r="G18" s="44">
        <v>1000</v>
      </c>
      <c r="N18" s="153"/>
      <c r="O18" s="172"/>
      <c r="P18" s="153"/>
      <c r="Q18" s="153"/>
      <c r="R18" s="153"/>
      <c r="S18" s="153"/>
      <c r="T18" s="153"/>
      <c r="U18" s="153"/>
      <c r="V18" s="153"/>
      <c r="W18" s="153"/>
      <c r="X18" s="153"/>
    </row>
    <row r="19" spans="1:24" s="27" customFormat="1" ht="10.199999999999999" x14ac:dyDescent="0.2">
      <c r="A19" s="154"/>
      <c r="G19" s="44"/>
      <c r="I19" s="44"/>
      <c r="N19" s="153"/>
      <c r="O19" s="172"/>
      <c r="P19" s="153"/>
      <c r="Q19" s="153"/>
      <c r="R19" s="153"/>
      <c r="S19" s="153"/>
      <c r="T19" s="153"/>
      <c r="U19" s="153"/>
      <c r="V19" s="153"/>
      <c r="W19" s="153"/>
      <c r="X19" s="153"/>
    </row>
    <row r="20" spans="1:24" s="27" customFormat="1" ht="10.199999999999999" x14ac:dyDescent="0.2">
      <c r="A20" s="156"/>
      <c r="B20" s="156"/>
      <c r="C20" s="156"/>
      <c r="D20" s="156"/>
      <c r="E20" s="157">
        <f>SUM(E18:E19)</f>
        <v>0</v>
      </c>
      <c r="F20" s="158"/>
      <c r="G20" s="157">
        <f>SUM(G18:G19)</f>
        <v>1000</v>
      </c>
      <c r="H20" s="158"/>
      <c r="I20" s="157">
        <f>SUM(I18:I19)</f>
        <v>0</v>
      </c>
      <c r="J20" s="158"/>
      <c r="K20" s="157">
        <f>SUM(K18:K19)</f>
        <v>0</v>
      </c>
      <c r="L20" s="158"/>
      <c r="M20" s="157">
        <f>SUM(E20:K20)</f>
        <v>1000</v>
      </c>
      <c r="N20" s="153"/>
      <c r="O20" s="172"/>
      <c r="P20" s="153"/>
      <c r="Q20" s="153"/>
      <c r="R20" s="153"/>
      <c r="S20" s="153"/>
      <c r="T20" s="153"/>
      <c r="U20" s="153"/>
      <c r="V20" s="153"/>
      <c r="W20" s="153"/>
      <c r="X20" s="153"/>
    </row>
    <row r="21" spans="1:24" s="27" customFormat="1" ht="12.75" customHeight="1" x14ac:dyDescent="0.2">
      <c r="A21" s="154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3"/>
      <c r="O21" s="172"/>
      <c r="P21" s="153"/>
      <c r="Q21" s="153"/>
      <c r="R21" s="153"/>
      <c r="S21" s="153"/>
      <c r="T21" s="153"/>
      <c r="U21" s="153"/>
      <c r="V21" s="153"/>
      <c r="W21" s="153"/>
      <c r="X21" s="153"/>
    </row>
    <row r="22" spans="1:24" s="27" customFormat="1" ht="12.75" customHeight="1" x14ac:dyDescent="0.2">
      <c r="A22" s="154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3"/>
      <c r="O22" s="172"/>
      <c r="P22" s="153"/>
      <c r="Q22" s="153"/>
      <c r="R22" s="153"/>
      <c r="S22" s="153" t="s">
        <v>122</v>
      </c>
      <c r="T22" s="153"/>
      <c r="U22" s="153"/>
      <c r="V22" s="153"/>
      <c r="W22" s="153"/>
      <c r="X22" s="153"/>
    </row>
    <row r="23" spans="1:24" s="27" customFormat="1" ht="12.75" customHeight="1" x14ac:dyDescent="0.2">
      <c r="E23" s="44"/>
      <c r="F23" s="44"/>
      <c r="G23" s="44"/>
      <c r="H23" s="44"/>
      <c r="I23" s="44"/>
      <c r="J23" s="44"/>
      <c r="K23" s="44"/>
      <c r="L23" s="44"/>
      <c r="M23" s="44"/>
      <c r="N23" s="153"/>
      <c r="O23" s="172"/>
      <c r="P23" s="153"/>
      <c r="Q23" s="153"/>
      <c r="R23" s="153"/>
      <c r="S23" s="153"/>
      <c r="T23" s="153"/>
      <c r="U23" s="153"/>
      <c r="V23" s="153"/>
      <c r="W23" s="153"/>
      <c r="X23" s="153"/>
    </row>
    <row r="24" spans="1:24" s="27" customFormat="1" ht="12.75" customHeight="1" x14ac:dyDescent="0.2">
      <c r="A24" s="156"/>
      <c r="B24" s="156"/>
      <c r="C24" s="156"/>
      <c r="D24" s="156"/>
      <c r="E24" s="157">
        <f>SUM(E22:E23)</f>
        <v>0</v>
      </c>
      <c r="F24" s="158"/>
      <c r="G24" s="157">
        <f>SUM(G22:G23)</f>
        <v>0</v>
      </c>
      <c r="H24" s="158"/>
      <c r="I24" s="157">
        <f>SUM(I22:I23)</f>
        <v>2000</v>
      </c>
      <c r="J24" s="158"/>
      <c r="K24" s="157">
        <f>SUM(K22:K23)</f>
        <v>0</v>
      </c>
      <c r="L24" s="158"/>
      <c r="M24" s="157">
        <f>SUM(E24:K24)</f>
        <v>2000</v>
      </c>
      <c r="N24" s="153"/>
      <c r="O24" s="172"/>
      <c r="P24" s="153"/>
      <c r="Q24" s="153"/>
      <c r="R24" s="153"/>
      <c r="S24" s="153"/>
      <c r="T24" s="153"/>
      <c r="U24" s="153"/>
      <c r="V24" s="153"/>
      <c r="W24" s="153"/>
      <c r="X24" s="153"/>
    </row>
    <row r="25" spans="1:24" s="27" customFormat="1" ht="10.199999999999999" x14ac:dyDescent="0.2">
      <c r="A25" s="154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3"/>
      <c r="O25" s="172"/>
      <c r="P25" s="153"/>
      <c r="Q25" s="153"/>
      <c r="R25" s="153"/>
      <c r="S25" s="153"/>
      <c r="T25" s="153"/>
      <c r="U25" s="153"/>
      <c r="V25" s="153"/>
      <c r="W25" s="153"/>
      <c r="X25" s="153"/>
    </row>
    <row r="26" spans="1:24" s="27" customFormat="1" ht="10.199999999999999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53"/>
      <c r="O26" s="172"/>
      <c r="P26" s="153"/>
      <c r="Q26" s="153"/>
      <c r="R26" s="153"/>
      <c r="S26" s="153"/>
      <c r="T26" s="153"/>
      <c r="U26" s="153"/>
      <c r="V26" s="153"/>
      <c r="W26" s="153"/>
      <c r="X26" s="153"/>
    </row>
    <row r="27" spans="1:24" s="27" customFormat="1" ht="10.199999999999999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53"/>
      <c r="O27" s="172"/>
      <c r="P27" s="153"/>
      <c r="Q27" s="153"/>
      <c r="R27" s="153"/>
      <c r="S27" s="153"/>
      <c r="T27" s="153"/>
      <c r="U27" s="153"/>
      <c r="V27" s="153"/>
      <c r="W27" s="153"/>
      <c r="X27" s="153"/>
    </row>
    <row r="28" spans="1:24" s="27" customFormat="1" ht="10.199999999999999" x14ac:dyDescent="0.2">
      <c r="A28" s="156"/>
      <c r="B28" s="156"/>
      <c r="C28" s="156"/>
      <c r="D28" s="156"/>
      <c r="E28" s="157">
        <f>SUM(E26:E27)</f>
        <v>0</v>
      </c>
      <c r="F28" s="158"/>
      <c r="G28" s="157">
        <f>SUM(G26:G27)</f>
        <v>0</v>
      </c>
      <c r="H28" s="158"/>
      <c r="I28" s="157">
        <f>SUM(I26:I27)</f>
        <v>0</v>
      </c>
      <c r="J28" s="158"/>
      <c r="K28" s="157">
        <f>SUM(K26:K27)</f>
        <v>0</v>
      </c>
      <c r="L28" s="158"/>
      <c r="M28" s="157">
        <f>SUM(E28:K28)</f>
        <v>0</v>
      </c>
      <c r="N28" s="153"/>
      <c r="O28" s="172"/>
      <c r="P28" s="153"/>
      <c r="Q28" s="153"/>
      <c r="R28" s="153"/>
      <c r="S28" s="153"/>
      <c r="T28" s="153"/>
      <c r="U28" s="153"/>
      <c r="V28" s="153"/>
      <c r="W28" s="153"/>
      <c r="X28" s="153"/>
    </row>
    <row r="29" spans="1:24" s="27" customFormat="1" ht="10.199999999999999" x14ac:dyDescent="0.2">
      <c r="A29" s="154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3"/>
      <c r="O29" s="172"/>
      <c r="P29" s="153"/>
      <c r="Q29" s="153"/>
      <c r="R29" s="153"/>
      <c r="S29" s="153"/>
      <c r="T29" s="153"/>
      <c r="U29" s="153"/>
      <c r="V29" s="153"/>
      <c r="W29" s="153"/>
      <c r="X29" s="153"/>
    </row>
    <row r="30" spans="1:24" s="27" customFormat="1" ht="10.199999999999999" x14ac:dyDescent="0.2">
      <c r="A30" s="154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3"/>
      <c r="O30" s="172"/>
      <c r="P30" s="153"/>
      <c r="Q30" s="153"/>
      <c r="R30" s="153"/>
      <c r="S30" s="153" t="s">
        <v>124</v>
      </c>
      <c r="T30" s="153"/>
      <c r="U30" s="153"/>
      <c r="V30" s="153"/>
      <c r="W30" s="153"/>
      <c r="X30" s="153"/>
    </row>
    <row r="31" spans="1:24" s="27" customFormat="1" ht="10.199999999999999" x14ac:dyDescent="0.2">
      <c r="A31" s="154"/>
      <c r="B31" s="27" t="s">
        <v>199</v>
      </c>
      <c r="C31" s="27" t="s">
        <v>200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3"/>
      <c r="O31" s="172"/>
      <c r="P31" s="153"/>
      <c r="Q31" s="153"/>
      <c r="R31" s="153"/>
      <c r="S31" s="153"/>
      <c r="T31" s="153"/>
      <c r="U31" s="153"/>
      <c r="V31" s="153"/>
      <c r="W31" s="153"/>
      <c r="X31" s="153"/>
    </row>
    <row r="32" spans="1:24" s="27" customFormat="1" ht="10.199999999999999" x14ac:dyDescent="0.2">
      <c r="A32" s="154"/>
      <c r="B32" s="27" t="s">
        <v>201</v>
      </c>
      <c r="C32" s="27" t="s">
        <v>202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3"/>
      <c r="O32" s="172"/>
      <c r="P32" s="153"/>
      <c r="Q32" s="153"/>
      <c r="R32" s="153"/>
      <c r="S32" s="153"/>
      <c r="T32" s="153"/>
      <c r="U32" s="153"/>
      <c r="V32" s="153"/>
      <c r="W32" s="153"/>
      <c r="X32" s="153"/>
    </row>
    <row r="33" spans="1:24" s="27" customFormat="1" ht="10.199999999999999" x14ac:dyDescent="0.2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3"/>
      <c r="O33" s="172"/>
      <c r="P33" s="153"/>
      <c r="Q33" s="153"/>
      <c r="R33" s="153"/>
      <c r="S33" s="153"/>
      <c r="T33" s="153"/>
      <c r="U33" s="153"/>
      <c r="V33" s="153"/>
      <c r="W33" s="153"/>
      <c r="X33" s="153"/>
    </row>
    <row r="34" spans="1:24" s="27" customFormat="1" ht="10.199999999999999" x14ac:dyDescent="0.2">
      <c r="A34" s="156"/>
      <c r="B34" s="156"/>
      <c r="C34" s="156"/>
      <c r="D34" s="156"/>
      <c r="E34" s="157">
        <f>SUM(E30:E33)</f>
        <v>0</v>
      </c>
      <c r="F34" s="158"/>
      <c r="G34" s="157">
        <f>SUM(G30:G33)</f>
        <v>50</v>
      </c>
      <c r="H34" s="158"/>
      <c r="I34" s="157">
        <f>SUM(I30:I33)</f>
        <v>16000</v>
      </c>
      <c r="J34" s="158"/>
      <c r="K34" s="157">
        <f>SUM(K30:K33)</f>
        <v>0</v>
      </c>
      <c r="L34" s="158"/>
      <c r="M34" s="157">
        <f>SUM(E34:K34)</f>
        <v>16050</v>
      </c>
      <c r="N34" s="153"/>
      <c r="O34" s="172"/>
      <c r="P34" s="153"/>
      <c r="Q34" s="153"/>
      <c r="R34" s="153"/>
      <c r="S34" s="153"/>
      <c r="T34" s="153"/>
      <c r="U34" s="153"/>
      <c r="V34" s="153"/>
      <c r="W34" s="153"/>
      <c r="X34" s="153"/>
    </row>
    <row r="35" spans="1:24" s="27" customFormat="1" ht="10.199999999999999" x14ac:dyDescent="0.2">
      <c r="A35" s="154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3"/>
      <c r="O35" s="172"/>
      <c r="P35" s="153"/>
      <c r="Q35" s="153"/>
      <c r="R35" s="153"/>
      <c r="S35" s="153"/>
      <c r="T35" s="153"/>
      <c r="U35" s="153"/>
      <c r="V35" s="153"/>
      <c r="W35" s="153"/>
      <c r="X35" s="153"/>
    </row>
    <row r="36" spans="1:24" s="27" customFormat="1" ht="10.199999999999999" x14ac:dyDescent="0.2">
      <c r="A36" s="154"/>
      <c r="E36" s="44"/>
      <c r="F36" s="44"/>
      <c r="G36" s="44"/>
      <c r="H36" s="44"/>
      <c r="I36" s="44"/>
      <c r="J36" s="44"/>
      <c r="K36" s="44"/>
      <c r="L36" s="44"/>
      <c r="M36" s="44"/>
      <c r="N36" s="153"/>
      <c r="O36" s="172"/>
      <c r="P36" s="153"/>
      <c r="Q36" s="153"/>
      <c r="R36" s="153"/>
      <c r="S36" s="153"/>
      <c r="T36" s="153"/>
      <c r="U36" s="153"/>
      <c r="V36" s="153"/>
      <c r="W36" s="153"/>
      <c r="X36" s="153"/>
    </row>
    <row r="37" spans="1:24" s="27" customFormat="1" ht="10.199999999999999" x14ac:dyDescent="0.2">
      <c r="E37" s="44"/>
      <c r="F37" s="44"/>
      <c r="G37" s="44"/>
      <c r="H37" s="44"/>
      <c r="I37" s="44"/>
      <c r="J37" s="44"/>
      <c r="K37" s="44"/>
      <c r="L37" s="44"/>
      <c r="M37" s="44"/>
      <c r="N37" s="153"/>
      <c r="O37" s="172"/>
      <c r="P37" s="153"/>
      <c r="Q37" s="153"/>
      <c r="R37" s="153"/>
      <c r="S37" s="153"/>
      <c r="T37" s="153"/>
      <c r="U37" s="153"/>
      <c r="V37" s="153"/>
      <c r="W37" s="153"/>
      <c r="X37" s="153"/>
    </row>
    <row r="38" spans="1:24" s="27" customFormat="1" ht="10.199999999999999" x14ac:dyDescent="0.2">
      <c r="A38" s="156"/>
      <c r="B38" s="156"/>
      <c r="C38" s="156"/>
      <c r="D38" s="156"/>
      <c r="E38" s="157">
        <f>SUM(E36:E37)</f>
        <v>0</v>
      </c>
      <c r="F38" s="158"/>
      <c r="G38" s="157">
        <f>SUM(G36:G37)</f>
        <v>0</v>
      </c>
      <c r="H38" s="158"/>
      <c r="I38" s="157">
        <f>SUM(I36:I37)</f>
        <v>0</v>
      </c>
      <c r="J38" s="158"/>
      <c r="K38" s="157">
        <f>SUM(K36:K37)</f>
        <v>0</v>
      </c>
      <c r="L38" s="158"/>
      <c r="M38" s="157">
        <f>SUM(E38:K38)</f>
        <v>0</v>
      </c>
      <c r="N38" s="153"/>
      <c r="O38" s="172"/>
      <c r="P38" s="153"/>
      <c r="Q38" s="153"/>
      <c r="R38" s="153"/>
      <c r="S38" s="153"/>
      <c r="T38" s="153"/>
      <c r="U38" s="153"/>
      <c r="V38" s="153"/>
      <c r="W38" s="153"/>
      <c r="X38" s="153"/>
    </row>
    <row r="39" spans="1:24" s="27" customFormat="1" ht="10.199999999999999" x14ac:dyDescent="0.2">
      <c r="A39" s="154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3"/>
      <c r="O39" s="172"/>
      <c r="P39" s="153"/>
      <c r="Q39" s="153"/>
      <c r="R39" s="153"/>
      <c r="S39" s="153"/>
      <c r="T39" s="153"/>
      <c r="U39" s="153"/>
      <c r="V39" s="153"/>
      <c r="W39" s="153"/>
      <c r="X39" s="153"/>
    </row>
    <row r="40" spans="1:24" s="27" customFormat="1" ht="10.199999999999999" x14ac:dyDescent="0.2">
      <c r="A40" s="154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3"/>
      <c r="O40" s="172"/>
      <c r="P40" s="153"/>
      <c r="Q40" s="153"/>
      <c r="R40" s="153"/>
      <c r="S40" s="153"/>
      <c r="T40" s="153"/>
      <c r="U40" s="153"/>
      <c r="V40" s="153"/>
      <c r="W40" s="153"/>
      <c r="X40" s="153"/>
    </row>
    <row r="41" spans="1:24" s="27" customFormat="1" ht="10.199999999999999" x14ac:dyDescent="0.2">
      <c r="A41" s="154"/>
      <c r="E41" s="44"/>
      <c r="F41" s="44"/>
      <c r="G41" s="44"/>
      <c r="H41" s="44"/>
      <c r="I41" s="44"/>
      <c r="J41" s="44"/>
      <c r="K41" s="44"/>
      <c r="L41" s="44"/>
      <c r="M41" s="44"/>
      <c r="N41" s="153"/>
      <c r="O41" s="172"/>
      <c r="P41" s="153"/>
      <c r="Q41" s="153"/>
      <c r="R41" s="153"/>
      <c r="S41" s="153"/>
      <c r="T41" s="153"/>
      <c r="U41" s="153"/>
      <c r="V41" s="153"/>
      <c r="W41" s="153"/>
      <c r="X41" s="153"/>
    </row>
    <row r="42" spans="1:24" s="27" customFormat="1" ht="10.199999999999999" x14ac:dyDescent="0.2">
      <c r="A42" s="156"/>
      <c r="B42" s="156"/>
      <c r="C42" s="156"/>
      <c r="D42" s="156"/>
      <c r="E42" s="157">
        <f>SUM(E40:E41)</f>
        <v>0</v>
      </c>
      <c r="F42" s="158"/>
      <c r="G42" s="157">
        <f>SUM(G40:G41)</f>
        <v>0</v>
      </c>
      <c r="H42" s="158"/>
      <c r="I42" s="157">
        <f>SUM(I40:I41)</f>
        <v>850</v>
      </c>
      <c r="J42" s="158"/>
      <c r="K42" s="157">
        <f>SUM(K40:K41)</f>
        <v>0</v>
      </c>
      <c r="L42" s="158"/>
      <c r="M42" s="157">
        <f>SUM(E42:K42)</f>
        <v>850</v>
      </c>
      <c r="N42" s="153"/>
      <c r="O42" s="172"/>
      <c r="P42" s="153"/>
      <c r="Q42" s="153"/>
      <c r="R42" s="153"/>
      <c r="S42" s="153"/>
      <c r="T42" s="153"/>
      <c r="U42" s="153"/>
      <c r="V42" s="153"/>
      <c r="W42" s="153"/>
      <c r="X42" s="153"/>
    </row>
    <row r="43" spans="1:24" s="27" customFormat="1" ht="10.199999999999999" x14ac:dyDescent="0.2">
      <c r="A43" s="154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3"/>
      <c r="O43" s="172"/>
      <c r="P43" s="153"/>
      <c r="Q43" s="153"/>
      <c r="R43" s="153"/>
      <c r="S43" s="153"/>
      <c r="T43" s="153"/>
      <c r="U43" s="153"/>
      <c r="V43" s="153"/>
      <c r="W43" s="153"/>
      <c r="X43" s="153"/>
    </row>
    <row r="44" spans="1:24" s="27" customFormat="1" ht="10.199999999999999" x14ac:dyDescent="0.2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3"/>
      <c r="O44" s="172"/>
      <c r="P44" s="153"/>
      <c r="Q44" s="153"/>
      <c r="R44" s="153"/>
      <c r="S44" s="153" t="s">
        <v>116</v>
      </c>
      <c r="T44" s="153"/>
      <c r="U44" s="153"/>
      <c r="V44" s="153"/>
      <c r="W44" s="153"/>
      <c r="X44" s="153"/>
    </row>
    <row r="45" spans="1:24" s="27" customFormat="1" ht="10.199999999999999" x14ac:dyDescent="0.2">
      <c r="A45" s="38"/>
      <c r="B45" s="227" t="s">
        <v>221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3"/>
      <c r="O45" s="172"/>
      <c r="P45" s="153"/>
      <c r="Q45" s="153"/>
      <c r="R45" s="153"/>
      <c r="S45" s="153"/>
      <c r="T45" s="153"/>
      <c r="U45" s="153"/>
      <c r="V45" s="153"/>
      <c r="W45" s="153"/>
      <c r="X45" s="153"/>
    </row>
    <row r="46" spans="1:24" s="27" customFormat="1" ht="10.199999999999999" x14ac:dyDescent="0.2">
      <c r="A46" s="38"/>
      <c r="B46" s="227" t="s">
        <v>222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3"/>
      <c r="O46" s="172"/>
      <c r="P46" s="153"/>
      <c r="Q46" s="153"/>
      <c r="R46" s="153"/>
      <c r="S46" s="153"/>
      <c r="T46" s="153"/>
      <c r="U46" s="153"/>
      <c r="V46" s="153"/>
      <c r="W46" s="153"/>
      <c r="X46" s="153"/>
    </row>
    <row r="47" spans="1:24" s="27" customFormat="1" ht="10.199999999999999" x14ac:dyDescent="0.2">
      <c r="A47" s="38"/>
      <c r="B47" s="227" t="s">
        <v>223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3"/>
      <c r="O47" s="172"/>
      <c r="P47" s="153"/>
      <c r="Q47" s="153"/>
      <c r="R47" s="153"/>
      <c r="S47" s="153"/>
      <c r="T47" s="153"/>
      <c r="U47" s="153"/>
      <c r="V47" s="153"/>
      <c r="W47" s="153"/>
      <c r="X47" s="153"/>
    </row>
    <row r="48" spans="1:24" s="27" customFormat="1" ht="10.199999999999999" x14ac:dyDescent="0.2">
      <c r="A48" s="53"/>
      <c r="B48" s="227" t="s">
        <v>223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3"/>
      <c r="O48" s="172"/>
      <c r="P48" s="153"/>
      <c r="Q48" s="153"/>
      <c r="R48" s="153"/>
      <c r="S48" s="153"/>
      <c r="T48" s="153"/>
      <c r="U48" s="153"/>
      <c r="V48" s="153"/>
      <c r="W48" s="153"/>
      <c r="X48" s="153"/>
    </row>
    <row r="49" spans="1:24" s="27" customFormat="1" ht="10.199999999999999" x14ac:dyDescent="0.2">
      <c r="A49" s="156"/>
      <c r="B49" s="156"/>
      <c r="C49" s="156"/>
      <c r="D49" s="156"/>
      <c r="E49" s="157">
        <f>SUM(E44:E48)</f>
        <v>9000</v>
      </c>
      <c r="F49" s="158"/>
      <c r="G49" s="157">
        <f>SUM(G44:G48)</f>
        <v>0</v>
      </c>
      <c r="H49" s="158"/>
      <c r="I49" s="157">
        <f>SUM(I44:I48)</f>
        <v>19000</v>
      </c>
      <c r="J49" s="158"/>
      <c r="K49" s="157">
        <f>SUM(K44:K48)</f>
        <v>0</v>
      </c>
      <c r="L49" s="158"/>
      <c r="M49" s="157">
        <f>SUM(E49:K49)</f>
        <v>28000</v>
      </c>
      <c r="N49" s="153"/>
      <c r="O49" s="172"/>
      <c r="P49" s="153"/>
      <c r="Q49" s="153"/>
      <c r="R49" s="153"/>
      <c r="S49" s="153"/>
      <c r="T49" s="153"/>
      <c r="U49" s="153"/>
      <c r="V49" s="153"/>
      <c r="W49" s="153"/>
      <c r="X49" s="153"/>
    </row>
    <row r="50" spans="1:24" s="27" customFormat="1" ht="10.199999999999999" x14ac:dyDescent="0.2">
      <c r="A50" s="154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3"/>
      <c r="O50" s="172"/>
      <c r="P50" s="153"/>
      <c r="Q50" s="153"/>
      <c r="R50" s="153"/>
      <c r="S50" s="153"/>
      <c r="T50" s="153"/>
      <c r="U50" s="153"/>
      <c r="V50" s="153"/>
      <c r="W50" s="153"/>
      <c r="X50" s="153"/>
    </row>
    <row r="51" spans="1:24" s="27" customFormat="1" ht="10.199999999999999" x14ac:dyDescent="0.2">
      <c r="A51" s="154"/>
      <c r="B51" s="27" t="s">
        <v>203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3"/>
      <c r="O51" s="172"/>
      <c r="P51" s="153"/>
      <c r="Q51" s="153"/>
      <c r="R51" s="153"/>
      <c r="S51" s="153" t="s">
        <v>117</v>
      </c>
      <c r="T51" s="153"/>
      <c r="U51" s="153"/>
      <c r="V51" s="153"/>
      <c r="W51" s="153"/>
      <c r="X51" s="153"/>
    </row>
    <row r="52" spans="1:24" s="27" customFormat="1" ht="10.199999999999999" x14ac:dyDescent="0.2">
      <c r="A52" s="154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3"/>
      <c r="O52" s="172"/>
      <c r="P52" s="153"/>
      <c r="Q52" s="153"/>
      <c r="R52" s="153"/>
      <c r="S52" s="153" t="s">
        <v>117</v>
      </c>
      <c r="T52" s="153"/>
      <c r="U52" s="153"/>
      <c r="V52" s="153"/>
      <c r="W52" s="153"/>
      <c r="X52" s="153"/>
    </row>
    <row r="53" spans="1:24" s="27" customFormat="1" ht="10.199999999999999" x14ac:dyDescent="0.2">
      <c r="A53" s="154"/>
      <c r="B53" s="27" t="s">
        <v>204</v>
      </c>
      <c r="C53" s="27" t="s">
        <v>205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3"/>
      <c r="O53" s="172"/>
      <c r="P53" s="153"/>
      <c r="Q53" s="153"/>
      <c r="R53" s="153"/>
      <c r="S53" s="153" t="s">
        <v>117</v>
      </c>
      <c r="T53" s="153"/>
      <c r="U53" s="153"/>
      <c r="V53" s="153"/>
      <c r="W53" s="153"/>
      <c r="X53" s="153"/>
    </row>
    <row r="54" spans="1:24" s="27" customFormat="1" ht="10.199999999999999" x14ac:dyDescent="0.2">
      <c r="A54" s="154"/>
      <c r="B54" s="27" t="s">
        <v>207</v>
      </c>
      <c r="C54" s="27" t="s">
        <v>208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3"/>
      <c r="O54" s="172"/>
      <c r="P54" s="153"/>
      <c r="Q54" s="153"/>
      <c r="R54" s="153"/>
      <c r="S54" s="153" t="s">
        <v>117</v>
      </c>
      <c r="T54" s="153"/>
      <c r="U54" s="153"/>
      <c r="V54" s="153"/>
      <c r="W54" s="153"/>
      <c r="X54" s="153"/>
    </row>
    <row r="55" spans="1:24" s="27" customFormat="1" ht="10.199999999999999" x14ac:dyDescent="0.2">
      <c r="A55" s="154"/>
      <c r="B55" s="27" t="s">
        <v>209</v>
      </c>
      <c r="C55" s="27" t="s">
        <v>208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3"/>
      <c r="O55" s="172"/>
      <c r="P55" s="153"/>
      <c r="Q55" s="153"/>
      <c r="R55" s="153"/>
      <c r="S55" s="153" t="s">
        <v>117</v>
      </c>
      <c r="T55" s="153"/>
      <c r="U55" s="153"/>
      <c r="V55" s="153"/>
      <c r="W55" s="153"/>
      <c r="X55" s="153"/>
    </row>
    <row r="56" spans="1:24" s="27" customFormat="1" ht="10.199999999999999" x14ac:dyDescent="0.2">
      <c r="A56" s="154"/>
      <c r="B56" s="27" t="s">
        <v>210</v>
      </c>
      <c r="C56" s="27" t="s">
        <v>211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3"/>
      <c r="O56" s="172"/>
      <c r="P56" s="153"/>
      <c r="Q56" s="153"/>
      <c r="R56" s="153"/>
      <c r="S56" s="153" t="s">
        <v>117</v>
      </c>
      <c r="T56" s="153"/>
      <c r="U56" s="153"/>
      <c r="V56" s="153"/>
      <c r="W56" s="153"/>
      <c r="X56" s="153"/>
    </row>
    <row r="57" spans="1:24" s="27" customFormat="1" ht="10.199999999999999" x14ac:dyDescent="0.2">
      <c r="A57" s="154"/>
      <c r="B57" s="27" t="s">
        <v>212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3"/>
      <c r="O57" s="172"/>
      <c r="P57" s="153"/>
      <c r="Q57" s="153"/>
      <c r="R57" s="153"/>
      <c r="S57" s="153" t="s">
        <v>117</v>
      </c>
      <c r="T57" s="153"/>
      <c r="U57" s="153"/>
      <c r="V57" s="153"/>
      <c r="W57" s="153"/>
      <c r="X57" s="153"/>
    </row>
    <row r="58" spans="1:24" s="27" customFormat="1" ht="10.199999999999999" x14ac:dyDescent="0.2">
      <c r="A58" s="154"/>
      <c r="B58" s="27" t="s">
        <v>213</v>
      </c>
      <c r="C58" s="27" t="s">
        <v>214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3"/>
      <c r="O58" s="172"/>
      <c r="P58" s="153"/>
      <c r="Q58" s="153"/>
      <c r="R58" s="153"/>
      <c r="S58" s="153" t="s">
        <v>117</v>
      </c>
      <c r="T58" s="153"/>
      <c r="U58" s="153"/>
      <c r="V58" s="153"/>
      <c r="W58" s="153"/>
      <c r="X58" s="153"/>
    </row>
    <row r="59" spans="1:24" s="27" customFormat="1" ht="10.199999999999999" x14ac:dyDescent="0.2">
      <c r="A59" s="154"/>
      <c r="B59" s="27" t="s">
        <v>206</v>
      </c>
      <c r="C59" s="27" t="s">
        <v>215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3"/>
      <c r="O59" s="172"/>
      <c r="P59" s="153"/>
      <c r="Q59" s="153"/>
      <c r="R59" s="153"/>
      <c r="S59" s="153" t="s">
        <v>117</v>
      </c>
      <c r="T59" s="153"/>
      <c r="U59" s="153"/>
      <c r="V59" s="153"/>
      <c r="W59" s="153"/>
      <c r="X59" s="153"/>
    </row>
    <row r="60" spans="1:24" s="27" customFormat="1" ht="10.199999999999999" x14ac:dyDescent="0.2">
      <c r="A60" s="154"/>
      <c r="B60" s="27" t="s">
        <v>224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3"/>
      <c r="O60" s="172"/>
      <c r="P60" s="153"/>
      <c r="Q60" s="153"/>
      <c r="R60" s="153"/>
      <c r="S60" s="153"/>
      <c r="T60" s="153"/>
      <c r="U60" s="153"/>
      <c r="V60" s="153"/>
      <c r="W60" s="153"/>
      <c r="X60" s="153"/>
    </row>
    <row r="61" spans="1:24" s="27" customFormat="1" ht="10.199999999999999" x14ac:dyDescent="0.2">
      <c r="A61" s="154"/>
      <c r="B61" s="27" t="s">
        <v>225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3"/>
      <c r="O61" s="172"/>
      <c r="P61" s="153"/>
      <c r="Q61" s="153"/>
      <c r="R61" s="153"/>
      <c r="S61" s="153"/>
      <c r="T61" s="153"/>
      <c r="U61" s="153"/>
      <c r="V61" s="153"/>
      <c r="W61" s="153"/>
      <c r="X61" s="153"/>
    </row>
    <row r="62" spans="1:24" s="27" customFormat="1" ht="10.199999999999999" x14ac:dyDescent="0.2">
      <c r="A62" s="154"/>
      <c r="B62" s="27" t="s">
        <v>226</v>
      </c>
      <c r="C62" s="27" t="s">
        <v>216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3"/>
      <c r="O62" s="172"/>
      <c r="P62" s="153"/>
      <c r="Q62" s="153"/>
      <c r="R62" s="153"/>
      <c r="S62" s="153" t="s">
        <v>117</v>
      </c>
      <c r="T62" s="153"/>
      <c r="U62" s="153"/>
      <c r="V62" s="153"/>
      <c r="W62" s="153"/>
      <c r="X62" s="153"/>
    </row>
    <row r="63" spans="1:24" s="27" customFormat="1" ht="10.199999999999999" hidden="1" x14ac:dyDescent="0.2">
      <c r="A63" s="154"/>
      <c r="E63" s="44"/>
      <c r="F63" s="44"/>
      <c r="G63" s="44"/>
      <c r="H63" s="44"/>
      <c r="I63" s="44"/>
      <c r="J63" s="44"/>
      <c r="K63" s="44"/>
      <c r="L63" s="44"/>
      <c r="M63" s="44"/>
      <c r="N63" s="153"/>
      <c r="O63" s="172"/>
      <c r="P63" s="153"/>
      <c r="Q63" s="153"/>
      <c r="R63" s="153"/>
      <c r="S63" s="153" t="s">
        <v>117</v>
      </c>
      <c r="T63" s="153"/>
      <c r="U63" s="153"/>
      <c r="V63" s="153"/>
      <c r="W63" s="153"/>
      <c r="X63" s="153"/>
    </row>
    <row r="64" spans="1:24" s="27" customFormat="1" ht="10.199999999999999" hidden="1" x14ac:dyDescent="0.2">
      <c r="A64" s="154"/>
      <c r="E64" s="44"/>
      <c r="F64" s="44"/>
      <c r="G64" s="44"/>
      <c r="H64" s="44"/>
      <c r="I64" s="44"/>
      <c r="J64" s="44"/>
      <c r="K64" s="44"/>
      <c r="L64" s="44"/>
      <c r="M64" s="44"/>
      <c r="N64" s="153"/>
      <c r="O64" s="172"/>
      <c r="P64" s="153"/>
      <c r="Q64" s="153"/>
      <c r="R64" s="153"/>
      <c r="S64" s="153" t="s">
        <v>117</v>
      </c>
      <c r="T64" s="153"/>
      <c r="U64" s="153"/>
      <c r="V64" s="153"/>
      <c r="W64" s="153"/>
      <c r="X64" s="153"/>
    </row>
    <row r="65" spans="1:24" s="27" customFormat="1" ht="10.199999999999999" hidden="1" x14ac:dyDescent="0.2">
      <c r="A65" s="154"/>
      <c r="E65" s="44"/>
      <c r="F65" s="44"/>
      <c r="G65" s="44"/>
      <c r="H65" s="44"/>
      <c r="I65" s="44"/>
      <c r="J65" s="44"/>
      <c r="K65" s="44"/>
      <c r="L65" s="44"/>
      <c r="M65" s="44"/>
      <c r="N65" s="153"/>
      <c r="O65" s="172"/>
      <c r="P65" s="153"/>
      <c r="Q65" s="153"/>
      <c r="R65" s="153"/>
      <c r="S65" s="153" t="s">
        <v>117</v>
      </c>
      <c r="T65" s="153"/>
      <c r="U65" s="153"/>
      <c r="V65" s="153"/>
      <c r="W65" s="153"/>
      <c r="X65" s="153"/>
    </row>
    <row r="66" spans="1:24" s="27" customFormat="1" ht="10.199999999999999" hidden="1" x14ac:dyDescent="0.2">
      <c r="A66" s="154"/>
      <c r="E66" s="44"/>
      <c r="F66" s="44"/>
      <c r="G66" s="44"/>
      <c r="H66" s="44"/>
      <c r="I66" s="44"/>
      <c r="J66" s="44"/>
      <c r="K66" s="44"/>
      <c r="L66" s="44"/>
      <c r="M66" s="44"/>
      <c r="N66" s="153"/>
      <c r="O66" s="172"/>
      <c r="P66" s="153"/>
      <c r="Q66" s="153"/>
      <c r="R66" s="153"/>
      <c r="S66" s="153" t="s">
        <v>117</v>
      </c>
      <c r="T66" s="153"/>
      <c r="U66" s="153"/>
      <c r="V66" s="153"/>
      <c r="W66" s="153"/>
      <c r="X66" s="153"/>
    </row>
    <row r="67" spans="1:24" s="27" customFormat="1" ht="10.199999999999999" hidden="1" x14ac:dyDescent="0.2">
      <c r="A67" s="154"/>
      <c r="E67" s="44"/>
      <c r="F67" s="44"/>
      <c r="G67" s="44"/>
      <c r="H67" s="44"/>
      <c r="I67" s="44"/>
      <c r="J67" s="44"/>
      <c r="K67" s="44"/>
      <c r="L67" s="44"/>
      <c r="M67" s="44"/>
      <c r="N67" s="153"/>
      <c r="O67" s="172"/>
      <c r="P67" s="153"/>
      <c r="Q67" s="153"/>
      <c r="R67" s="153"/>
      <c r="S67" s="153" t="s">
        <v>117</v>
      </c>
      <c r="T67" s="153"/>
      <c r="U67" s="153"/>
      <c r="V67" s="153"/>
      <c r="W67" s="153"/>
      <c r="X67" s="153"/>
    </row>
    <row r="68" spans="1:24" s="27" customFormat="1" ht="10.199999999999999" hidden="1" x14ac:dyDescent="0.2">
      <c r="A68" s="154"/>
      <c r="E68" s="44"/>
      <c r="F68" s="44"/>
      <c r="G68" s="44"/>
      <c r="H68" s="44"/>
      <c r="I68" s="44"/>
      <c r="J68" s="44"/>
      <c r="K68" s="44"/>
      <c r="L68" s="44"/>
      <c r="M68" s="44"/>
      <c r="N68" s="153"/>
      <c r="O68" s="172"/>
      <c r="P68" s="153"/>
      <c r="Q68" s="153"/>
      <c r="R68" s="153"/>
      <c r="S68" s="153" t="s">
        <v>117</v>
      </c>
      <c r="T68" s="153"/>
      <c r="U68" s="153"/>
      <c r="V68" s="153"/>
      <c r="W68" s="153"/>
      <c r="X68" s="153"/>
    </row>
    <row r="69" spans="1:24" s="27" customFormat="1" ht="10.199999999999999" hidden="1" x14ac:dyDescent="0.2">
      <c r="A69" s="154"/>
      <c r="E69" s="44"/>
      <c r="F69" s="44"/>
      <c r="G69" s="44"/>
      <c r="H69" s="44"/>
      <c r="I69" s="44"/>
      <c r="J69" s="44"/>
      <c r="K69" s="44"/>
      <c r="L69" s="44"/>
      <c r="M69" s="44"/>
      <c r="N69" s="153"/>
      <c r="O69" s="172"/>
      <c r="P69" s="153"/>
      <c r="Q69" s="153"/>
      <c r="R69" s="153"/>
      <c r="S69" s="153" t="s">
        <v>117</v>
      </c>
      <c r="T69" s="153"/>
      <c r="U69" s="153"/>
      <c r="V69" s="153"/>
      <c r="W69" s="153"/>
      <c r="X69" s="153"/>
    </row>
    <row r="70" spans="1:24" s="27" customFormat="1" ht="10.199999999999999" hidden="1" x14ac:dyDescent="0.2">
      <c r="A70" s="154"/>
      <c r="L70" s="44"/>
      <c r="M70" s="44"/>
      <c r="N70" s="153"/>
      <c r="O70" s="172"/>
      <c r="P70" s="153"/>
      <c r="Q70" s="153"/>
      <c r="R70" s="153"/>
      <c r="S70" s="153" t="s">
        <v>117</v>
      </c>
      <c r="T70" s="153"/>
      <c r="U70" s="153"/>
      <c r="V70" s="153"/>
      <c r="W70" s="153"/>
      <c r="X70" s="153"/>
    </row>
    <row r="71" spans="1:24" s="27" customFormat="1" ht="10.199999999999999" hidden="1" x14ac:dyDescent="0.2">
      <c r="A71" s="154"/>
      <c r="L71" s="44"/>
      <c r="M71" s="44"/>
      <c r="N71" s="153"/>
      <c r="O71" s="172"/>
      <c r="P71" s="153"/>
      <c r="Q71" s="153"/>
      <c r="R71" s="153"/>
      <c r="S71" s="153" t="s">
        <v>117</v>
      </c>
      <c r="T71" s="153"/>
      <c r="U71" s="153"/>
      <c r="V71" s="153"/>
      <c r="W71" s="153"/>
      <c r="X71" s="153"/>
    </row>
    <row r="72" spans="1:24" s="27" customFormat="1" ht="10.199999999999999" hidden="1" x14ac:dyDescent="0.2">
      <c r="A72" s="154"/>
      <c r="E72" s="44"/>
      <c r="F72" s="44"/>
      <c r="G72" s="44"/>
      <c r="H72" s="44"/>
      <c r="I72" s="44"/>
      <c r="J72" s="44"/>
      <c r="K72" s="44"/>
      <c r="L72" s="44"/>
      <c r="M72" s="44"/>
      <c r="N72" s="153"/>
      <c r="O72" s="172"/>
      <c r="P72" s="153"/>
      <c r="Q72" s="153"/>
      <c r="R72" s="153"/>
      <c r="S72" s="153"/>
      <c r="T72" s="153"/>
      <c r="U72" s="153"/>
      <c r="V72" s="153"/>
      <c r="W72" s="153"/>
      <c r="X72" s="153"/>
    </row>
    <row r="73" spans="1:24" s="27" customFormat="1" ht="10.199999999999999" hidden="1" x14ac:dyDescent="0.2">
      <c r="A73" s="154"/>
      <c r="E73" s="44"/>
      <c r="F73" s="44"/>
      <c r="G73" s="44"/>
      <c r="H73" s="44"/>
      <c r="I73" s="44"/>
      <c r="J73" s="44"/>
      <c r="K73" s="44"/>
      <c r="L73" s="44"/>
      <c r="M73" s="44"/>
      <c r="N73" s="153"/>
      <c r="O73" s="172"/>
      <c r="P73" s="153"/>
      <c r="Q73" s="153"/>
      <c r="R73" s="153"/>
      <c r="S73" s="153"/>
      <c r="T73" s="153"/>
      <c r="U73" s="153"/>
      <c r="V73" s="153"/>
      <c r="W73" s="153"/>
      <c r="X73" s="153"/>
    </row>
    <row r="74" spans="1:24" s="27" customFormat="1" ht="10.199999999999999" hidden="1" x14ac:dyDescent="0.2">
      <c r="A74" s="154"/>
      <c r="E74" s="44"/>
      <c r="F74" s="44"/>
      <c r="G74" s="44"/>
      <c r="H74" s="44"/>
      <c r="I74" s="44"/>
      <c r="J74" s="44"/>
      <c r="K74" s="44"/>
      <c r="L74" s="44"/>
      <c r="M74" s="44"/>
      <c r="N74" s="153"/>
      <c r="O74" s="172"/>
      <c r="P74" s="153"/>
      <c r="Q74" s="153"/>
      <c r="R74" s="153"/>
      <c r="S74" s="153"/>
      <c r="T74" s="153"/>
      <c r="U74" s="153"/>
      <c r="V74" s="153"/>
      <c r="W74" s="153"/>
      <c r="X74" s="153"/>
    </row>
    <row r="75" spans="1:24" s="27" customFormat="1" ht="10.199999999999999" hidden="1" x14ac:dyDescent="0.2">
      <c r="A75" s="154"/>
      <c r="J75" s="44"/>
      <c r="K75" s="44"/>
      <c r="L75" s="44"/>
      <c r="M75" s="44"/>
      <c r="N75" s="153"/>
      <c r="O75" s="172"/>
      <c r="P75" s="153"/>
      <c r="Q75" s="153"/>
      <c r="R75" s="153"/>
      <c r="T75" s="153"/>
      <c r="U75" s="153"/>
      <c r="V75" s="153"/>
      <c r="W75" s="153"/>
      <c r="X75" s="153"/>
    </row>
    <row r="76" spans="1:24" s="27" customFormat="1" ht="10.199999999999999" x14ac:dyDescent="0.2">
      <c r="A76" s="156"/>
      <c r="B76" s="156"/>
      <c r="C76" s="156"/>
      <c r="D76" s="156"/>
      <c r="E76" s="157">
        <f>SUM(E51:E72)</f>
        <v>5875</v>
      </c>
      <c r="F76" s="158"/>
      <c r="G76" s="157">
        <f>SUM(G51:G72)</f>
        <v>3000</v>
      </c>
      <c r="H76" s="158"/>
      <c r="I76" s="157">
        <f>SUM(I51:I72)</f>
        <v>3500</v>
      </c>
      <c r="J76" s="158"/>
      <c r="K76" s="157">
        <f>SUM(K51:K72)</f>
        <v>2105</v>
      </c>
      <c r="L76" s="158"/>
      <c r="M76" s="157">
        <f>SUM(E76:K76)</f>
        <v>14480</v>
      </c>
      <c r="N76" s="153"/>
      <c r="O76" s="172"/>
      <c r="P76" s="153"/>
      <c r="Q76" s="153"/>
      <c r="R76" s="153"/>
      <c r="S76" s="153"/>
      <c r="T76" s="153"/>
      <c r="U76" s="153"/>
      <c r="V76" s="153"/>
      <c r="W76" s="153"/>
      <c r="X76" s="153"/>
    </row>
    <row r="77" spans="1:24" s="27" customFormat="1" ht="10.199999999999999" x14ac:dyDescent="0.2">
      <c r="A77" s="154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3"/>
      <c r="O77" s="172"/>
      <c r="P77" s="153"/>
      <c r="Q77" s="153"/>
      <c r="R77" s="153"/>
      <c r="S77" s="153"/>
      <c r="T77" s="153"/>
      <c r="U77" s="153"/>
      <c r="V77" s="153"/>
      <c r="W77" s="153"/>
      <c r="X77" s="153"/>
    </row>
    <row r="78" spans="1:24" s="27" customFormat="1" ht="10.199999999999999" x14ac:dyDescent="0.2">
      <c r="A78" s="154"/>
      <c r="E78" s="44"/>
      <c r="F78" s="44"/>
      <c r="G78" s="44"/>
      <c r="H78" s="44"/>
      <c r="I78" s="44"/>
      <c r="J78" s="44"/>
      <c r="K78" s="44"/>
      <c r="L78" s="44"/>
      <c r="M78" s="44"/>
      <c r="N78" s="153"/>
      <c r="O78" s="172"/>
      <c r="P78" s="153"/>
      <c r="Q78" s="153"/>
      <c r="R78" s="153"/>
      <c r="S78" s="153"/>
      <c r="T78" s="153"/>
      <c r="U78" s="153"/>
      <c r="V78" s="153"/>
      <c r="W78" s="153"/>
      <c r="X78" s="153"/>
    </row>
    <row r="79" spans="1:24" s="27" customFormat="1" ht="10.199999999999999" x14ac:dyDescent="0.2">
      <c r="E79" s="44"/>
      <c r="F79" s="44"/>
      <c r="G79" s="44"/>
      <c r="H79" s="44"/>
      <c r="I79" s="44"/>
      <c r="J79" s="44"/>
      <c r="K79" s="44"/>
      <c r="L79" s="44"/>
      <c r="M79" s="44"/>
      <c r="N79" s="153"/>
      <c r="O79" s="172"/>
      <c r="P79" s="153"/>
      <c r="Q79" s="153"/>
      <c r="R79" s="153"/>
      <c r="S79" s="153"/>
      <c r="T79" s="153"/>
      <c r="U79" s="153"/>
      <c r="V79" s="153"/>
      <c r="W79" s="153"/>
      <c r="X79" s="153"/>
    </row>
    <row r="80" spans="1:24" s="27" customFormat="1" ht="10.199999999999999" x14ac:dyDescent="0.2">
      <c r="A80" s="156"/>
      <c r="B80" s="156"/>
      <c r="C80" s="156"/>
      <c r="D80" s="156"/>
      <c r="E80" s="157">
        <f>SUM(E78:E79)</f>
        <v>0</v>
      </c>
      <c r="F80" s="158"/>
      <c r="G80" s="157">
        <f>SUM(G78:G79)</f>
        <v>0</v>
      </c>
      <c r="H80" s="158"/>
      <c r="I80" s="157">
        <f>SUM(I78:I79)</f>
        <v>0</v>
      </c>
      <c r="J80" s="158"/>
      <c r="K80" s="157">
        <f>SUM(K78:K79)</f>
        <v>0</v>
      </c>
      <c r="L80" s="158"/>
      <c r="M80" s="157">
        <f>SUM(E80:K80)</f>
        <v>0</v>
      </c>
      <c r="N80" s="153"/>
      <c r="O80" s="172"/>
      <c r="P80" s="153"/>
      <c r="Q80" s="153"/>
      <c r="R80" s="153"/>
      <c r="S80" s="153"/>
      <c r="T80" s="153"/>
      <c r="U80" s="153"/>
      <c r="V80" s="153"/>
      <c r="W80" s="153"/>
      <c r="X80" s="153"/>
    </row>
    <row r="81" spans="1:26" s="27" customFormat="1" ht="10.199999999999999" x14ac:dyDescent="0.2">
      <c r="A81" s="154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3"/>
      <c r="O81" s="172"/>
      <c r="P81" s="153"/>
      <c r="Q81" s="153"/>
      <c r="R81" s="153"/>
      <c r="S81" s="153"/>
      <c r="T81" s="153"/>
      <c r="U81" s="153"/>
      <c r="V81" s="153"/>
      <c r="W81" s="153"/>
      <c r="X81" s="153"/>
    </row>
    <row r="82" spans="1:26" s="27" customFormat="1" ht="10.199999999999999" x14ac:dyDescent="0.2">
      <c r="A82" s="154"/>
      <c r="E82" s="44"/>
      <c r="F82" s="44"/>
      <c r="G82" s="44"/>
      <c r="H82" s="44"/>
      <c r="I82" s="44"/>
      <c r="J82" s="44"/>
      <c r="K82" s="44"/>
      <c r="L82" s="44"/>
      <c r="M82" s="44"/>
      <c r="N82" s="153"/>
      <c r="O82" s="172"/>
      <c r="P82" s="153"/>
      <c r="Q82" s="153"/>
      <c r="R82" s="153"/>
      <c r="S82" s="153"/>
      <c r="T82" s="153"/>
      <c r="U82" s="153"/>
      <c r="V82" s="153"/>
      <c r="W82" s="153"/>
      <c r="X82" s="153"/>
    </row>
    <row r="83" spans="1:26" s="27" customFormat="1" ht="10.199999999999999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53"/>
      <c r="O83" s="172"/>
      <c r="P83" s="153"/>
      <c r="Q83" s="153"/>
      <c r="R83" s="153"/>
      <c r="S83" s="153"/>
      <c r="T83" s="153"/>
      <c r="U83" s="153"/>
      <c r="V83" s="153"/>
      <c r="W83" s="153"/>
      <c r="X83" s="153"/>
    </row>
    <row r="84" spans="1:26" s="27" customFormat="1" ht="10.199999999999999" x14ac:dyDescent="0.2">
      <c r="A84" s="156"/>
      <c r="B84" s="156"/>
      <c r="C84" s="156"/>
      <c r="D84" s="156"/>
      <c r="E84" s="157">
        <f>SUM(E82:E83)</f>
        <v>0</v>
      </c>
      <c r="F84" s="158"/>
      <c r="G84" s="157">
        <f>SUM(G82:G83)</f>
        <v>0</v>
      </c>
      <c r="H84" s="158"/>
      <c r="I84" s="157">
        <f>SUM(I82:I83)</f>
        <v>0</v>
      </c>
      <c r="J84" s="158"/>
      <c r="K84" s="157">
        <f>SUM(K82:K83)</f>
        <v>0</v>
      </c>
      <c r="L84" s="158"/>
      <c r="M84" s="157">
        <f>SUM(E84:K84)</f>
        <v>0</v>
      </c>
      <c r="N84" s="153"/>
      <c r="O84" s="172"/>
      <c r="P84" s="153"/>
      <c r="Q84" s="153"/>
      <c r="R84" s="153"/>
      <c r="S84" s="153"/>
      <c r="T84" s="153"/>
      <c r="U84" s="153"/>
      <c r="V84" s="153"/>
      <c r="W84" s="153"/>
      <c r="X84" s="153"/>
    </row>
    <row r="85" spans="1:26" s="27" customFormat="1" ht="10.199999999999999" x14ac:dyDescent="0.2">
      <c r="A85" s="154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3"/>
      <c r="O85" s="172"/>
      <c r="P85" s="153"/>
      <c r="Q85" s="153"/>
      <c r="R85" s="153"/>
      <c r="S85" s="153"/>
      <c r="T85" s="153"/>
      <c r="U85" s="153"/>
      <c r="V85" s="153"/>
      <c r="W85" s="153"/>
      <c r="X85" s="153"/>
    </row>
    <row r="86" spans="1:26" s="27" customFormat="1" ht="10.199999999999999" x14ac:dyDescent="0.2">
      <c r="A86" s="154"/>
      <c r="E86" s="44"/>
      <c r="F86" s="44"/>
      <c r="G86" s="44"/>
      <c r="H86" s="44"/>
      <c r="I86" s="44"/>
      <c r="J86" s="44"/>
      <c r="K86" s="44"/>
      <c r="L86" s="44"/>
      <c r="M86" s="44"/>
      <c r="N86" s="153"/>
      <c r="O86" s="172"/>
      <c r="P86" s="153"/>
      <c r="Q86" s="153"/>
      <c r="R86" s="153"/>
      <c r="S86" s="153"/>
      <c r="T86" s="153"/>
      <c r="U86" s="153"/>
      <c r="V86" s="153"/>
      <c r="W86" s="153"/>
      <c r="X86" s="153"/>
    </row>
    <row r="87" spans="1:26" s="27" customFormat="1" ht="10.199999999999999" x14ac:dyDescent="0.2">
      <c r="E87" s="44"/>
      <c r="F87" s="44"/>
      <c r="G87" s="44"/>
      <c r="H87" s="44"/>
      <c r="I87" s="44"/>
      <c r="J87" s="44"/>
      <c r="K87" s="44"/>
      <c r="L87" s="44"/>
      <c r="M87" s="44"/>
      <c r="N87" s="153"/>
      <c r="O87" s="172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6" s="27" customFormat="1" ht="10.199999999999999" x14ac:dyDescent="0.2">
      <c r="A88" s="156"/>
      <c r="B88" s="156"/>
      <c r="C88" s="156"/>
      <c r="D88" s="156"/>
      <c r="E88" s="157">
        <f>SUM(E86:E87)</f>
        <v>0</v>
      </c>
      <c r="F88" s="158"/>
      <c r="G88" s="157">
        <f>SUM(G86:G87)</f>
        <v>0</v>
      </c>
      <c r="H88" s="158"/>
      <c r="I88" s="157">
        <f>SUM(I86:I87)</f>
        <v>0</v>
      </c>
      <c r="J88" s="158"/>
      <c r="K88" s="157">
        <f>SUM(K86:K87)</f>
        <v>0</v>
      </c>
      <c r="L88" s="158"/>
      <c r="M88" s="157">
        <f>SUM(E88:K88)</f>
        <v>0</v>
      </c>
      <c r="N88" s="153"/>
      <c r="O88" s="172"/>
      <c r="P88" s="153"/>
      <c r="Q88" s="153"/>
      <c r="R88" s="153"/>
      <c r="S88" s="153"/>
      <c r="T88" s="153"/>
      <c r="U88" s="153"/>
      <c r="V88" s="153"/>
      <c r="W88" s="153"/>
      <c r="X88" s="153"/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53"/>
      <c r="O89" s="172"/>
      <c r="P89" s="153"/>
      <c r="Q89" s="153"/>
      <c r="R89" s="153"/>
      <c r="S89" s="153"/>
      <c r="T89" s="153"/>
      <c r="U89" s="153"/>
      <c r="V89" s="153"/>
      <c r="W89" s="153"/>
      <c r="X89" s="153"/>
    </row>
    <row r="90" spans="1:26" s="27" customFormat="1" ht="10.8" thickBot="1" x14ac:dyDescent="0.25">
      <c r="A90" s="159" t="s">
        <v>100</v>
      </c>
      <c r="B90" s="160"/>
      <c r="C90" s="160"/>
      <c r="D90" s="160"/>
      <c r="E90" s="161" t="e">
        <f>E10+E16+E20+E24+E28+E34+#REF!+E38+E42+E49+E76+E80+E84+E88</f>
        <v>#REF!</v>
      </c>
      <c r="F90" s="162"/>
      <c r="G90" s="161" t="e">
        <f>G10+G16+G20+G24+G28+G34+#REF!+G38+G42+G49+G76+G80+G84+G88</f>
        <v>#REF!</v>
      </c>
      <c r="H90" s="162"/>
      <c r="I90" s="161" t="e">
        <f>I10+I16+I20+I24+I28+I34+#REF!+I38+I42+I49+I76+I80+I84+I88</f>
        <v>#REF!</v>
      </c>
      <c r="J90" s="162"/>
      <c r="K90" s="161" t="e">
        <f>K10+K16+K20+K24+K28+K34+#REF!+K38+K42+K49+K76+K80+K84+K88</f>
        <v>#REF!</v>
      </c>
      <c r="L90" s="162"/>
      <c r="M90" s="161" t="e">
        <f>SUM(E90:K90)</f>
        <v>#REF!</v>
      </c>
      <c r="N90" s="153"/>
      <c r="O90" s="172"/>
      <c r="P90" s="153"/>
      <c r="Q90" s="153"/>
      <c r="R90" s="153"/>
      <c r="S90" s="153"/>
      <c r="T90" s="153"/>
      <c r="U90" s="153"/>
      <c r="V90" s="153"/>
      <c r="W90" s="153"/>
      <c r="X90" s="153"/>
    </row>
    <row r="91" spans="1:26" ht="3" customHeight="1" thickTop="1" x14ac:dyDescent="0.3"/>
    <row r="92" spans="1:26" ht="12" customHeight="1" x14ac:dyDescent="0.3"/>
    <row r="93" spans="1:26" s="27" customFormat="1" ht="10.199999999999999" x14ac:dyDescent="0.2">
      <c r="A93" s="151" t="s">
        <v>126</v>
      </c>
      <c r="B93" s="152"/>
      <c r="C93" s="152"/>
      <c r="D93" s="152"/>
      <c r="E93" s="145"/>
      <c r="F93" s="152"/>
      <c r="G93" s="145"/>
      <c r="H93" s="152"/>
      <c r="I93" s="145"/>
      <c r="J93" s="152"/>
      <c r="K93" s="145"/>
      <c r="L93" s="152"/>
      <c r="M93" s="146" t="s">
        <v>14</v>
      </c>
      <c r="N93" s="153"/>
      <c r="O93" s="172"/>
      <c r="P93" s="153"/>
      <c r="Q93" s="153"/>
      <c r="R93" s="153"/>
      <c r="S93" s="173" t="s">
        <v>115</v>
      </c>
      <c r="T93" s="166" t="s">
        <v>118</v>
      </c>
      <c r="U93" s="166" t="s">
        <v>119</v>
      </c>
      <c r="V93" s="166" t="s">
        <v>123</v>
      </c>
      <c r="W93" s="166" t="s">
        <v>99</v>
      </c>
      <c r="X93" s="166" t="s">
        <v>120</v>
      </c>
      <c r="Y93" s="173" t="s">
        <v>121</v>
      </c>
      <c r="Z93" s="173" t="s">
        <v>14</v>
      </c>
    </row>
    <row r="94" spans="1:26" s="27" customFormat="1" ht="3" customHeight="1" x14ac:dyDescent="0.2">
      <c r="N94" s="153"/>
      <c r="O94" s="172"/>
      <c r="P94" s="153"/>
      <c r="Q94" s="153"/>
      <c r="R94" s="153"/>
      <c r="S94" s="153"/>
      <c r="T94" s="153"/>
      <c r="U94" s="153"/>
      <c r="V94" s="153"/>
      <c r="W94" s="153"/>
      <c r="X94" s="153"/>
    </row>
    <row r="95" spans="1:26" s="27" customFormat="1" ht="10.199999999999999" hidden="1" x14ac:dyDescent="0.2">
      <c r="A95" s="154" t="s">
        <v>144</v>
      </c>
      <c r="N95" s="153"/>
      <c r="O95" s="172"/>
      <c r="P95" s="153"/>
      <c r="Q95" s="153"/>
      <c r="R95" s="153"/>
      <c r="S95" s="153"/>
      <c r="T95" s="153"/>
      <c r="U95" s="153"/>
      <c r="V95" s="153"/>
      <c r="W95" s="153"/>
      <c r="X95" s="153"/>
    </row>
    <row r="96" spans="1:26" s="27" customFormat="1" ht="10.199999999999999" hidden="1" x14ac:dyDescent="0.2">
      <c r="E96" s="44"/>
      <c r="F96" s="44"/>
      <c r="G96" s="44"/>
      <c r="H96" s="44"/>
      <c r="I96" s="44"/>
      <c r="J96" s="44"/>
      <c r="K96" s="44"/>
      <c r="L96" s="44"/>
      <c r="M96" s="44"/>
      <c r="N96" s="153"/>
      <c r="O96" s="172"/>
      <c r="P96" s="153"/>
      <c r="Q96" s="153"/>
      <c r="R96" s="153"/>
      <c r="S96" s="153"/>
      <c r="T96" s="174"/>
      <c r="U96" s="174"/>
      <c r="V96" s="174"/>
      <c r="W96" s="174"/>
      <c r="X96" s="174"/>
      <c r="Y96" s="174"/>
      <c r="Z96" s="175"/>
    </row>
    <row r="97" spans="1:26" s="27" customFormat="1" ht="10.199999999999999" hidden="1" x14ac:dyDescent="0.2">
      <c r="E97" s="44"/>
      <c r="F97" s="44"/>
      <c r="G97" s="44"/>
      <c r="H97" s="44"/>
      <c r="I97" s="44"/>
      <c r="J97" s="44"/>
      <c r="K97" s="44"/>
      <c r="L97" s="44"/>
      <c r="M97" s="44"/>
      <c r="N97" s="153"/>
      <c r="O97" s="172"/>
      <c r="P97" s="153"/>
      <c r="Q97" s="153"/>
      <c r="R97" s="153"/>
      <c r="S97" s="153"/>
      <c r="T97" s="174"/>
      <c r="U97" s="174"/>
      <c r="V97" s="174"/>
      <c r="W97" s="174"/>
      <c r="X97" s="174"/>
      <c r="Y97" s="174"/>
      <c r="Z97" s="175"/>
    </row>
    <row r="98" spans="1:26" s="27" customFormat="1" ht="10.199999999999999" hidden="1" x14ac:dyDescent="0.2">
      <c r="E98" s="44"/>
      <c r="F98" s="44"/>
      <c r="G98" s="44"/>
      <c r="H98" s="44"/>
      <c r="I98" s="44"/>
      <c r="J98" s="44"/>
      <c r="K98" s="44"/>
      <c r="L98" s="44"/>
      <c r="M98" s="44"/>
      <c r="N98" s="153"/>
      <c r="O98" s="172"/>
      <c r="P98" s="153"/>
      <c r="Q98" s="153"/>
      <c r="R98" s="153"/>
      <c r="S98" s="153"/>
      <c r="T98" s="174"/>
      <c r="U98" s="174"/>
      <c r="V98" s="174"/>
      <c r="W98" s="174"/>
      <c r="X98" s="174"/>
      <c r="Y98" s="174"/>
      <c r="Z98" s="175"/>
    </row>
    <row r="99" spans="1:26" s="27" customFormat="1" ht="3" hidden="1" customHeight="1" x14ac:dyDescent="0.2">
      <c r="E99" s="44"/>
      <c r="F99" s="44"/>
      <c r="G99" s="44"/>
      <c r="H99" s="44"/>
      <c r="I99" s="44"/>
      <c r="J99" s="44"/>
      <c r="K99" s="44"/>
      <c r="L99" s="44"/>
      <c r="M99" s="44"/>
      <c r="N99" s="153"/>
      <c r="O99" s="172"/>
      <c r="P99" s="153"/>
      <c r="Q99" s="153"/>
      <c r="R99" s="153"/>
      <c r="S99" s="153"/>
      <c r="T99" s="153"/>
      <c r="U99" s="153"/>
      <c r="V99" s="153"/>
      <c r="W99" s="153"/>
      <c r="X99" s="153"/>
    </row>
    <row r="100" spans="1:26" s="27" customFormat="1" ht="10.199999999999999" hidden="1" x14ac:dyDescent="0.2">
      <c r="A100" s="156"/>
      <c r="B100" s="156"/>
      <c r="C100" s="156"/>
      <c r="D100" s="156"/>
      <c r="E100" s="157"/>
      <c r="F100" s="158"/>
      <c r="G100" s="157"/>
      <c r="H100" s="158"/>
      <c r="I100" s="157"/>
      <c r="J100" s="158"/>
      <c r="K100" s="157"/>
      <c r="L100" s="158"/>
      <c r="M100" s="157">
        <f>SUM(M96:M98)</f>
        <v>0</v>
      </c>
      <c r="N100" s="153"/>
      <c r="O100" s="172"/>
      <c r="P100" s="153"/>
      <c r="Q100" s="153"/>
      <c r="R100" s="153"/>
      <c r="S100" s="153"/>
      <c r="T100" s="153"/>
      <c r="U100" s="153"/>
      <c r="V100" s="153"/>
      <c r="W100" s="153"/>
      <c r="X100" s="153"/>
    </row>
    <row r="101" spans="1:26" s="27" customFormat="1" ht="3" hidden="1" customHeight="1" x14ac:dyDescent="0.2">
      <c r="E101" s="44"/>
      <c r="F101" s="44"/>
      <c r="G101" s="44"/>
      <c r="H101" s="44"/>
      <c r="I101" s="44"/>
      <c r="J101" s="44"/>
      <c r="K101" s="44"/>
      <c r="L101" s="44"/>
      <c r="M101" s="44"/>
      <c r="N101" s="153"/>
      <c r="O101" s="172"/>
      <c r="P101" s="153"/>
      <c r="Q101" s="153"/>
      <c r="R101" s="153"/>
      <c r="S101" s="153"/>
      <c r="T101" s="153"/>
      <c r="U101" s="153"/>
      <c r="V101" s="153"/>
      <c r="W101" s="153"/>
      <c r="X101" s="153"/>
    </row>
    <row r="102" spans="1:26" s="27" customFormat="1" ht="10.199999999999999" hidden="1" x14ac:dyDescent="0.2">
      <c r="A102" s="154" t="s">
        <v>145</v>
      </c>
      <c r="N102" s="153"/>
      <c r="O102" s="172"/>
      <c r="P102" s="153"/>
      <c r="Q102" s="153"/>
      <c r="R102" s="153"/>
      <c r="S102" s="153"/>
      <c r="T102" s="153"/>
      <c r="U102" s="153"/>
      <c r="V102" s="153"/>
      <c r="W102" s="153"/>
      <c r="X102" s="153"/>
    </row>
    <row r="103" spans="1:26" s="27" customFormat="1" ht="10.199999999999999" hidden="1" x14ac:dyDescent="0.2">
      <c r="E103" s="44"/>
      <c r="F103" s="44"/>
      <c r="G103" s="44"/>
      <c r="H103" s="44"/>
      <c r="I103" s="44"/>
      <c r="J103" s="44"/>
      <c r="K103" s="44"/>
      <c r="L103" s="44"/>
      <c r="M103" s="44"/>
      <c r="N103" s="153"/>
      <c r="O103" s="172"/>
      <c r="P103" s="153"/>
      <c r="Q103" s="153"/>
      <c r="R103" s="153"/>
      <c r="S103" s="153"/>
      <c r="T103" s="174"/>
      <c r="U103" s="174"/>
      <c r="V103" s="174"/>
      <c r="W103" s="174"/>
      <c r="X103" s="174"/>
      <c r="Y103" s="174"/>
      <c r="Z103" s="175"/>
    </row>
    <row r="104" spans="1:26" s="27" customFormat="1" ht="3" hidden="1" customHeight="1" x14ac:dyDescent="0.2">
      <c r="E104" s="44"/>
      <c r="F104" s="44"/>
      <c r="G104" s="44"/>
      <c r="H104" s="44"/>
      <c r="I104" s="44"/>
      <c r="J104" s="44"/>
      <c r="K104" s="44"/>
      <c r="L104" s="44"/>
      <c r="M104" s="44"/>
      <c r="N104" s="153"/>
      <c r="O104" s="172"/>
      <c r="P104" s="153"/>
      <c r="Q104" s="153"/>
      <c r="R104" s="153"/>
      <c r="S104" s="153"/>
      <c r="T104" s="153"/>
      <c r="U104" s="153"/>
      <c r="V104" s="153"/>
      <c r="W104" s="153"/>
      <c r="X104" s="153"/>
    </row>
    <row r="105" spans="1:26" s="27" customFormat="1" ht="10.199999999999999" hidden="1" x14ac:dyDescent="0.2">
      <c r="A105" s="156"/>
      <c r="B105" s="156"/>
      <c r="C105" s="156"/>
      <c r="D105" s="156"/>
      <c r="E105" s="157"/>
      <c r="F105" s="158"/>
      <c r="G105" s="157"/>
      <c r="H105" s="158"/>
      <c r="I105" s="157"/>
      <c r="J105" s="158"/>
      <c r="K105" s="157"/>
      <c r="L105" s="158"/>
      <c r="M105" s="157">
        <f>SUM(M103:M103)</f>
        <v>0</v>
      </c>
      <c r="N105" s="153"/>
      <c r="O105" s="172"/>
      <c r="P105" s="153"/>
      <c r="Q105" s="153"/>
      <c r="R105" s="153"/>
      <c r="S105" s="153"/>
      <c r="T105" s="153"/>
      <c r="U105" s="153"/>
      <c r="V105" s="153"/>
      <c r="W105" s="153"/>
      <c r="X105" s="153"/>
    </row>
    <row r="106" spans="1:26" s="27" customFormat="1" ht="3" customHeight="1" x14ac:dyDescent="0.2">
      <c r="E106" s="44"/>
      <c r="F106" s="44"/>
      <c r="G106" s="44"/>
      <c r="H106" s="44"/>
      <c r="I106" s="44"/>
      <c r="J106" s="44"/>
      <c r="K106" s="44"/>
      <c r="L106" s="44"/>
      <c r="M106" s="44"/>
      <c r="N106" s="153"/>
      <c r="O106" s="172"/>
      <c r="P106" s="153"/>
      <c r="Q106" s="153"/>
      <c r="R106" s="153"/>
      <c r="S106" s="153"/>
      <c r="T106" s="153"/>
      <c r="U106" s="153"/>
      <c r="V106" s="153"/>
      <c r="W106" s="153"/>
      <c r="X106" s="153"/>
    </row>
    <row r="107" spans="1:26" s="27" customFormat="1" ht="10.199999999999999" x14ac:dyDescent="0.2">
      <c r="A107" s="154" t="s">
        <v>90</v>
      </c>
      <c r="N107" s="153"/>
      <c r="O107" s="172"/>
      <c r="P107" s="153"/>
      <c r="Q107" s="153"/>
      <c r="R107" s="153"/>
      <c r="S107" s="153"/>
      <c r="T107" s="153"/>
      <c r="U107" s="153"/>
      <c r="V107" s="153"/>
      <c r="W107" s="153"/>
      <c r="X107" s="153"/>
    </row>
    <row r="108" spans="1:26" s="27" customFormat="1" ht="10.199999999999999" x14ac:dyDescent="0.2">
      <c r="A108" s="154"/>
      <c r="B108" s="27" t="s">
        <v>195</v>
      </c>
      <c r="C108" s="27" t="s">
        <v>197</v>
      </c>
      <c r="M108" s="44">
        <v>116</v>
      </c>
      <c r="N108" s="153"/>
      <c r="O108" s="172"/>
      <c r="P108" s="153"/>
      <c r="Q108" s="153"/>
      <c r="R108" s="153"/>
      <c r="S108" s="153"/>
      <c r="T108" s="174"/>
      <c r="U108" s="174"/>
      <c r="V108" s="174"/>
      <c r="W108" s="174"/>
      <c r="X108" s="174"/>
      <c r="Y108" s="174"/>
      <c r="Z108" s="175"/>
    </row>
    <row r="109" spans="1:26" s="27" customFormat="1" ht="10.199999999999999" x14ac:dyDescent="0.2">
      <c r="B109" s="27" t="s">
        <v>196</v>
      </c>
      <c r="C109" s="27" t="s">
        <v>198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3"/>
      <c r="O109" s="172"/>
      <c r="P109" s="153"/>
      <c r="Q109" s="153"/>
      <c r="R109" s="153"/>
      <c r="S109" s="153"/>
      <c r="T109" s="174"/>
      <c r="U109" s="174"/>
      <c r="V109" s="174"/>
      <c r="W109" s="174"/>
      <c r="X109" s="174"/>
      <c r="Y109" s="174"/>
      <c r="Z109" s="175"/>
    </row>
    <row r="110" spans="1:26" s="27" customFormat="1" ht="10.199999999999999" x14ac:dyDescent="0.2">
      <c r="A110" s="154"/>
      <c r="M110" s="44"/>
      <c r="N110" s="153"/>
      <c r="O110" s="172"/>
      <c r="P110" s="153"/>
      <c r="Q110" s="153"/>
      <c r="R110" s="153"/>
      <c r="S110" s="153"/>
      <c r="T110" s="174"/>
      <c r="U110" s="174"/>
      <c r="V110" s="174"/>
      <c r="W110" s="174"/>
      <c r="X110" s="174"/>
      <c r="Y110" s="174"/>
      <c r="Z110" s="175"/>
    </row>
    <row r="111" spans="1:26" s="27" customFormat="1" ht="10.199999999999999" x14ac:dyDescent="0.2">
      <c r="A111" s="154"/>
      <c r="M111" s="44"/>
      <c r="N111" s="153"/>
      <c r="O111" s="172"/>
      <c r="P111" s="153"/>
      <c r="Q111" s="153"/>
      <c r="R111" s="153"/>
      <c r="S111" s="153"/>
      <c r="T111" s="174"/>
      <c r="U111" s="174"/>
      <c r="V111" s="174"/>
      <c r="W111" s="174"/>
      <c r="X111" s="174"/>
      <c r="Y111" s="174"/>
      <c r="Z111" s="175"/>
    </row>
    <row r="112" spans="1:26" s="27" customFormat="1" ht="3" customHeight="1" x14ac:dyDescent="0.2">
      <c r="E112" s="44"/>
      <c r="F112" s="44"/>
      <c r="G112" s="44"/>
      <c r="H112" s="44"/>
      <c r="I112" s="44"/>
      <c r="J112" s="44"/>
      <c r="K112" s="44"/>
      <c r="L112" s="44"/>
      <c r="M112" s="44"/>
      <c r="N112" s="153"/>
      <c r="O112" s="172"/>
      <c r="P112" s="153"/>
      <c r="Q112" s="153"/>
      <c r="R112" s="153"/>
      <c r="S112" s="153"/>
      <c r="T112" s="153"/>
      <c r="U112" s="153"/>
      <c r="V112" s="153"/>
      <c r="W112" s="153"/>
      <c r="X112" s="153"/>
    </row>
    <row r="113" spans="1:26" s="27" customFormat="1" ht="10.199999999999999" x14ac:dyDescent="0.2">
      <c r="A113" s="156"/>
      <c r="B113" s="156"/>
      <c r="C113" s="156"/>
      <c r="D113" s="156"/>
      <c r="E113" s="157"/>
      <c r="F113" s="158"/>
      <c r="G113" s="157"/>
      <c r="H113" s="158"/>
      <c r="I113" s="157"/>
      <c r="J113" s="158"/>
      <c r="K113" s="157"/>
      <c r="L113" s="158"/>
      <c r="M113" s="157">
        <f>SUM(M108:M112)</f>
        <v>336</v>
      </c>
      <c r="N113" s="153"/>
      <c r="O113" s="172"/>
      <c r="P113" s="153"/>
      <c r="Q113" s="153"/>
      <c r="R113" s="153"/>
      <c r="S113" s="153"/>
      <c r="T113" s="153"/>
      <c r="U113" s="153"/>
      <c r="V113" s="153"/>
      <c r="W113" s="153"/>
      <c r="X113" s="153"/>
    </row>
    <row r="114" spans="1:26" s="27" customFormat="1" ht="3" customHeight="1" x14ac:dyDescent="0.2">
      <c r="E114" s="44"/>
      <c r="F114" s="44"/>
      <c r="G114" s="44"/>
      <c r="H114" s="44"/>
      <c r="I114" s="44"/>
      <c r="J114" s="44"/>
      <c r="K114" s="44"/>
      <c r="L114" s="44"/>
      <c r="M114" s="44"/>
      <c r="N114" s="153"/>
      <c r="O114" s="172"/>
      <c r="P114" s="153"/>
      <c r="Q114" s="153"/>
      <c r="R114" s="153"/>
      <c r="S114" s="153"/>
      <c r="T114" s="153"/>
      <c r="U114" s="153"/>
      <c r="V114" s="153"/>
      <c r="W114" s="153"/>
      <c r="X114" s="153"/>
    </row>
    <row r="115" spans="1:26" s="27" customFormat="1" ht="10.199999999999999" hidden="1" x14ac:dyDescent="0.2">
      <c r="A115" s="154" t="s">
        <v>114</v>
      </c>
      <c r="N115" s="153"/>
      <c r="O115" s="172"/>
      <c r="P115" s="153"/>
      <c r="Q115" s="153"/>
      <c r="R115" s="153"/>
      <c r="S115" s="153"/>
      <c r="T115" s="153"/>
      <c r="U115" s="153"/>
      <c r="V115" s="153"/>
      <c r="W115" s="153"/>
      <c r="X115" s="153"/>
    </row>
    <row r="116" spans="1:26" s="27" customFormat="1" ht="10.199999999999999" hidden="1" x14ac:dyDescent="0.2">
      <c r="A116" s="154"/>
      <c r="M116" s="44"/>
      <c r="N116" s="153"/>
      <c r="O116" s="172"/>
      <c r="P116" s="153"/>
      <c r="Q116" s="153"/>
      <c r="R116" s="153"/>
      <c r="S116" s="153"/>
      <c r="T116" s="174"/>
      <c r="U116" s="174"/>
      <c r="V116" s="174"/>
      <c r="W116" s="174"/>
      <c r="X116" s="174"/>
      <c r="Y116" s="174"/>
      <c r="Z116" s="175"/>
    </row>
    <row r="117" spans="1:26" s="27" customFormat="1" ht="3" hidden="1" customHeight="1" x14ac:dyDescent="0.2">
      <c r="E117" s="44"/>
      <c r="F117" s="44"/>
      <c r="G117" s="44"/>
      <c r="H117" s="44"/>
      <c r="I117" s="44"/>
      <c r="J117" s="44"/>
      <c r="K117" s="44"/>
      <c r="L117" s="44"/>
      <c r="M117" s="44"/>
      <c r="N117" s="153"/>
      <c r="O117" s="172"/>
      <c r="P117" s="153"/>
      <c r="Q117" s="153"/>
      <c r="R117" s="153"/>
      <c r="S117" s="153"/>
      <c r="T117" s="153"/>
      <c r="U117" s="153"/>
      <c r="V117" s="153"/>
      <c r="W117" s="153"/>
      <c r="X117" s="153"/>
    </row>
    <row r="118" spans="1:26" s="27" customFormat="1" ht="10.199999999999999" hidden="1" x14ac:dyDescent="0.2">
      <c r="A118" s="156"/>
      <c r="B118" s="156"/>
      <c r="C118" s="156"/>
      <c r="D118" s="156"/>
      <c r="E118" s="157"/>
      <c r="F118" s="158"/>
      <c r="G118" s="157"/>
      <c r="H118" s="158"/>
      <c r="I118" s="157"/>
      <c r="J118" s="158"/>
      <c r="K118" s="157"/>
      <c r="L118" s="158"/>
      <c r="M118" s="157">
        <f>SUM(M116:M116)</f>
        <v>0</v>
      </c>
      <c r="N118" s="153"/>
      <c r="O118" s="172"/>
      <c r="P118" s="153"/>
      <c r="Q118" s="153"/>
      <c r="R118" s="153"/>
      <c r="S118" s="153"/>
      <c r="T118" s="153"/>
      <c r="U118" s="153"/>
      <c r="V118" s="153"/>
      <c r="W118" s="153"/>
      <c r="X118" s="153"/>
    </row>
    <row r="119" spans="1:26" s="27" customFormat="1" ht="3" customHeight="1" x14ac:dyDescent="0.2">
      <c r="E119" s="44"/>
      <c r="F119" s="44"/>
      <c r="G119" s="44"/>
      <c r="H119" s="44"/>
      <c r="I119" s="44"/>
      <c r="J119" s="44"/>
      <c r="K119" s="44"/>
      <c r="L119" s="44"/>
      <c r="M119" s="44"/>
      <c r="N119" s="153"/>
      <c r="O119" s="172"/>
      <c r="P119" s="153"/>
      <c r="Q119" s="153"/>
      <c r="R119" s="153"/>
      <c r="S119" s="153"/>
      <c r="T119" s="153"/>
      <c r="U119" s="153"/>
      <c r="V119" s="153"/>
      <c r="W119" s="153"/>
      <c r="X119" s="153"/>
    </row>
    <row r="120" spans="1:26" s="27" customFormat="1" ht="10.199999999999999" x14ac:dyDescent="0.2">
      <c r="A120" s="154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3"/>
      <c r="O120" s="172"/>
      <c r="P120" s="153"/>
      <c r="Q120" s="153"/>
      <c r="R120" s="153"/>
      <c r="S120" s="153"/>
      <c r="T120" s="153"/>
      <c r="U120" s="153"/>
      <c r="V120" s="153"/>
      <c r="W120" s="153"/>
      <c r="X120" s="153"/>
    </row>
    <row r="121" spans="1:26" s="27" customFormat="1" ht="10.199999999999999" x14ac:dyDescent="0.2">
      <c r="A121" s="154"/>
      <c r="B121" s="27" t="s">
        <v>217</v>
      </c>
      <c r="C121" s="27" t="s">
        <v>218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3"/>
      <c r="O121" s="172"/>
      <c r="P121" s="153"/>
      <c r="Q121" s="153"/>
      <c r="R121" s="153"/>
      <c r="S121" s="153"/>
      <c r="T121" s="174"/>
      <c r="U121" s="174"/>
      <c r="V121" s="174"/>
      <c r="W121" s="174"/>
      <c r="X121" s="174"/>
      <c r="Y121" s="174"/>
      <c r="Z121" s="175"/>
    </row>
    <row r="122" spans="1:26" s="27" customFormat="1" ht="10.199999999999999" x14ac:dyDescent="0.2">
      <c r="A122" s="154"/>
      <c r="B122" s="27" t="s">
        <v>219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3"/>
      <c r="O122" s="172"/>
      <c r="P122" s="153"/>
      <c r="Q122" s="153"/>
      <c r="R122" s="153"/>
      <c r="S122" s="153"/>
      <c r="T122" s="174"/>
      <c r="U122" s="174"/>
      <c r="V122" s="174"/>
      <c r="W122" s="174"/>
      <c r="X122" s="174"/>
      <c r="Y122" s="174"/>
      <c r="Z122" s="175"/>
    </row>
    <row r="123" spans="1:26" s="27" customFormat="1" ht="10.199999999999999" x14ac:dyDescent="0.2">
      <c r="A123" s="154"/>
      <c r="B123" s="27" t="s">
        <v>220</v>
      </c>
      <c r="C123" s="27" t="s">
        <v>216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3"/>
      <c r="O123" s="172"/>
      <c r="P123" s="153"/>
      <c r="Q123" s="153"/>
      <c r="R123" s="153"/>
      <c r="S123" s="153"/>
      <c r="T123" s="174"/>
      <c r="U123" s="174"/>
      <c r="V123" s="174"/>
      <c r="W123" s="174"/>
      <c r="X123" s="174"/>
      <c r="Y123" s="174"/>
      <c r="Z123" s="175"/>
    </row>
    <row r="124" spans="1:26" s="27" customFormat="1" ht="10.199999999999999" x14ac:dyDescent="0.2">
      <c r="A124" s="154"/>
      <c r="E124" s="44"/>
      <c r="F124" s="44"/>
      <c r="G124" s="44"/>
      <c r="H124" s="44"/>
      <c r="I124" s="44"/>
      <c r="J124" s="44"/>
      <c r="K124" s="44"/>
      <c r="L124" s="44"/>
      <c r="M124" s="44"/>
      <c r="N124" s="153"/>
      <c r="O124" s="172"/>
      <c r="P124" s="153"/>
      <c r="Q124" s="153"/>
      <c r="R124" s="153"/>
      <c r="S124" s="153"/>
      <c r="T124" s="174"/>
      <c r="U124" s="174"/>
      <c r="V124" s="174"/>
      <c r="W124" s="174"/>
      <c r="X124" s="174"/>
      <c r="Y124" s="174"/>
      <c r="Z124" s="175"/>
    </row>
    <row r="125" spans="1:26" s="27" customFormat="1" ht="3" customHeight="1" x14ac:dyDescent="0.2">
      <c r="E125" s="44"/>
      <c r="F125" s="44"/>
      <c r="G125" s="44"/>
      <c r="H125" s="44"/>
      <c r="I125" s="44"/>
      <c r="J125" s="44"/>
      <c r="K125" s="44"/>
      <c r="L125" s="44"/>
      <c r="M125" s="44"/>
      <c r="N125" s="153"/>
      <c r="O125" s="172"/>
      <c r="P125" s="153"/>
      <c r="Q125" s="153"/>
      <c r="R125" s="153"/>
      <c r="S125" s="153"/>
      <c r="T125" s="153"/>
      <c r="U125" s="153"/>
      <c r="V125" s="153"/>
      <c r="W125" s="153"/>
      <c r="X125" s="153"/>
    </row>
    <row r="126" spans="1:26" s="27" customFormat="1" ht="10.199999999999999" x14ac:dyDescent="0.2">
      <c r="A126" s="156"/>
      <c r="B126" s="156"/>
      <c r="C126" s="156"/>
      <c r="D126" s="156"/>
      <c r="E126" s="157"/>
      <c r="F126" s="158"/>
      <c r="G126" s="157"/>
      <c r="H126" s="158"/>
      <c r="I126" s="157"/>
      <c r="J126" s="158"/>
      <c r="K126" s="157"/>
      <c r="L126" s="158"/>
      <c r="M126" s="157">
        <f>SUM(M121:M124)</f>
        <v>352</v>
      </c>
      <c r="N126" s="153"/>
      <c r="O126" s="172"/>
      <c r="P126" s="153"/>
      <c r="Q126" s="153"/>
      <c r="R126" s="153"/>
      <c r="S126" s="153"/>
      <c r="T126" s="153"/>
      <c r="U126" s="153"/>
      <c r="V126" s="153"/>
      <c r="W126" s="153"/>
      <c r="X126" s="153"/>
    </row>
    <row r="127" spans="1:26" s="153" customFormat="1" ht="3" customHeight="1" x14ac:dyDescent="0.2">
      <c r="A127" s="172"/>
      <c r="B127" s="172"/>
      <c r="C127" s="172"/>
      <c r="D127" s="172"/>
      <c r="E127" s="189"/>
      <c r="F127" s="81"/>
      <c r="G127" s="189"/>
      <c r="H127" s="81"/>
      <c r="I127" s="189"/>
      <c r="J127" s="81"/>
      <c r="K127" s="189"/>
      <c r="L127" s="81"/>
      <c r="M127" s="189"/>
      <c r="O127" s="172"/>
    </row>
    <row r="128" spans="1:26" s="27" customFormat="1" ht="10.199999999999999" hidden="1" x14ac:dyDescent="0.2">
      <c r="A128" s="154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3"/>
      <c r="O128" s="172"/>
      <c r="P128" s="153"/>
      <c r="Q128" s="153"/>
      <c r="R128" s="153"/>
      <c r="S128" s="153"/>
      <c r="T128" s="153"/>
      <c r="U128" s="153"/>
      <c r="V128" s="153"/>
      <c r="W128" s="153"/>
      <c r="X128" s="153"/>
    </row>
    <row r="129" spans="1:26" s="27" customFormat="1" ht="10.199999999999999" hidden="1" x14ac:dyDescent="0.2">
      <c r="E129" s="44"/>
      <c r="F129" s="44"/>
      <c r="G129" s="44"/>
      <c r="H129" s="44"/>
      <c r="I129" s="44"/>
      <c r="J129" s="44"/>
      <c r="K129" s="44"/>
      <c r="L129" s="44"/>
      <c r="M129" s="44"/>
      <c r="N129" s="153"/>
      <c r="O129" s="172"/>
      <c r="P129" s="153"/>
      <c r="Q129" s="153"/>
      <c r="R129" s="153"/>
      <c r="S129" s="153"/>
      <c r="T129" s="174"/>
      <c r="U129" s="174"/>
      <c r="V129" s="174"/>
      <c r="W129" s="174"/>
      <c r="X129" s="174"/>
      <c r="Y129" s="174"/>
      <c r="Z129" s="175"/>
    </row>
    <row r="130" spans="1:26" s="27" customFormat="1" ht="3" hidden="1" customHeight="1" x14ac:dyDescent="0.2">
      <c r="E130" s="44"/>
      <c r="F130" s="44"/>
      <c r="G130" s="44"/>
      <c r="H130" s="44"/>
      <c r="I130" s="44"/>
      <c r="J130" s="44"/>
      <c r="K130" s="44"/>
      <c r="L130" s="44"/>
      <c r="M130" s="44"/>
      <c r="N130" s="153"/>
      <c r="O130" s="172"/>
      <c r="P130" s="153"/>
      <c r="Q130" s="153"/>
      <c r="R130" s="153"/>
      <c r="S130" s="153"/>
      <c r="T130" s="153"/>
      <c r="U130" s="153"/>
      <c r="V130" s="153"/>
      <c r="W130" s="153"/>
      <c r="X130" s="153"/>
    </row>
    <row r="131" spans="1:26" s="27" customFormat="1" ht="10.199999999999999" hidden="1" x14ac:dyDescent="0.2">
      <c r="A131" s="156"/>
      <c r="B131" s="156"/>
      <c r="C131" s="156"/>
      <c r="D131" s="156"/>
      <c r="E131" s="157"/>
      <c r="F131" s="158"/>
      <c r="G131" s="157"/>
      <c r="H131" s="158"/>
      <c r="I131" s="157"/>
      <c r="J131" s="158"/>
      <c r="K131" s="157"/>
      <c r="L131" s="158"/>
      <c r="M131" s="157">
        <f>SUM(M129:M130)</f>
        <v>0</v>
      </c>
      <c r="N131" s="153"/>
      <c r="O131" s="172"/>
      <c r="P131" s="153"/>
      <c r="Q131" s="153"/>
      <c r="R131" s="153"/>
      <c r="S131" s="153"/>
      <c r="T131" s="153"/>
      <c r="U131" s="153"/>
      <c r="V131" s="153"/>
      <c r="W131" s="153"/>
      <c r="X131" s="153"/>
    </row>
    <row r="132" spans="1:26" s="27" customFormat="1" ht="3" hidden="1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53"/>
      <c r="O132" s="172"/>
      <c r="P132" s="153"/>
      <c r="Q132" s="153"/>
      <c r="R132" s="153"/>
      <c r="S132" s="153"/>
      <c r="T132" s="153"/>
      <c r="U132" s="153"/>
      <c r="V132" s="153"/>
      <c r="W132" s="153"/>
      <c r="X132" s="153"/>
    </row>
    <row r="133" spans="1:26" s="27" customFormat="1" ht="10.199999999999999" hidden="1" x14ac:dyDescent="0.2">
      <c r="A133" s="154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3"/>
      <c r="O133" s="172"/>
      <c r="P133" s="153"/>
      <c r="Q133" s="153"/>
      <c r="R133" s="153"/>
      <c r="S133" s="153"/>
      <c r="T133" s="153"/>
      <c r="U133" s="153"/>
      <c r="V133" s="153"/>
      <c r="W133" s="153"/>
      <c r="X133" s="153"/>
    </row>
    <row r="134" spans="1:26" s="27" customFormat="1" ht="10.199999999999999" hidden="1" x14ac:dyDescent="0.2">
      <c r="E134" s="44"/>
      <c r="F134" s="44"/>
      <c r="G134" s="44"/>
      <c r="H134" s="44"/>
      <c r="I134" s="44"/>
      <c r="J134" s="44"/>
      <c r="K134" s="44"/>
      <c r="L134" s="44"/>
      <c r="M134" s="44"/>
      <c r="N134" s="153"/>
      <c r="O134" s="172"/>
      <c r="P134" s="153"/>
      <c r="Q134" s="153"/>
      <c r="R134" s="153"/>
      <c r="S134" s="153"/>
      <c r="T134" s="174"/>
      <c r="U134" s="174"/>
      <c r="V134" s="174"/>
      <c r="W134" s="174"/>
      <c r="X134" s="174"/>
      <c r="Y134" s="174"/>
      <c r="Z134" s="175"/>
    </row>
    <row r="135" spans="1:26" s="27" customFormat="1" ht="3" hidden="1" customHeight="1" x14ac:dyDescent="0.2">
      <c r="E135" s="44"/>
      <c r="F135" s="44"/>
      <c r="G135" s="44"/>
      <c r="H135" s="44"/>
      <c r="I135" s="44"/>
      <c r="J135" s="44"/>
      <c r="K135" s="44"/>
      <c r="L135" s="44"/>
      <c r="M135" s="44"/>
      <c r="N135" s="153"/>
      <c r="O135" s="172"/>
      <c r="P135" s="153"/>
      <c r="Q135" s="153"/>
      <c r="R135" s="153"/>
      <c r="S135" s="153"/>
      <c r="T135" s="153"/>
      <c r="U135" s="153"/>
      <c r="V135" s="153"/>
      <c r="W135" s="153"/>
      <c r="X135" s="153"/>
    </row>
    <row r="136" spans="1:26" s="27" customFormat="1" ht="10.199999999999999" hidden="1" x14ac:dyDescent="0.2">
      <c r="A136" s="156"/>
      <c r="B136" s="156"/>
      <c r="C136" s="156"/>
      <c r="D136" s="156"/>
      <c r="E136" s="157"/>
      <c r="F136" s="158"/>
      <c r="G136" s="157"/>
      <c r="H136" s="158"/>
      <c r="I136" s="157"/>
      <c r="J136" s="158"/>
      <c r="K136" s="157"/>
      <c r="L136" s="158"/>
      <c r="M136" s="157">
        <f>SUM(M134)</f>
        <v>0</v>
      </c>
      <c r="N136" s="153"/>
      <c r="O136" s="172"/>
      <c r="P136" s="153"/>
      <c r="Q136" s="153"/>
      <c r="R136" s="153"/>
      <c r="S136" s="153"/>
      <c r="T136" s="153"/>
      <c r="U136" s="153"/>
      <c r="V136" s="153"/>
      <c r="W136" s="153"/>
      <c r="X136" s="153"/>
    </row>
    <row r="137" spans="1:26" s="27" customFormat="1" ht="3" hidden="1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53"/>
      <c r="O137" s="172"/>
      <c r="P137" s="153"/>
      <c r="Q137" s="153"/>
      <c r="R137" s="153"/>
      <c r="S137" s="153"/>
      <c r="T137" s="153"/>
      <c r="U137" s="153"/>
      <c r="V137" s="153"/>
      <c r="W137" s="153"/>
      <c r="X137" s="153"/>
    </row>
    <row r="138" spans="1:26" s="27" customFormat="1" ht="10.199999999999999" hidden="1" x14ac:dyDescent="0.2">
      <c r="A138" s="154" t="s">
        <v>180</v>
      </c>
      <c r="N138" s="153"/>
      <c r="O138" s="172"/>
      <c r="P138" s="153"/>
      <c r="Q138" s="153"/>
      <c r="R138" s="153"/>
      <c r="S138" s="153"/>
      <c r="T138" s="153"/>
      <c r="U138" s="153"/>
      <c r="V138" s="153"/>
      <c r="W138" s="153"/>
      <c r="X138" s="153"/>
    </row>
    <row r="139" spans="1:26" s="27" customFormat="1" ht="10.199999999999999" hidden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53"/>
      <c r="O139" s="172"/>
      <c r="P139" s="153"/>
      <c r="Q139" s="153"/>
      <c r="R139" s="153"/>
      <c r="S139" s="153"/>
      <c r="T139" s="174"/>
      <c r="U139" s="174"/>
      <c r="V139" s="174"/>
      <c r="W139" s="174"/>
      <c r="X139" s="174"/>
      <c r="Y139" s="174"/>
      <c r="Z139" s="175"/>
    </row>
    <row r="140" spans="1:26" s="27" customFormat="1" ht="3" hidden="1" customHeight="1" x14ac:dyDescent="0.2">
      <c r="E140" s="44"/>
      <c r="F140" s="44"/>
      <c r="G140" s="44"/>
      <c r="H140" s="44"/>
      <c r="I140" s="44"/>
      <c r="J140" s="44"/>
      <c r="K140" s="44"/>
      <c r="L140" s="44"/>
      <c r="M140" s="44"/>
      <c r="N140" s="153"/>
      <c r="O140" s="172"/>
      <c r="P140" s="153"/>
      <c r="Q140" s="153"/>
      <c r="R140" s="153"/>
      <c r="S140" s="153"/>
      <c r="T140" s="153"/>
      <c r="U140" s="153"/>
      <c r="V140" s="153"/>
      <c r="W140" s="153"/>
      <c r="X140" s="153"/>
    </row>
    <row r="141" spans="1:26" s="27" customFormat="1" ht="10.199999999999999" hidden="1" x14ac:dyDescent="0.2">
      <c r="A141" s="156"/>
      <c r="B141" s="156"/>
      <c r="C141" s="156"/>
      <c r="D141" s="156"/>
      <c r="E141" s="157"/>
      <c r="F141" s="158"/>
      <c r="G141" s="157"/>
      <c r="H141" s="158"/>
      <c r="I141" s="157"/>
      <c r="J141" s="158"/>
      <c r="K141" s="157"/>
      <c r="L141" s="158"/>
      <c r="M141" s="157">
        <f>SUM(M139:M139)</f>
        <v>0</v>
      </c>
      <c r="N141" s="153"/>
      <c r="O141" s="172"/>
      <c r="P141" s="153"/>
      <c r="Q141" s="153"/>
      <c r="R141" s="153"/>
      <c r="S141" s="153"/>
      <c r="T141" s="153"/>
      <c r="U141" s="153"/>
      <c r="V141" s="153"/>
      <c r="W141" s="153"/>
      <c r="X141" s="153"/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53"/>
      <c r="O142" s="172"/>
      <c r="P142" s="153"/>
      <c r="Q142" s="153"/>
      <c r="R142" s="153"/>
      <c r="S142" s="153"/>
      <c r="T142" s="153"/>
      <c r="U142" s="153"/>
      <c r="V142" s="153"/>
      <c r="W142" s="153"/>
      <c r="X142" s="153"/>
    </row>
    <row r="143" spans="1:26" s="27" customFormat="1" ht="10.8" thickBot="1" x14ac:dyDescent="0.25">
      <c r="A143" s="159" t="s">
        <v>101</v>
      </c>
      <c r="B143" s="160"/>
      <c r="C143" s="160"/>
      <c r="D143" s="160"/>
      <c r="E143" s="161"/>
      <c r="F143" s="162"/>
      <c r="G143" s="161"/>
      <c r="H143" s="162"/>
      <c r="I143" s="161"/>
      <c r="J143" s="162"/>
      <c r="K143" s="161"/>
      <c r="L143" s="162"/>
      <c r="M143" s="161">
        <f>M105+M113+M118+M126+M141+M131+M136+M100</f>
        <v>688</v>
      </c>
      <c r="N143" s="153"/>
      <c r="O143" s="172"/>
      <c r="P143" s="153"/>
      <c r="Q143" s="153"/>
      <c r="R143" s="153"/>
      <c r="S143" s="153"/>
      <c r="T143" s="153"/>
      <c r="U143" s="153"/>
      <c r="V143" s="153"/>
      <c r="W143" s="153"/>
      <c r="X143" s="153"/>
    </row>
    <row r="144" spans="1:26" s="27" customFormat="1" ht="10.8" thickTop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53"/>
      <c r="O144" s="172"/>
      <c r="P144" s="153"/>
      <c r="Q144" s="153"/>
      <c r="R144" s="153"/>
      <c r="S144" s="153"/>
      <c r="T144" s="153"/>
      <c r="U144" s="153"/>
      <c r="V144" s="153"/>
      <c r="W144" s="153"/>
      <c r="X144" s="153"/>
    </row>
    <row r="145" spans="5:24" s="27" customFormat="1" ht="10.199999999999999" x14ac:dyDescent="0.2">
      <c r="E145" s="44"/>
      <c r="F145" s="44"/>
      <c r="G145" s="44"/>
      <c r="H145" s="44"/>
      <c r="I145" s="44"/>
      <c r="J145" s="44"/>
      <c r="K145" s="44"/>
      <c r="L145" s="44"/>
      <c r="M145" s="44"/>
      <c r="N145" s="153"/>
      <c r="O145" s="172"/>
      <c r="P145" s="153"/>
      <c r="Q145" s="153"/>
      <c r="R145" s="153"/>
      <c r="S145" s="153"/>
      <c r="T145" s="153"/>
      <c r="U145" s="153"/>
      <c r="V145" s="153"/>
      <c r="W145" s="153"/>
      <c r="X145" s="153"/>
    </row>
    <row r="146" spans="5:24" s="27" customFormat="1" ht="10.199999999999999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53"/>
      <c r="O146" s="172"/>
      <c r="P146" s="153"/>
      <c r="Q146" s="153"/>
      <c r="R146" s="153"/>
      <c r="S146" s="153"/>
      <c r="T146" s="153"/>
      <c r="U146" s="153"/>
      <c r="V146" s="153"/>
      <c r="W146" s="153"/>
      <c r="X146" s="153"/>
    </row>
    <row r="147" spans="5:24" s="27" customFormat="1" ht="10.199999999999999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53"/>
      <c r="O147" s="172"/>
      <c r="P147" s="153"/>
      <c r="Q147" s="153"/>
      <c r="R147" s="153"/>
      <c r="S147" s="153"/>
      <c r="T147" s="153"/>
      <c r="U147" s="153"/>
      <c r="V147" s="153"/>
      <c r="W147" s="153"/>
      <c r="X147" s="153"/>
    </row>
    <row r="148" spans="5:24" s="27" customFormat="1" ht="10.199999999999999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53"/>
      <c r="O148" s="172"/>
      <c r="P148" s="153"/>
      <c r="Q148" s="153"/>
      <c r="R148" s="153"/>
      <c r="S148" s="153"/>
      <c r="T148" s="153"/>
      <c r="U148" s="153"/>
      <c r="V148" s="153"/>
      <c r="W148" s="153"/>
      <c r="X148" s="153"/>
    </row>
    <row r="149" spans="5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53"/>
      <c r="O149" s="172"/>
      <c r="P149" s="153"/>
      <c r="Q149" s="153"/>
      <c r="R149" s="153"/>
      <c r="S149" s="153"/>
      <c r="T149" s="153"/>
      <c r="U149" s="153"/>
      <c r="V149" s="153"/>
      <c r="W149" s="153"/>
      <c r="X149" s="153"/>
    </row>
    <row r="150" spans="5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53"/>
      <c r="O150" s="172"/>
      <c r="P150" s="153"/>
      <c r="Q150" s="153"/>
      <c r="R150" s="153"/>
      <c r="S150" s="153"/>
      <c r="T150" s="153"/>
      <c r="U150" s="153"/>
      <c r="V150" s="153"/>
      <c r="W150" s="153"/>
      <c r="X150" s="153"/>
    </row>
    <row r="151" spans="5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53"/>
      <c r="O151" s="172"/>
      <c r="P151" s="153"/>
      <c r="Q151" s="153"/>
      <c r="R151" s="153"/>
      <c r="S151" s="153"/>
      <c r="T151" s="153"/>
      <c r="U151" s="153"/>
      <c r="V151" s="153"/>
      <c r="W151" s="153"/>
      <c r="X151" s="153"/>
    </row>
    <row r="152" spans="5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53"/>
      <c r="O152" s="172"/>
      <c r="P152" s="153"/>
      <c r="Q152" s="153"/>
      <c r="R152" s="153"/>
      <c r="S152" s="153"/>
      <c r="T152" s="153"/>
      <c r="U152" s="153"/>
      <c r="V152" s="153"/>
      <c r="W152" s="153"/>
      <c r="X152" s="153"/>
    </row>
    <row r="153" spans="5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53"/>
      <c r="O153" s="172"/>
      <c r="P153" s="153"/>
      <c r="Q153" s="153"/>
      <c r="R153" s="153"/>
      <c r="S153" s="153"/>
      <c r="T153" s="153"/>
      <c r="U153" s="153"/>
      <c r="V153" s="153"/>
      <c r="W153" s="153"/>
      <c r="X153" s="153"/>
    </row>
    <row r="154" spans="5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53"/>
      <c r="O154" s="172"/>
      <c r="P154" s="153"/>
      <c r="Q154" s="153"/>
      <c r="R154" s="153"/>
      <c r="S154" s="153"/>
      <c r="T154" s="153"/>
      <c r="U154" s="153"/>
      <c r="V154" s="153"/>
      <c r="W154" s="153"/>
      <c r="X154" s="153"/>
    </row>
    <row r="155" spans="5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53"/>
      <c r="O155" s="172"/>
      <c r="P155" s="153"/>
      <c r="Q155" s="153"/>
      <c r="R155" s="153"/>
      <c r="S155" s="153"/>
      <c r="T155" s="153"/>
      <c r="U155" s="153"/>
      <c r="V155" s="153"/>
      <c r="W155" s="153"/>
      <c r="X155" s="153"/>
    </row>
    <row r="156" spans="5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53"/>
      <c r="O156" s="172"/>
      <c r="P156" s="153"/>
      <c r="Q156" s="153"/>
      <c r="R156" s="153"/>
      <c r="S156" s="153"/>
      <c r="T156" s="153"/>
      <c r="U156" s="153"/>
      <c r="V156" s="153"/>
      <c r="W156" s="153"/>
      <c r="X156" s="153"/>
    </row>
    <row r="157" spans="5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53"/>
      <c r="O157" s="172"/>
      <c r="P157" s="153"/>
      <c r="Q157" s="153"/>
      <c r="R157" s="153"/>
      <c r="S157" s="153"/>
      <c r="T157" s="153"/>
      <c r="U157" s="153"/>
      <c r="V157" s="153"/>
      <c r="W157" s="153"/>
      <c r="X157" s="153"/>
    </row>
    <row r="158" spans="5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53"/>
      <c r="O158" s="172"/>
      <c r="P158" s="153"/>
      <c r="Q158" s="153"/>
      <c r="R158" s="153"/>
      <c r="S158" s="153"/>
      <c r="T158" s="153"/>
      <c r="U158" s="153"/>
      <c r="V158" s="153"/>
      <c r="W158" s="153"/>
      <c r="X158" s="153"/>
    </row>
    <row r="159" spans="5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53"/>
      <c r="O159" s="172"/>
      <c r="P159" s="153"/>
      <c r="Q159" s="153"/>
      <c r="R159" s="153"/>
      <c r="S159" s="153"/>
      <c r="T159" s="153"/>
      <c r="U159" s="153"/>
      <c r="V159" s="153"/>
      <c r="W159" s="153"/>
      <c r="X159" s="153"/>
    </row>
    <row r="160" spans="5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53"/>
      <c r="O160" s="172"/>
      <c r="P160" s="153"/>
      <c r="Q160" s="153"/>
      <c r="R160" s="153"/>
      <c r="S160" s="153"/>
      <c r="T160" s="153"/>
      <c r="U160" s="153"/>
      <c r="V160" s="153"/>
      <c r="W160" s="153"/>
      <c r="X160" s="153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53"/>
      <c r="O161" s="172"/>
      <c r="P161" s="153"/>
      <c r="Q161" s="153"/>
      <c r="R161" s="153"/>
      <c r="S161" s="153"/>
      <c r="T161" s="153"/>
      <c r="U161" s="153"/>
      <c r="V161" s="153"/>
      <c r="W161" s="153"/>
      <c r="X161" s="153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53"/>
      <c r="O162" s="172"/>
      <c r="P162" s="153"/>
      <c r="Q162" s="153"/>
      <c r="R162" s="153"/>
      <c r="S162" s="153"/>
      <c r="T162" s="153"/>
      <c r="U162" s="153"/>
      <c r="V162" s="153"/>
      <c r="W162" s="153"/>
      <c r="X162" s="153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53"/>
      <c r="O163" s="172"/>
      <c r="P163" s="153"/>
      <c r="Q163" s="153"/>
      <c r="R163" s="153"/>
      <c r="S163" s="153"/>
      <c r="T163" s="153"/>
      <c r="U163" s="153"/>
      <c r="V163" s="153"/>
      <c r="W163" s="153"/>
      <c r="X163" s="153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53"/>
      <c r="O164" s="172"/>
      <c r="P164" s="153"/>
      <c r="Q164" s="153"/>
      <c r="R164" s="153"/>
      <c r="S164" s="153"/>
      <c r="T164" s="153"/>
      <c r="U164" s="153"/>
      <c r="V164" s="153"/>
      <c r="W164" s="153"/>
      <c r="X164" s="153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53"/>
      <c r="O165" s="172"/>
      <c r="P165" s="153"/>
      <c r="Q165" s="153"/>
      <c r="R165" s="153"/>
      <c r="S165" s="153"/>
      <c r="T165" s="153"/>
      <c r="U165" s="153"/>
      <c r="V165" s="153"/>
      <c r="W165" s="153"/>
      <c r="X165" s="153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53"/>
      <c r="O166" s="172"/>
      <c r="P166" s="153"/>
      <c r="Q166" s="153"/>
      <c r="R166" s="153"/>
      <c r="S166" s="153"/>
      <c r="T166" s="153"/>
      <c r="U166" s="153"/>
      <c r="V166" s="153"/>
      <c r="W166" s="153"/>
      <c r="X166" s="153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53"/>
      <c r="O167" s="172"/>
      <c r="P167" s="153"/>
      <c r="Q167" s="153"/>
      <c r="R167" s="153"/>
      <c r="S167" s="153"/>
      <c r="T167" s="153"/>
      <c r="U167" s="153"/>
      <c r="V167" s="153"/>
      <c r="W167" s="153"/>
      <c r="X167" s="153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53"/>
      <c r="O168" s="172"/>
      <c r="P168" s="153"/>
      <c r="Q168" s="153"/>
      <c r="R168" s="153"/>
      <c r="S168" s="153"/>
      <c r="T168" s="153"/>
      <c r="U168" s="153"/>
      <c r="V168" s="153"/>
      <c r="W168" s="153"/>
      <c r="X168" s="153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53"/>
      <c r="O169" s="172"/>
      <c r="P169" s="153"/>
      <c r="Q169" s="153"/>
      <c r="R169" s="153"/>
      <c r="S169" s="153"/>
      <c r="T169" s="153"/>
      <c r="U169" s="153"/>
      <c r="V169" s="153"/>
      <c r="W169" s="153"/>
      <c r="X169" s="153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53"/>
      <c r="O170" s="172"/>
      <c r="P170" s="153"/>
      <c r="Q170" s="153"/>
      <c r="R170" s="153"/>
      <c r="S170" s="153"/>
      <c r="T170" s="153"/>
      <c r="U170" s="153"/>
      <c r="V170" s="153"/>
      <c r="W170" s="153"/>
      <c r="X170" s="153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53"/>
      <c r="O171" s="172"/>
      <c r="P171" s="153"/>
      <c r="Q171" s="153"/>
      <c r="R171" s="153"/>
      <c r="S171" s="153"/>
      <c r="T171" s="153"/>
      <c r="U171" s="153"/>
      <c r="V171" s="153"/>
      <c r="W171" s="153"/>
      <c r="X171" s="153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53"/>
      <c r="O172" s="172"/>
      <c r="P172" s="153"/>
      <c r="Q172" s="153"/>
      <c r="R172" s="153"/>
      <c r="S172" s="153"/>
      <c r="T172" s="153"/>
      <c r="U172" s="153"/>
      <c r="V172" s="153"/>
      <c r="W172" s="153"/>
      <c r="X172" s="153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53"/>
      <c r="O173" s="172"/>
      <c r="P173" s="153"/>
      <c r="Q173" s="153"/>
      <c r="R173" s="153"/>
      <c r="S173" s="153"/>
      <c r="T173" s="153"/>
      <c r="U173" s="153"/>
      <c r="V173" s="153"/>
      <c r="W173" s="153"/>
      <c r="X173" s="153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53"/>
      <c r="O174" s="172"/>
      <c r="P174" s="153"/>
      <c r="Q174" s="153"/>
      <c r="R174" s="153"/>
      <c r="S174" s="153"/>
      <c r="T174" s="153"/>
      <c r="U174" s="153"/>
      <c r="V174" s="153"/>
      <c r="W174" s="153"/>
      <c r="X174" s="153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53"/>
      <c r="O175" s="172"/>
      <c r="P175" s="153"/>
      <c r="Q175" s="153"/>
      <c r="R175" s="153"/>
      <c r="S175" s="153"/>
      <c r="T175" s="153"/>
      <c r="U175" s="153"/>
      <c r="V175" s="153"/>
      <c r="W175" s="153"/>
      <c r="X175" s="153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53"/>
      <c r="O176" s="172"/>
      <c r="P176" s="153"/>
      <c r="Q176" s="153"/>
      <c r="R176" s="153"/>
      <c r="S176" s="153"/>
      <c r="T176" s="153"/>
      <c r="U176" s="153"/>
      <c r="V176" s="153"/>
      <c r="W176" s="153"/>
      <c r="X176" s="153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53"/>
      <c r="O177" s="172"/>
      <c r="P177" s="153"/>
      <c r="Q177" s="153"/>
      <c r="R177" s="153"/>
      <c r="S177" s="153"/>
      <c r="T177" s="153"/>
      <c r="U177" s="153"/>
      <c r="V177" s="153"/>
      <c r="W177" s="153"/>
      <c r="X177" s="153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53"/>
      <c r="O178" s="172"/>
      <c r="P178" s="153"/>
      <c r="Q178" s="153"/>
      <c r="R178" s="153"/>
      <c r="S178" s="153"/>
      <c r="T178" s="153"/>
      <c r="U178" s="153"/>
      <c r="V178" s="153"/>
      <c r="W178" s="153"/>
      <c r="X178" s="153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53"/>
      <c r="O179" s="172"/>
      <c r="P179" s="153"/>
      <c r="Q179" s="153"/>
      <c r="R179" s="153"/>
      <c r="S179" s="153"/>
      <c r="T179" s="153"/>
      <c r="U179" s="153"/>
      <c r="V179" s="153"/>
      <c r="W179" s="153"/>
      <c r="X179" s="153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53"/>
      <c r="O180" s="172"/>
      <c r="P180" s="153"/>
      <c r="Q180" s="153"/>
      <c r="R180" s="153"/>
      <c r="S180" s="153"/>
      <c r="T180" s="153"/>
      <c r="U180" s="153"/>
      <c r="V180" s="153"/>
      <c r="W180" s="153"/>
      <c r="X180" s="153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53"/>
      <c r="O181" s="172"/>
      <c r="P181" s="153"/>
      <c r="Q181" s="153"/>
      <c r="R181" s="153"/>
      <c r="S181" s="153"/>
      <c r="T181" s="153"/>
      <c r="U181" s="153"/>
      <c r="V181" s="153"/>
      <c r="W181" s="153"/>
      <c r="X181" s="153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53"/>
      <c r="O182" s="172"/>
      <c r="P182" s="153"/>
      <c r="Q182" s="153"/>
      <c r="R182" s="153"/>
      <c r="S182" s="153"/>
      <c r="T182" s="153"/>
      <c r="U182" s="153"/>
      <c r="V182" s="153"/>
      <c r="W182" s="153"/>
      <c r="X182" s="153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53"/>
      <c r="O183" s="172"/>
      <c r="P183" s="153"/>
      <c r="Q183" s="153"/>
      <c r="R183" s="153"/>
      <c r="S183" s="153"/>
      <c r="T183" s="153"/>
      <c r="U183" s="153"/>
      <c r="V183" s="153"/>
      <c r="W183" s="153"/>
      <c r="X183" s="153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53"/>
      <c r="O184" s="172"/>
      <c r="P184" s="153"/>
      <c r="Q184" s="153"/>
      <c r="R184" s="153"/>
      <c r="S184" s="153"/>
      <c r="T184" s="153"/>
      <c r="U184" s="153"/>
      <c r="V184" s="153"/>
      <c r="W184" s="153"/>
      <c r="X184" s="153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53"/>
      <c r="O185" s="172"/>
      <c r="P185" s="153"/>
      <c r="Q185" s="153"/>
      <c r="R185" s="153"/>
      <c r="S185" s="153"/>
      <c r="T185" s="153"/>
      <c r="U185" s="153"/>
      <c r="V185" s="153"/>
      <c r="W185" s="153"/>
      <c r="X185" s="153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53"/>
      <c r="O186" s="172"/>
      <c r="P186" s="153"/>
      <c r="Q186" s="153"/>
      <c r="R186" s="153"/>
      <c r="S186" s="153"/>
      <c r="T186" s="153"/>
      <c r="U186" s="153"/>
      <c r="V186" s="153"/>
      <c r="W186" s="153"/>
      <c r="X186" s="153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53"/>
      <c r="O187" s="172"/>
      <c r="P187" s="153"/>
      <c r="Q187" s="153"/>
      <c r="R187" s="153"/>
      <c r="S187" s="153"/>
      <c r="T187" s="153"/>
      <c r="U187" s="153"/>
      <c r="V187" s="153"/>
      <c r="W187" s="153"/>
      <c r="X187" s="153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53"/>
      <c r="O188" s="172"/>
      <c r="P188" s="153"/>
      <c r="Q188" s="153"/>
      <c r="R188" s="153"/>
      <c r="S188" s="153"/>
      <c r="T188" s="153"/>
      <c r="U188" s="153"/>
      <c r="V188" s="153"/>
      <c r="W188" s="153"/>
      <c r="X188" s="153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53"/>
      <c r="O189" s="172"/>
      <c r="P189" s="153"/>
      <c r="Q189" s="153"/>
      <c r="R189" s="153"/>
      <c r="S189" s="153"/>
      <c r="T189" s="153"/>
      <c r="U189" s="153"/>
      <c r="V189" s="153"/>
      <c r="W189" s="153"/>
      <c r="X189" s="153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53"/>
      <c r="O190" s="172"/>
      <c r="P190" s="153"/>
      <c r="Q190" s="153"/>
      <c r="R190" s="153"/>
      <c r="S190" s="153"/>
      <c r="T190" s="153"/>
      <c r="U190" s="153"/>
      <c r="V190" s="153"/>
      <c r="W190" s="153"/>
      <c r="X190" s="153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53"/>
      <c r="O191" s="172"/>
      <c r="P191" s="153"/>
      <c r="Q191" s="153"/>
      <c r="R191" s="153"/>
      <c r="S191" s="153"/>
      <c r="T191" s="153"/>
      <c r="U191" s="153"/>
      <c r="V191" s="153"/>
      <c r="W191" s="153"/>
      <c r="X191" s="153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53"/>
      <c r="O192" s="172"/>
      <c r="P192" s="153"/>
      <c r="Q192" s="153"/>
      <c r="R192" s="153"/>
      <c r="S192" s="153"/>
      <c r="T192" s="153"/>
      <c r="U192" s="153"/>
      <c r="V192" s="153"/>
      <c r="W192" s="153"/>
      <c r="X192" s="153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53"/>
      <c r="O193" s="172"/>
      <c r="P193" s="153"/>
      <c r="Q193" s="153"/>
      <c r="R193" s="153"/>
      <c r="S193" s="153"/>
      <c r="T193" s="153"/>
      <c r="U193" s="153"/>
      <c r="V193" s="153"/>
      <c r="W193" s="153"/>
      <c r="X193" s="153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53"/>
      <c r="O194" s="172"/>
      <c r="P194" s="153"/>
      <c r="Q194" s="153"/>
      <c r="R194" s="153"/>
      <c r="S194" s="153"/>
      <c r="T194" s="153"/>
      <c r="U194" s="153"/>
      <c r="V194" s="153"/>
      <c r="W194" s="153"/>
      <c r="X194" s="153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53"/>
      <c r="O195" s="172"/>
      <c r="P195" s="153"/>
      <c r="Q195" s="153"/>
      <c r="R195" s="153"/>
      <c r="S195" s="153"/>
      <c r="T195" s="153"/>
      <c r="U195" s="153"/>
      <c r="V195" s="153"/>
      <c r="W195" s="153"/>
      <c r="X195" s="153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53"/>
      <c r="O196" s="172"/>
      <c r="P196" s="153"/>
      <c r="Q196" s="153"/>
      <c r="R196" s="153"/>
      <c r="S196" s="153"/>
      <c r="T196" s="153"/>
      <c r="U196" s="153"/>
      <c r="V196" s="153"/>
      <c r="W196" s="153"/>
      <c r="X196" s="153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53"/>
      <c r="O197" s="172"/>
      <c r="P197" s="153"/>
      <c r="Q197" s="153"/>
      <c r="R197" s="153"/>
      <c r="S197" s="153"/>
      <c r="T197" s="153"/>
      <c r="U197" s="153"/>
      <c r="V197" s="153"/>
      <c r="W197" s="153"/>
      <c r="X197" s="153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53"/>
      <c r="O198" s="172"/>
      <c r="P198" s="153"/>
      <c r="Q198" s="153"/>
      <c r="R198" s="153"/>
      <c r="S198" s="153"/>
      <c r="T198" s="153"/>
      <c r="U198" s="153"/>
      <c r="V198" s="153"/>
      <c r="W198" s="153"/>
      <c r="X198" s="153"/>
    </row>
    <row r="199" spans="5:24" s="27" customFormat="1" ht="10.199999999999999" x14ac:dyDescent="0.2">
      <c r="N199" s="153"/>
      <c r="O199" s="172"/>
      <c r="P199" s="153"/>
      <c r="Q199" s="153"/>
      <c r="R199" s="153"/>
      <c r="S199" s="153"/>
      <c r="T199" s="153"/>
      <c r="U199" s="153"/>
      <c r="V199" s="153"/>
      <c r="W199" s="153"/>
      <c r="X199" s="153"/>
    </row>
    <row r="200" spans="5:24" s="27" customFormat="1" ht="10.199999999999999" x14ac:dyDescent="0.2">
      <c r="N200" s="153"/>
      <c r="O200" s="172"/>
      <c r="P200" s="153"/>
      <c r="Q200" s="153"/>
      <c r="R200" s="153"/>
      <c r="S200" s="153"/>
      <c r="T200" s="153"/>
      <c r="U200" s="153"/>
      <c r="V200" s="153"/>
      <c r="W200" s="153"/>
      <c r="X200" s="153"/>
    </row>
    <row r="201" spans="5:24" s="27" customFormat="1" ht="10.199999999999999" x14ac:dyDescent="0.2">
      <c r="N201" s="153"/>
      <c r="O201" s="172"/>
      <c r="P201" s="153"/>
      <c r="Q201" s="153"/>
      <c r="R201" s="153"/>
      <c r="S201" s="153"/>
      <c r="T201" s="153"/>
      <c r="U201" s="153"/>
      <c r="V201" s="153"/>
      <c r="W201" s="153"/>
      <c r="X201" s="153"/>
    </row>
    <row r="202" spans="5:24" s="27" customFormat="1" ht="10.199999999999999" x14ac:dyDescent="0.2">
      <c r="N202" s="153"/>
      <c r="O202" s="172"/>
      <c r="P202" s="153"/>
      <c r="Q202" s="153"/>
      <c r="R202" s="153"/>
      <c r="S202" s="153"/>
      <c r="T202" s="153"/>
      <c r="U202" s="153"/>
      <c r="V202" s="153"/>
      <c r="W202" s="153"/>
      <c r="X202" s="153"/>
    </row>
    <row r="203" spans="5:24" s="27" customFormat="1" ht="10.199999999999999" x14ac:dyDescent="0.2">
      <c r="N203" s="153"/>
      <c r="O203" s="172"/>
      <c r="P203" s="153"/>
      <c r="Q203" s="153"/>
      <c r="R203" s="153"/>
      <c r="S203" s="153"/>
      <c r="T203" s="153"/>
      <c r="U203" s="153"/>
      <c r="V203" s="153"/>
      <c r="W203" s="153"/>
      <c r="X203" s="153"/>
    </row>
    <row r="204" spans="5:24" s="27" customFormat="1" ht="10.199999999999999" x14ac:dyDescent="0.2">
      <c r="N204" s="153"/>
      <c r="O204" s="172"/>
      <c r="P204" s="153"/>
      <c r="Q204" s="153"/>
      <c r="R204" s="153"/>
      <c r="S204" s="153"/>
      <c r="T204" s="153"/>
      <c r="U204" s="153"/>
      <c r="V204" s="153"/>
      <c r="W204" s="153"/>
      <c r="X204" s="153"/>
    </row>
    <row r="205" spans="5:24" s="27" customFormat="1" ht="10.199999999999999" x14ac:dyDescent="0.2">
      <c r="N205" s="153"/>
      <c r="O205" s="172"/>
      <c r="P205" s="153"/>
      <c r="Q205" s="153"/>
      <c r="R205" s="153"/>
      <c r="S205" s="153"/>
      <c r="T205" s="153"/>
      <c r="U205" s="153"/>
      <c r="V205" s="153"/>
      <c r="W205" s="153"/>
      <c r="X205" s="153"/>
    </row>
    <row r="206" spans="5:24" s="27" customFormat="1" ht="10.199999999999999" x14ac:dyDescent="0.2">
      <c r="N206" s="153"/>
      <c r="O206" s="172"/>
      <c r="P206" s="153"/>
      <c r="Q206" s="153"/>
      <c r="R206" s="153"/>
      <c r="S206" s="153"/>
      <c r="T206" s="153"/>
      <c r="U206" s="153"/>
      <c r="V206" s="153"/>
      <c r="W206" s="153"/>
      <c r="X206" s="153"/>
    </row>
    <row r="207" spans="5:24" s="27" customFormat="1" ht="10.199999999999999" x14ac:dyDescent="0.2">
      <c r="N207" s="153"/>
      <c r="O207" s="172"/>
      <c r="P207" s="153"/>
      <c r="Q207" s="153"/>
      <c r="R207" s="153"/>
      <c r="S207" s="153"/>
      <c r="T207" s="153"/>
      <c r="U207" s="153"/>
      <c r="V207" s="153"/>
      <c r="W207" s="153"/>
      <c r="X207" s="153"/>
    </row>
    <row r="208" spans="5:24" s="27" customFormat="1" ht="10.199999999999999" x14ac:dyDescent="0.2">
      <c r="N208" s="153"/>
      <c r="O208" s="172"/>
      <c r="P208" s="153"/>
      <c r="Q208" s="153"/>
      <c r="R208" s="153"/>
      <c r="S208" s="153"/>
      <c r="T208" s="153"/>
      <c r="U208" s="153"/>
      <c r="V208" s="153"/>
      <c r="W208" s="153"/>
      <c r="X208" s="153"/>
    </row>
    <row r="209" spans="14:24" s="27" customFormat="1" ht="10.199999999999999" x14ac:dyDescent="0.2">
      <c r="N209" s="153"/>
      <c r="O209" s="172"/>
      <c r="P209" s="153"/>
      <c r="Q209" s="153"/>
      <c r="R209" s="153"/>
      <c r="S209" s="153"/>
      <c r="T209" s="153"/>
      <c r="U209" s="153"/>
      <c r="V209" s="153"/>
      <c r="W209" s="153"/>
      <c r="X209" s="153"/>
    </row>
    <row r="210" spans="14:24" s="27" customFormat="1" ht="10.199999999999999" x14ac:dyDescent="0.2">
      <c r="N210" s="153"/>
      <c r="O210" s="172"/>
      <c r="P210" s="153"/>
      <c r="Q210" s="153"/>
      <c r="R210" s="153"/>
      <c r="S210" s="153"/>
      <c r="T210" s="153"/>
      <c r="U210" s="153"/>
      <c r="V210" s="153"/>
      <c r="W210" s="153"/>
      <c r="X210" s="153"/>
    </row>
    <row r="211" spans="14:24" s="27" customFormat="1" ht="10.199999999999999" x14ac:dyDescent="0.2">
      <c r="N211" s="153"/>
      <c r="O211" s="172"/>
      <c r="P211" s="153"/>
      <c r="Q211" s="153"/>
      <c r="R211" s="153"/>
      <c r="S211" s="153"/>
      <c r="T211" s="153"/>
      <c r="U211" s="153"/>
      <c r="V211" s="153"/>
      <c r="W211" s="153"/>
      <c r="X211" s="153"/>
    </row>
    <row r="212" spans="14:24" s="27" customFormat="1" ht="10.199999999999999" x14ac:dyDescent="0.2">
      <c r="N212" s="153"/>
      <c r="O212" s="172"/>
      <c r="P212" s="153"/>
      <c r="Q212" s="153"/>
      <c r="R212" s="153"/>
      <c r="S212" s="153"/>
      <c r="T212" s="153"/>
      <c r="U212" s="153"/>
      <c r="V212" s="153"/>
      <c r="W212" s="153"/>
      <c r="X212" s="153"/>
    </row>
    <row r="213" spans="14:24" s="27" customFormat="1" ht="10.199999999999999" x14ac:dyDescent="0.2">
      <c r="N213" s="153"/>
      <c r="O213" s="172"/>
      <c r="P213" s="153"/>
      <c r="Q213" s="153"/>
      <c r="R213" s="153"/>
      <c r="S213" s="153"/>
      <c r="T213" s="153"/>
      <c r="U213" s="153"/>
      <c r="V213" s="153"/>
      <c r="W213" s="153"/>
      <c r="X213" s="153"/>
    </row>
    <row r="214" spans="14:24" s="27" customFormat="1" ht="10.199999999999999" x14ac:dyDescent="0.2">
      <c r="N214" s="153"/>
      <c r="O214" s="172"/>
      <c r="P214" s="153"/>
      <c r="Q214" s="153"/>
      <c r="R214" s="153"/>
      <c r="S214" s="153"/>
      <c r="T214" s="153"/>
      <c r="U214" s="153"/>
      <c r="V214" s="153"/>
      <c r="W214" s="153"/>
      <c r="X214" s="153"/>
    </row>
    <row r="215" spans="14:24" s="27" customFormat="1" ht="10.199999999999999" x14ac:dyDescent="0.2">
      <c r="N215" s="153"/>
      <c r="O215" s="172"/>
      <c r="P215" s="153"/>
      <c r="Q215" s="153"/>
      <c r="R215" s="153"/>
      <c r="S215" s="153"/>
      <c r="T215" s="153"/>
      <c r="U215" s="153"/>
      <c r="V215" s="153"/>
      <c r="W215" s="153"/>
      <c r="X215" s="153"/>
    </row>
    <row r="216" spans="14:24" s="27" customFormat="1" ht="10.199999999999999" x14ac:dyDescent="0.2">
      <c r="N216" s="153"/>
      <c r="O216" s="172"/>
      <c r="P216" s="153"/>
      <c r="Q216" s="153"/>
      <c r="R216" s="153"/>
      <c r="S216" s="153"/>
      <c r="T216" s="153"/>
      <c r="U216" s="153"/>
      <c r="V216" s="153"/>
      <c r="W216" s="153"/>
      <c r="X216" s="153"/>
    </row>
    <row r="217" spans="14:24" s="27" customFormat="1" ht="10.199999999999999" x14ac:dyDescent="0.2">
      <c r="N217" s="153"/>
      <c r="O217" s="172"/>
      <c r="P217" s="153"/>
      <c r="Q217" s="153"/>
      <c r="R217" s="153"/>
      <c r="S217" s="153"/>
      <c r="T217" s="153"/>
      <c r="U217" s="153"/>
      <c r="V217" s="153"/>
      <c r="W217" s="153"/>
      <c r="X217" s="153"/>
    </row>
    <row r="218" spans="14:24" s="27" customFormat="1" ht="10.199999999999999" x14ac:dyDescent="0.2">
      <c r="N218" s="153"/>
      <c r="O218" s="172"/>
      <c r="P218" s="153"/>
      <c r="Q218" s="153"/>
      <c r="R218" s="153"/>
      <c r="S218" s="153"/>
      <c r="T218" s="153"/>
      <c r="U218" s="153"/>
      <c r="V218" s="153"/>
      <c r="W218" s="153"/>
      <c r="X218" s="153"/>
    </row>
    <row r="219" spans="14:24" s="27" customFormat="1" ht="10.199999999999999" x14ac:dyDescent="0.2">
      <c r="N219" s="153"/>
      <c r="O219" s="172"/>
      <c r="P219" s="153"/>
      <c r="Q219" s="153"/>
      <c r="R219" s="153"/>
      <c r="S219" s="153"/>
      <c r="T219" s="153"/>
      <c r="U219" s="153"/>
      <c r="V219" s="153"/>
      <c r="W219" s="153"/>
      <c r="X219" s="153"/>
    </row>
    <row r="220" spans="14:24" s="27" customFormat="1" ht="10.199999999999999" x14ac:dyDescent="0.2">
      <c r="N220" s="153"/>
      <c r="O220" s="172"/>
      <c r="P220" s="153"/>
      <c r="Q220" s="153"/>
      <c r="R220" s="153"/>
      <c r="S220" s="153"/>
      <c r="T220" s="153"/>
      <c r="U220" s="153"/>
      <c r="V220" s="153"/>
      <c r="W220" s="153"/>
      <c r="X220" s="153"/>
    </row>
    <row r="221" spans="14:24" s="27" customFormat="1" ht="10.199999999999999" x14ac:dyDescent="0.2">
      <c r="N221" s="153"/>
      <c r="O221" s="172"/>
      <c r="P221" s="153"/>
      <c r="Q221" s="153"/>
      <c r="R221" s="153"/>
      <c r="S221" s="153"/>
      <c r="T221" s="153"/>
      <c r="U221" s="153"/>
      <c r="V221" s="153"/>
      <c r="W221" s="153"/>
      <c r="X221" s="153"/>
    </row>
    <row r="222" spans="14:24" s="27" customFormat="1" ht="10.199999999999999" x14ac:dyDescent="0.2">
      <c r="N222" s="153"/>
      <c r="O222" s="172"/>
      <c r="P222" s="153"/>
      <c r="Q222" s="153"/>
      <c r="R222" s="153"/>
      <c r="S222" s="153"/>
      <c r="T222" s="153"/>
      <c r="U222" s="153"/>
      <c r="V222" s="153"/>
      <c r="W222" s="153"/>
      <c r="X222" s="153"/>
    </row>
    <row r="223" spans="14:24" s="27" customFormat="1" ht="10.199999999999999" x14ac:dyDescent="0.2">
      <c r="N223" s="153"/>
      <c r="O223" s="172"/>
      <c r="P223" s="153"/>
      <c r="Q223" s="153"/>
      <c r="R223" s="153"/>
      <c r="S223" s="153"/>
      <c r="T223" s="153"/>
      <c r="U223" s="153"/>
      <c r="V223" s="153"/>
      <c r="W223" s="153"/>
      <c r="X223" s="153"/>
    </row>
    <row r="224" spans="14:24" s="27" customFormat="1" ht="10.199999999999999" x14ac:dyDescent="0.2">
      <c r="N224" s="153"/>
      <c r="O224" s="172"/>
      <c r="P224" s="153"/>
      <c r="Q224" s="153"/>
      <c r="R224" s="153"/>
      <c r="S224" s="153"/>
      <c r="T224" s="153"/>
      <c r="U224" s="153"/>
      <c r="V224" s="153"/>
      <c r="W224" s="153"/>
      <c r="X224" s="153"/>
    </row>
    <row r="225" spans="14:24" s="27" customFormat="1" ht="10.199999999999999" x14ac:dyDescent="0.2">
      <c r="N225" s="153"/>
      <c r="O225" s="172"/>
      <c r="P225" s="153"/>
      <c r="Q225" s="153"/>
      <c r="R225" s="153"/>
      <c r="S225" s="153"/>
      <c r="T225" s="153"/>
      <c r="U225" s="153"/>
      <c r="V225" s="153"/>
      <c r="W225" s="153"/>
      <c r="X225" s="153"/>
    </row>
    <row r="226" spans="14:24" s="27" customFormat="1" ht="10.199999999999999" x14ac:dyDescent="0.2">
      <c r="N226" s="153"/>
      <c r="O226" s="172"/>
      <c r="P226" s="153"/>
      <c r="Q226" s="153"/>
      <c r="R226" s="153"/>
      <c r="S226" s="153"/>
      <c r="T226" s="153"/>
      <c r="U226" s="153"/>
      <c r="V226" s="153"/>
      <c r="W226" s="153"/>
      <c r="X226" s="153"/>
    </row>
    <row r="227" spans="14:24" s="27" customFormat="1" ht="10.199999999999999" x14ac:dyDescent="0.2">
      <c r="N227" s="153"/>
      <c r="O227" s="172"/>
      <c r="P227" s="153"/>
      <c r="Q227" s="153"/>
      <c r="R227" s="153"/>
      <c r="S227" s="153"/>
      <c r="T227" s="153"/>
      <c r="U227" s="153"/>
      <c r="V227" s="153"/>
      <c r="W227" s="153"/>
      <c r="X227" s="153"/>
    </row>
    <row r="228" spans="14:24" s="27" customFormat="1" ht="10.199999999999999" x14ac:dyDescent="0.2">
      <c r="N228" s="153"/>
      <c r="O228" s="172"/>
      <c r="P228" s="153"/>
      <c r="Q228" s="153"/>
      <c r="R228" s="153"/>
      <c r="S228" s="153"/>
      <c r="T228" s="153"/>
      <c r="U228" s="153"/>
      <c r="V228" s="153"/>
      <c r="W228" s="153"/>
      <c r="X228" s="153"/>
    </row>
    <row r="229" spans="14:24" s="27" customFormat="1" ht="10.199999999999999" x14ac:dyDescent="0.2">
      <c r="N229" s="153"/>
      <c r="O229" s="172"/>
      <c r="P229" s="153"/>
      <c r="Q229" s="153"/>
      <c r="R229" s="153"/>
      <c r="S229" s="153"/>
      <c r="T229" s="153"/>
      <c r="U229" s="153"/>
      <c r="V229" s="153"/>
      <c r="W229" s="153"/>
      <c r="X229" s="153"/>
    </row>
    <row r="230" spans="14:24" s="27" customFormat="1" ht="10.199999999999999" x14ac:dyDescent="0.2">
      <c r="N230" s="153"/>
      <c r="O230" s="172"/>
      <c r="P230" s="153"/>
      <c r="Q230" s="153"/>
      <c r="R230" s="153"/>
      <c r="S230" s="153"/>
      <c r="T230" s="153"/>
      <c r="U230" s="153"/>
      <c r="V230" s="153"/>
      <c r="W230" s="153"/>
      <c r="X230" s="153"/>
    </row>
    <row r="231" spans="14:24" s="27" customFormat="1" ht="10.199999999999999" x14ac:dyDescent="0.2">
      <c r="N231" s="153"/>
      <c r="O231" s="172"/>
      <c r="P231" s="153"/>
      <c r="Q231" s="153"/>
      <c r="R231" s="153"/>
      <c r="S231" s="153"/>
      <c r="T231" s="153"/>
      <c r="U231" s="153"/>
      <c r="V231" s="153"/>
      <c r="W231" s="153"/>
      <c r="X231" s="153"/>
    </row>
    <row r="232" spans="14:24" s="27" customFormat="1" ht="10.199999999999999" x14ac:dyDescent="0.2">
      <c r="N232" s="153"/>
      <c r="O232" s="172"/>
      <c r="P232" s="153"/>
      <c r="Q232" s="153"/>
      <c r="R232" s="153"/>
      <c r="S232" s="153"/>
      <c r="T232" s="153"/>
      <c r="U232" s="153"/>
      <c r="V232" s="153"/>
      <c r="W232" s="153"/>
      <c r="X232" s="153"/>
    </row>
    <row r="233" spans="14:24" s="27" customFormat="1" ht="10.199999999999999" x14ac:dyDescent="0.2">
      <c r="N233" s="153"/>
      <c r="O233" s="172"/>
      <c r="P233" s="153"/>
      <c r="Q233" s="153"/>
      <c r="R233" s="153"/>
      <c r="S233" s="153"/>
      <c r="T233" s="153"/>
      <c r="U233" s="153"/>
      <c r="V233" s="153"/>
      <c r="W233" s="153"/>
      <c r="X233" s="153"/>
    </row>
    <row r="234" spans="14:24" s="27" customFormat="1" ht="10.199999999999999" x14ac:dyDescent="0.2">
      <c r="N234" s="153"/>
      <c r="O234" s="172"/>
      <c r="P234" s="153"/>
      <c r="Q234" s="153"/>
      <c r="R234" s="153"/>
      <c r="S234" s="153"/>
      <c r="T234" s="153"/>
      <c r="U234" s="153"/>
      <c r="V234" s="153"/>
      <c r="W234" s="153"/>
      <c r="X234" s="153"/>
    </row>
    <row r="235" spans="14:24" s="27" customFormat="1" ht="10.199999999999999" x14ac:dyDescent="0.2">
      <c r="N235" s="153"/>
      <c r="O235" s="172"/>
      <c r="P235" s="153"/>
      <c r="Q235" s="153"/>
      <c r="R235" s="153"/>
      <c r="S235" s="153"/>
      <c r="T235" s="153"/>
      <c r="U235" s="153"/>
      <c r="V235" s="153"/>
      <c r="W235" s="153"/>
      <c r="X235" s="153"/>
    </row>
    <row r="236" spans="14:24" s="27" customFormat="1" ht="10.199999999999999" x14ac:dyDescent="0.2">
      <c r="N236" s="153"/>
      <c r="O236" s="172"/>
      <c r="P236" s="153"/>
      <c r="Q236" s="153"/>
      <c r="R236" s="153"/>
      <c r="S236" s="153"/>
      <c r="T236" s="153"/>
      <c r="U236" s="153"/>
      <c r="V236" s="153"/>
      <c r="W236" s="153"/>
      <c r="X236" s="153"/>
    </row>
    <row r="237" spans="14:24" s="27" customFormat="1" ht="10.199999999999999" x14ac:dyDescent="0.2">
      <c r="N237" s="153"/>
      <c r="O237" s="172"/>
      <c r="P237" s="153"/>
      <c r="Q237" s="153"/>
      <c r="R237" s="153"/>
      <c r="S237" s="153"/>
      <c r="T237" s="153"/>
      <c r="U237" s="153"/>
      <c r="V237" s="153"/>
      <c r="W237" s="153"/>
      <c r="X237" s="153"/>
    </row>
    <row r="238" spans="14:24" s="27" customFormat="1" ht="10.199999999999999" x14ac:dyDescent="0.2">
      <c r="N238" s="153"/>
      <c r="O238" s="172"/>
      <c r="P238" s="153"/>
      <c r="Q238" s="153"/>
      <c r="R238" s="153"/>
      <c r="S238" s="153"/>
      <c r="T238" s="153"/>
      <c r="U238" s="153"/>
      <c r="V238" s="153"/>
      <c r="W238" s="153"/>
      <c r="X238" s="153"/>
    </row>
    <row r="239" spans="14:24" s="27" customFormat="1" ht="10.199999999999999" x14ac:dyDescent="0.2">
      <c r="N239" s="153"/>
      <c r="O239" s="172"/>
      <c r="P239" s="153"/>
      <c r="Q239" s="153"/>
      <c r="R239" s="153"/>
      <c r="S239" s="153"/>
      <c r="T239" s="153"/>
      <c r="U239" s="153"/>
      <c r="V239" s="153"/>
      <c r="W239" s="153"/>
      <c r="X239" s="153"/>
    </row>
    <row r="240" spans="14:24" s="27" customFormat="1" ht="10.199999999999999" x14ac:dyDescent="0.2">
      <c r="N240" s="153"/>
      <c r="O240" s="172"/>
      <c r="P240" s="153"/>
      <c r="Q240" s="153"/>
      <c r="R240" s="153"/>
      <c r="S240" s="153"/>
      <c r="T240" s="153"/>
      <c r="U240" s="153"/>
      <c r="V240" s="153"/>
      <c r="W240" s="153"/>
      <c r="X240" s="153"/>
    </row>
    <row r="241" spans="14:24" s="27" customFormat="1" ht="10.199999999999999" x14ac:dyDescent="0.2">
      <c r="N241" s="153"/>
      <c r="O241" s="172"/>
      <c r="P241" s="153"/>
      <c r="Q241" s="153"/>
      <c r="R241" s="153"/>
      <c r="S241" s="153"/>
      <c r="T241" s="153"/>
      <c r="U241" s="153"/>
      <c r="V241" s="153"/>
      <c r="W241" s="153"/>
      <c r="X241" s="153"/>
    </row>
    <row r="242" spans="14:24" s="27" customFormat="1" ht="10.199999999999999" x14ac:dyDescent="0.2">
      <c r="N242" s="153"/>
      <c r="O242" s="172"/>
      <c r="P242" s="153"/>
      <c r="Q242" s="153"/>
      <c r="R242" s="153"/>
      <c r="S242" s="153"/>
      <c r="T242" s="153"/>
      <c r="U242" s="153"/>
      <c r="V242" s="153"/>
      <c r="W242" s="153"/>
      <c r="X242" s="153"/>
    </row>
    <row r="243" spans="14:24" s="27" customFormat="1" ht="10.199999999999999" x14ac:dyDescent="0.2">
      <c r="N243" s="153"/>
      <c r="O243" s="172"/>
      <c r="P243" s="153"/>
      <c r="Q243" s="153"/>
      <c r="R243" s="153"/>
      <c r="S243" s="153"/>
      <c r="T243" s="153"/>
      <c r="U243" s="153"/>
      <c r="V243" s="153"/>
      <c r="W243" s="153"/>
      <c r="X243" s="153"/>
    </row>
    <row r="244" spans="14:24" s="27" customFormat="1" ht="10.199999999999999" x14ac:dyDescent="0.2">
      <c r="N244" s="153"/>
      <c r="O244" s="172"/>
      <c r="P244" s="153"/>
      <c r="Q244" s="153"/>
      <c r="R244" s="153"/>
      <c r="S244" s="153"/>
      <c r="T244" s="153"/>
      <c r="U244" s="153"/>
      <c r="V244" s="153"/>
      <c r="W244" s="153"/>
      <c r="X244" s="153"/>
    </row>
    <row r="245" spans="14:24" s="27" customFormat="1" ht="10.199999999999999" x14ac:dyDescent="0.2">
      <c r="N245" s="153"/>
      <c r="O245" s="172"/>
      <c r="P245" s="153"/>
      <c r="Q245" s="153"/>
      <c r="R245" s="153"/>
      <c r="S245" s="153"/>
      <c r="T245" s="153"/>
      <c r="U245" s="153"/>
      <c r="V245" s="153"/>
      <c r="W245" s="153"/>
      <c r="X245" s="153"/>
    </row>
    <row r="246" spans="14:24" s="27" customFormat="1" ht="10.199999999999999" x14ac:dyDescent="0.2">
      <c r="N246" s="153"/>
      <c r="O246" s="172"/>
      <c r="P246" s="153"/>
      <c r="Q246" s="153"/>
      <c r="R246" s="153"/>
      <c r="S246" s="153"/>
      <c r="T246" s="153"/>
      <c r="U246" s="153"/>
      <c r="V246" s="153"/>
      <c r="W246" s="153"/>
      <c r="X246" s="153"/>
    </row>
    <row r="247" spans="14:24" s="27" customFormat="1" ht="10.199999999999999" x14ac:dyDescent="0.2">
      <c r="N247" s="153"/>
      <c r="O247" s="172"/>
      <c r="P247" s="153"/>
      <c r="Q247" s="153"/>
      <c r="R247" s="153"/>
      <c r="S247" s="153"/>
      <c r="T247" s="153"/>
      <c r="U247" s="153"/>
      <c r="V247" s="153"/>
      <c r="W247" s="153"/>
      <c r="X247" s="153"/>
    </row>
    <row r="248" spans="14:24" s="27" customFormat="1" ht="10.199999999999999" x14ac:dyDescent="0.2">
      <c r="N248" s="153"/>
      <c r="O248" s="172"/>
      <c r="P248" s="153"/>
      <c r="Q248" s="153"/>
      <c r="R248" s="153"/>
      <c r="S248" s="153"/>
      <c r="T248" s="153"/>
      <c r="U248" s="153"/>
      <c r="V248" s="153"/>
      <c r="W248" s="153"/>
      <c r="X248" s="153"/>
    </row>
    <row r="249" spans="14:24" s="27" customFormat="1" ht="10.199999999999999" x14ac:dyDescent="0.2">
      <c r="N249" s="153"/>
      <c r="O249" s="172"/>
      <c r="P249" s="153"/>
      <c r="Q249" s="153"/>
      <c r="R249" s="153"/>
      <c r="S249" s="153"/>
      <c r="T249" s="153"/>
      <c r="U249" s="153"/>
      <c r="V249" s="153"/>
      <c r="W249" s="153"/>
      <c r="X249" s="153"/>
    </row>
    <row r="250" spans="14:24" s="27" customFormat="1" ht="10.199999999999999" x14ac:dyDescent="0.2">
      <c r="N250" s="153"/>
      <c r="O250" s="172"/>
      <c r="P250" s="153"/>
      <c r="Q250" s="153"/>
      <c r="R250" s="153"/>
      <c r="S250" s="153"/>
      <c r="T250" s="153"/>
      <c r="U250" s="153"/>
      <c r="V250" s="153"/>
      <c r="W250" s="153"/>
      <c r="X250" s="153"/>
    </row>
    <row r="251" spans="14:24" s="27" customFormat="1" ht="10.199999999999999" x14ac:dyDescent="0.2">
      <c r="N251" s="153"/>
      <c r="O251" s="172"/>
      <c r="P251" s="153"/>
      <c r="Q251" s="153"/>
      <c r="R251" s="153"/>
      <c r="S251" s="153"/>
      <c r="T251" s="153"/>
      <c r="U251" s="153"/>
      <c r="V251" s="153"/>
      <c r="W251" s="153"/>
      <c r="X251" s="153"/>
    </row>
    <row r="252" spans="14:24" s="27" customFormat="1" ht="10.199999999999999" x14ac:dyDescent="0.2">
      <c r="N252" s="153"/>
      <c r="O252" s="172"/>
      <c r="P252" s="153"/>
      <c r="Q252" s="153"/>
      <c r="R252" s="153"/>
      <c r="S252" s="153"/>
      <c r="T252" s="153"/>
      <c r="U252" s="153"/>
      <c r="V252" s="153"/>
      <c r="W252" s="153"/>
      <c r="X252" s="153"/>
    </row>
    <row r="253" spans="14:24" s="27" customFormat="1" ht="10.199999999999999" x14ac:dyDescent="0.2">
      <c r="N253" s="153"/>
      <c r="O253" s="172"/>
      <c r="P253" s="153"/>
      <c r="Q253" s="153"/>
      <c r="R253" s="153"/>
      <c r="S253" s="153"/>
      <c r="T253" s="153"/>
      <c r="U253" s="153"/>
      <c r="V253" s="153"/>
      <c r="W253" s="153"/>
      <c r="X253" s="153"/>
    </row>
    <row r="254" spans="14:24" s="27" customFormat="1" ht="10.199999999999999" x14ac:dyDescent="0.2">
      <c r="N254" s="153"/>
      <c r="O254" s="172"/>
      <c r="P254" s="153"/>
      <c r="Q254" s="153"/>
      <c r="R254" s="153"/>
      <c r="S254" s="153"/>
      <c r="T254" s="153"/>
      <c r="U254" s="153"/>
      <c r="V254" s="153"/>
      <c r="W254" s="153"/>
      <c r="X254" s="153"/>
    </row>
    <row r="255" spans="14:24" s="27" customFormat="1" ht="10.199999999999999" x14ac:dyDescent="0.2">
      <c r="N255" s="153"/>
      <c r="O255" s="172"/>
      <c r="P255" s="153"/>
      <c r="Q255" s="153"/>
      <c r="R255" s="153"/>
      <c r="S255" s="153"/>
      <c r="T255" s="153"/>
      <c r="U255" s="153"/>
      <c r="V255" s="153"/>
      <c r="W255" s="153"/>
      <c r="X255" s="153"/>
    </row>
    <row r="256" spans="14:24" s="27" customFormat="1" ht="10.199999999999999" x14ac:dyDescent="0.2">
      <c r="N256" s="153"/>
      <c r="O256" s="172"/>
      <c r="P256" s="153"/>
      <c r="Q256" s="153"/>
      <c r="R256" s="153"/>
      <c r="S256" s="153"/>
      <c r="T256" s="153"/>
      <c r="U256" s="153"/>
      <c r="V256" s="153"/>
      <c r="W256" s="153"/>
      <c r="X256" s="153"/>
    </row>
    <row r="257" spans="14:24" s="27" customFormat="1" ht="10.199999999999999" x14ac:dyDescent="0.2">
      <c r="N257" s="153"/>
      <c r="O257" s="172"/>
      <c r="P257" s="153"/>
      <c r="Q257" s="153"/>
      <c r="R257" s="153"/>
      <c r="S257" s="153"/>
      <c r="T257" s="153"/>
      <c r="U257" s="153"/>
      <c r="V257" s="153"/>
      <c r="W257" s="153"/>
      <c r="X257" s="153"/>
    </row>
    <row r="258" spans="14:24" s="27" customFormat="1" ht="10.199999999999999" x14ac:dyDescent="0.2">
      <c r="N258" s="153"/>
      <c r="O258" s="172"/>
      <c r="P258" s="153"/>
      <c r="Q258" s="153"/>
      <c r="R258" s="153"/>
      <c r="S258" s="153"/>
      <c r="T258" s="153"/>
      <c r="U258" s="153"/>
      <c r="V258" s="153"/>
      <c r="W258" s="153"/>
      <c r="X258" s="153"/>
    </row>
    <row r="259" spans="14:24" s="27" customFormat="1" ht="10.199999999999999" x14ac:dyDescent="0.2">
      <c r="N259" s="153"/>
      <c r="O259" s="172"/>
      <c r="P259" s="153"/>
      <c r="Q259" s="153"/>
      <c r="R259" s="153"/>
      <c r="S259" s="153"/>
      <c r="T259" s="153"/>
      <c r="U259" s="153"/>
      <c r="V259" s="153"/>
      <c r="W259" s="153"/>
      <c r="X259" s="153"/>
    </row>
    <row r="260" spans="14:24" s="27" customFormat="1" ht="10.199999999999999" x14ac:dyDescent="0.2">
      <c r="N260" s="153"/>
      <c r="O260" s="172"/>
      <c r="P260" s="153"/>
      <c r="Q260" s="153"/>
      <c r="R260" s="153"/>
      <c r="S260" s="153"/>
      <c r="T260" s="153"/>
      <c r="U260" s="153"/>
      <c r="V260" s="153"/>
      <c r="W260" s="153"/>
      <c r="X260" s="153"/>
    </row>
    <row r="261" spans="14:24" s="27" customFormat="1" ht="10.199999999999999" x14ac:dyDescent="0.2">
      <c r="N261" s="153"/>
      <c r="O261" s="172"/>
      <c r="P261" s="153"/>
      <c r="Q261" s="153"/>
      <c r="R261" s="153"/>
      <c r="S261" s="153"/>
      <c r="T261" s="153"/>
      <c r="U261" s="153"/>
      <c r="V261" s="153"/>
      <c r="W261" s="153"/>
      <c r="X261" s="153"/>
    </row>
    <row r="262" spans="14:24" s="27" customFormat="1" ht="10.199999999999999" x14ac:dyDescent="0.2">
      <c r="N262" s="153"/>
      <c r="O262" s="172"/>
      <c r="P262" s="153"/>
      <c r="Q262" s="153"/>
      <c r="R262" s="153"/>
      <c r="S262" s="153"/>
      <c r="T262" s="153"/>
      <c r="U262" s="153"/>
      <c r="V262" s="153"/>
      <c r="W262" s="153"/>
      <c r="X262" s="153"/>
    </row>
    <row r="263" spans="14:24" s="27" customFormat="1" ht="10.199999999999999" x14ac:dyDescent="0.2">
      <c r="N263" s="153"/>
      <c r="O263" s="172"/>
      <c r="P263" s="153"/>
      <c r="Q263" s="153"/>
      <c r="R263" s="153"/>
      <c r="S263" s="153"/>
      <c r="T263" s="153"/>
      <c r="U263" s="153"/>
      <c r="V263" s="153"/>
      <c r="W263" s="153"/>
      <c r="X263" s="153"/>
    </row>
    <row r="264" spans="14:24" s="27" customFormat="1" ht="10.199999999999999" x14ac:dyDescent="0.2">
      <c r="N264" s="153"/>
      <c r="O264" s="172"/>
      <c r="P264" s="153"/>
      <c r="Q264" s="153"/>
      <c r="R264" s="153"/>
      <c r="S264" s="153"/>
      <c r="T264" s="153"/>
      <c r="U264" s="153"/>
      <c r="V264" s="153"/>
      <c r="W264" s="153"/>
      <c r="X264" s="153"/>
    </row>
    <row r="265" spans="14:24" s="27" customFormat="1" ht="10.199999999999999" x14ac:dyDescent="0.2">
      <c r="N265" s="153"/>
      <c r="O265" s="172"/>
      <c r="P265" s="153"/>
      <c r="Q265" s="153"/>
      <c r="R265" s="153"/>
      <c r="S265" s="153"/>
      <c r="T265" s="153"/>
      <c r="U265" s="153"/>
      <c r="V265" s="153"/>
      <c r="W265" s="153"/>
      <c r="X265" s="153"/>
    </row>
    <row r="266" spans="14:24" s="27" customFormat="1" ht="10.199999999999999" x14ac:dyDescent="0.2">
      <c r="N266" s="153"/>
      <c r="O266" s="172"/>
      <c r="P266" s="153"/>
      <c r="Q266" s="153"/>
      <c r="R266" s="153"/>
      <c r="S266" s="153"/>
      <c r="T266" s="153"/>
      <c r="U266" s="153"/>
      <c r="V266" s="153"/>
      <c r="W266" s="153"/>
      <c r="X266" s="153"/>
    </row>
    <row r="267" spans="14:24" s="27" customFormat="1" ht="10.199999999999999" x14ac:dyDescent="0.2">
      <c r="N267" s="153"/>
      <c r="O267" s="172"/>
      <c r="P267" s="153"/>
      <c r="Q267" s="153"/>
      <c r="R267" s="153"/>
      <c r="S267" s="153"/>
      <c r="T267" s="153"/>
      <c r="U267" s="153"/>
      <c r="V267" s="153"/>
      <c r="W267" s="153"/>
      <c r="X267" s="153"/>
    </row>
    <row r="268" spans="14:24" s="27" customFormat="1" ht="10.199999999999999" x14ac:dyDescent="0.2">
      <c r="N268" s="153"/>
      <c r="O268" s="172"/>
      <c r="P268" s="153"/>
      <c r="Q268" s="153"/>
      <c r="R268" s="153"/>
      <c r="S268" s="153"/>
      <c r="T268" s="153"/>
      <c r="U268" s="153"/>
      <c r="V268" s="153"/>
      <c r="W268" s="153"/>
      <c r="X268" s="153"/>
    </row>
    <row r="269" spans="14:24" s="27" customFormat="1" ht="10.199999999999999" x14ac:dyDescent="0.2">
      <c r="N269" s="153"/>
      <c r="O269" s="172"/>
      <c r="P269" s="153"/>
      <c r="Q269" s="153"/>
      <c r="R269" s="153"/>
      <c r="S269" s="153"/>
      <c r="T269" s="153"/>
      <c r="U269" s="153"/>
      <c r="V269" s="153"/>
      <c r="W269" s="153"/>
      <c r="X269" s="153"/>
    </row>
    <row r="270" spans="14:24" s="27" customFormat="1" ht="10.199999999999999" x14ac:dyDescent="0.2">
      <c r="N270" s="153"/>
      <c r="O270" s="172"/>
      <c r="P270" s="153"/>
      <c r="Q270" s="153"/>
      <c r="R270" s="153"/>
      <c r="S270" s="153"/>
      <c r="T270" s="153"/>
      <c r="U270" s="153"/>
      <c r="V270" s="153"/>
      <c r="W270" s="153"/>
      <c r="X270" s="153"/>
    </row>
    <row r="271" spans="14:24" s="27" customFormat="1" ht="10.199999999999999" x14ac:dyDescent="0.2">
      <c r="N271" s="153"/>
      <c r="O271" s="172"/>
      <c r="P271" s="153"/>
      <c r="Q271" s="153"/>
      <c r="R271" s="153"/>
      <c r="S271" s="153"/>
      <c r="T271" s="153"/>
      <c r="U271" s="153"/>
      <c r="V271" s="153"/>
      <c r="W271" s="153"/>
      <c r="X271" s="153"/>
    </row>
    <row r="272" spans="14:24" s="27" customFormat="1" ht="10.199999999999999" x14ac:dyDescent="0.2">
      <c r="N272" s="153"/>
      <c r="O272" s="172"/>
      <c r="P272" s="153"/>
      <c r="Q272" s="153"/>
      <c r="R272" s="153"/>
      <c r="S272" s="153"/>
      <c r="T272" s="153"/>
      <c r="U272" s="153"/>
      <c r="V272" s="153"/>
      <c r="W272" s="153"/>
      <c r="X272" s="153"/>
    </row>
    <row r="273" spans="14:24" s="27" customFormat="1" ht="10.199999999999999" x14ac:dyDescent="0.2">
      <c r="N273" s="153"/>
      <c r="O273" s="172"/>
      <c r="P273" s="153"/>
      <c r="Q273" s="153"/>
      <c r="R273" s="153"/>
      <c r="S273" s="153"/>
      <c r="T273" s="153"/>
      <c r="U273" s="153"/>
      <c r="V273" s="153"/>
      <c r="W273" s="153"/>
      <c r="X273" s="153"/>
    </row>
    <row r="274" spans="14:24" s="27" customFormat="1" ht="10.199999999999999" x14ac:dyDescent="0.2">
      <c r="N274" s="153"/>
      <c r="O274" s="172"/>
      <c r="P274" s="153"/>
      <c r="Q274" s="153"/>
      <c r="R274" s="153"/>
      <c r="S274" s="153"/>
      <c r="T274" s="153"/>
      <c r="U274" s="153"/>
      <c r="V274" s="153"/>
      <c r="W274" s="153"/>
      <c r="X274" s="153"/>
    </row>
    <row r="275" spans="14:24" s="27" customFormat="1" ht="10.199999999999999" x14ac:dyDescent="0.2">
      <c r="N275" s="153"/>
      <c r="O275" s="172"/>
      <c r="P275" s="153"/>
      <c r="Q275" s="153"/>
      <c r="R275" s="153"/>
      <c r="S275" s="153"/>
      <c r="T275" s="153"/>
      <c r="U275" s="153"/>
      <c r="V275" s="153"/>
      <c r="W275" s="153"/>
      <c r="X275" s="153"/>
    </row>
    <row r="276" spans="14:24" s="27" customFormat="1" ht="10.199999999999999" x14ac:dyDescent="0.2">
      <c r="N276" s="153"/>
      <c r="O276" s="172"/>
      <c r="P276" s="153"/>
      <c r="Q276" s="153"/>
      <c r="R276" s="153"/>
      <c r="S276" s="153"/>
      <c r="T276" s="153"/>
      <c r="U276" s="153"/>
      <c r="V276" s="153"/>
      <c r="W276" s="153"/>
      <c r="X276" s="153"/>
    </row>
    <row r="335" spans="20:26" ht="14.4" thickBot="1" x14ac:dyDescent="0.35">
      <c r="T335" s="176">
        <f t="shared" ref="T335:Y335" si="0">SUM(T96:T334)</f>
        <v>0</v>
      </c>
      <c r="U335" s="176">
        <f t="shared" si="0"/>
        <v>0</v>
      </c>
      <c r="V335" s="176">
        <f t="shared" si="0"/>
        <v>0</v>
      </c>
      <c r="W335" s="176">
        <f t="shared" si="0"/>
        <v>0</v>
      </c>
      <c r="X335" s="176">
        <f t="shared" si="0"/>
        <v>0</v>
      </c>
      <c r="Y335" s="176">
        <f t="shared" si="0"/>
        <v>0</v>
      </c>
      <c r="Z335" s="176">
        <f>SUM(T335:Y335)</f>
        <v>0</v>
      </c>
    </row>
    <row r="336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opLeftCell="A6" workbookViewId="0">
      <selection activeCell="F14" sqref="F14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147"/>
    </row>
    <row r="2" spans="1:23" ht="13.8" x14ac:dyDescent="0.25">
      <c r="A2" s="313" t="s">
        <v>159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148"/>
    </row>
    <row r="3" spans="1:23" ht="13.8" x14ac:dyDescent="0.3">
      <c r="A3" s="318" t="s">
        <v>271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149"/>
    </row>
    <row r="4" spans="1:23" ht="3" customHeight="1" x14ac:dyDescent="0.2"/>
    <row r="5" spans="1:23" ht="12" customHeight="1" x14ac:dyDescent="0.2">
      <c r="A5" s="28"/>
      <c r="C5" s="315" t="s">
        <v>15</v>
      </c>
      <c r="D5" s="316"/>
      <c r="E5" s="317"/>
      <c r="G5" s="315" t="s">
        <v>72</v>
      </c>
      <c r="H5" s="316"/>
      <c r="I5" s="316"/>
      <c r="J5" s="316"/>
      <c r="K5" s="316"/>
      <c r="L5" s="316"/>
      <c r="M5" s="316"/>
      <c r="N5" s="316"/>
      <c r="O5" s="317"/>
      <c r="Q5" s="315" t="s">
        <v>61</v>
      </c>
      <c r="R5" s="316"/>
      <c r="S5" s="316"/>
      <c r="T5" s="316"/>
      <c r="U5" s="316"/>
      <c r="V5" s="317"/>
    </row>
    <row r="6" spans="1:23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3</v>
      </c>
      <c r="B9" s="38"/>
      <c r="C9" s="59">
        <f>GrossMargin!M10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GrossMargin!I10</f>
        <v>20776</v>
      </c>
      <c r="H9" s="60">
        <f>GrossMargin!J10</f>
        <v>0</v>
      </c>
      <c r="I9" s="60">
        <f>GrossMargin!K10</f>
        <v>0</v>
      </c>
      <c r="J9" s="82">
        <f>SUM(G9:I9)</f>
        <v>20776</v>
      </c>
      <c r="K9" s="178"/>
      <c r="L9" s="60">
        <f>'CapChrg-AllocExp'!D10</f>
        <v>0</v>
      </c>
      <c r="M9" s="60">
        <f>Expenses!D9</f>
        <v>3212</v>
      </c>
      <c r="N9" s="61">
        <f>'CapChrg-AllocExp'!K10</f>
        <v>11645</v>
      </c>
      <c r="O9" s="82">
        <f>J9-K9-M9-N9-L9</f>
        <v>5919</v>
      </c>
      <c r="P9" s="44"/>
      <c r="Q9" s="59">
        <f>GrossMargin!N10</f>
        <v>-20721</v>
      </c>
      <c r="R9" s="60"/>
      <c r="S9" s="60">
        <f>'CapChrg-AllocExp'!F10</f>
        <v>0</v>
      </c>
      <c r="T9" s="60">
        <f>Expenses!F9</f>
        <v>0</v>
      </c>
      <c r="U9" s="60">
        <f>'CapChrg-AllocExp'!M10</f>
        <v>0</v>
      </c>
      <c r="V9" s="84">
        <f>ROUND(SUM(Q9:U9),0)</f>
        <v>-20721</v>
      </c>
    </row>
    <row r="10" spans="1:23" ht="12" customHeight="1" x14ac:dyDescent="0.2">
      <c r="A10" s="29" t="s">
        <v>106</v>
      </c>
      <c r="B10" s="38"/>
      <c r="C10" s="41">
        <f>GrossMargin!M11</f>
        <v>67236</v>
      </c>
      <c r="D10" s="42">
        <f>Expenses!E10+'CapChrg-AllocExp'!E11+'CapChrg-AllocExp'!L11+Expenses!E54</f>
        <v>28234</v>
      </c>
      <c r="E10" s="66">
        <f t="shared" ref="E10:E17" si="0">C10-D10</f>
        <v>39002</v>
      </c>
      <c r="F10" s="42"/>
      <c r="G10" s="41">
        <f>GrossMargin!I11</f>
        <v>-6131</v>
      </c>
      <c r="H10" s="42">
        <f>GrossMargin!J11</f>
        <v>0</v>
      </c>
      <c r="I10" s="42">
        <f>GrossMargin!K11</f>
        <v>0</v>
      </c>
      <c r="J10" s="83">
        <f t="shared" ref="J10:J16" si="1">SUM(G10:I10)</f>
        <v>-6131</v>
      </c>
      <c r="K10" s="42">
        <f>Expenses!D54</f>
        <v>8206</v>
      </c>
      <c r="L10" s="42">
        <f>'CapChrg-AllocExp'!D11</f>
        <v>7642</v>
      </c>
      <c r="M10" s="42">
        <f>Expenses!D10</f>
        <v>4712</v>
      </c>
      <c r="N10" s="43">
        <f>'CapChrg-AllocExp'!K11</f>
        <v>5942</v>
      </c>
      <c r="O10" s="83">
        <f t="shared" ref="O10:O18" si="2">J10-K10-M10-N10-L10</f>
        <v>-32633</v>
      </c>
      <c r="P10" s="44"/>
      <c r="Q10" s="41">
        <f>GrossMargin!N11</f>
        <v>-73367</v>
      </c>
      <c r="R10" s="42">
        <f>Expenses!F54</f>
        <v>583</v>
      </c>
      <c r="S10" s="42">
        <f>'CapChrg-AllocExp'!F11</f>
        <v>1149</v>
      </c>
      <c r="T10" s="42">
        <f>Expenses!F10</f>
        <v>0</v>
      </c>
      <c r="U10" s="42">
        <f>'CapChrg-AllocExp'!M11</f>
        <v>0</v>
      </c>
      <c r="V10" s="66">
        <f t="shared" ref="V10:V16" si="3">ROUND(SUM(Q10:U10),0)</f>
        <v>-71635</v>
      </c>
    </row>
    <row r="11" spans="1:23" ht="12" customHeight="1" x14ac:dyDescent="0.2">
      <c r="A11" s="29" t="s">
        <v>132</v>
      </c>
      <c r="B11" s="38"/>
      <c r="C11" s="41">
        <f>GrossMargin!M12</f>
        <v>22402</v>
      </c>
      <c r="D11" s="42">
        <f>Expenses!E11+'CapChrg-AllocExp'!E12+'CapChrg-AllocExp'!L12</f>
        <v>1607</v>
      </c>
      <c r="E11" s="66">
        <f t="shared" si="0"/>
        <v>20795</v>
      </c>
      <c r="F11" s="42"/>
      <c r="G11" s="41">
        <f>GrossMargin!I12</f>
        <v>4610</v>
      </c>
      <c r="H11" s="42">
        <f>GrossMargin!J12</f>
        <v>0</v>
      </c>
      <c r="I11" s="42">
        <f>GrossMargin!K12</f>
        <v>0</v>
      </c>
      <c r="J11" s="83">
        <f t="shared" si="1"/>
        <v>4610</v>
      </c>
      <c r="K11" s="65"/>
      <c r="L11" s="42">
        <f>'CapChrg-AllocExp'!D12</f>
        <v>0</v>
      </c>
      <c r="M11" s="42">
        <f>Expenses!D11</f>
        <v>709</v>
      </c>
      <c r="N11" s="43">
        <f>'CapChrg-AllocExp'!K12</f>
        <v>898</v>
      </c>
      <c r="O11" s="83">
        <f t="shared" si="2"/>
        <v>3003</v>
      </c>
      <c r="P11" s="44"/>
      <c r="Q11" s="41">
        <f>GrossMargin!N12</f>
        <v>-17792</v>
      </c>
      <c r="R11" s="42"/>
      <c r="S11" s="42">
        <f>'CapChrg-AllocExp'!F12</f>
        <v>0</v>
      </c>
      <c r="T11" s="42">
        <f>Expenses!F11</f>
        <v>0</v>
      </c>
      <c r="U11" s="42">
        <f>'CapChrg-AllocExp'!M12</f>
        <v>0</v>
      </c>
      <c r="V11" s="66">
        <f t="shared" si="3"/>
        <v>-17792</v>
      </c>
    </row>
    <row r="12" spans="1:23" ht="12" customHeight="1" x14ac:dyDescent="0.2">
      <c r="A12" s="29" t="s">
        <v>133</v>
      </c>
      <c r="B12" s="38"/>
      <c r="C12" s="41">
        <f>GrossMargin!M13</f>
        <v>11447</v>
      </c>
      <c r="D12" s="42">
        <f>Expenses!E12+'CapChrg-AllocExp'!E13+'CapChrg-AllocExp'!L13</f>
        <v>2496</v>
      </c>
      <c r="E12" s="66">
        <f>C12-D12</f>
        <v>8951</v>
      </c>
      <c r="F12" s="42"/>
      <c r="G12" s="41">
        <f>GrossMargin!I13</f>
        <v>-5591</v>
      </c>
      <c r="H12" s="42">
        <f>GrossMargin!J13</f>
        <v>0</v>
      </c>
      <c r="I12" s="42">
        <f>GrossMargin!K13</f>
        <v>0</v>
      </c>
      <c r="J12" s="83">
        <f>SUM(G12:I12)</f>
        <v>-5591</v>
      </c>
      <c r="K12" s="65"/>
      <c r="L12" s="42">
        <f>'CapChrg-AllocExp'!D13</f>
        <v>0</v>
      </c>
      <c r="M12" s="42">
        <f>Expenses!D12</f>
        <v>1451</v>
      </c>
      <c r="N12" s="43">
        <f>'CapChrg-AllocExp'!K13</f>
        <v>1045</v>
      </c>
      <c r="O12" s="83">
        <f>J12-K12-M12-N12-L12</f>
        <v>-8087</v>
      </c>
      <c r="P12" s="44"/>
      <c r="Q12" s="41">
        <f>GrossMargin!N13</f>
        <v>-17038</v>
      </c>
      <c r="R12" s="42"/>
      <c r="S12" s="42">
        <f>'CapChrg-AllocExp'!F13</f>
        <v>0</v>
      </c>
      <c r="T12" s="42">
        <f>Expenses!F12</f>
        <v>0</v>
      </c>
      <c r="U12" s="42">
        <f>'CapChrg-AllocExp'!M13</f>
        <v>0</v>
      </c>
      <c r="V12" s="66">
        <f>ROUND(SUM(Q12:U12),0)</f>
        <v>-17038</v>
      </c>
    </row>
    <row r="13" spans="1:23" ht="12" customHeight="1" x14ac:dyDescent="0.2">
      <c r="A13" s="29" t="s">
        <v>114</v>
      </c>
      <c r="B13" s="38"/>
      <c r="C13" s="41">
        <f>GrossMargin!M14</f>
        <v>23112</v>
      </c>
      <c r="D13" s="42">
        <f>Expenses!E13+'CapChrg-AllocExp'!E14+'CapChrg-AllocExp'!L14</f>
        <v>4947</v>
      </c>
      <c r="E13" s="66">
        <f t="shared" si="0"/>
        <v>18165</v>
      </c>
      <c r="F13" s="42"/>
      <c r="G13" s="41">
        <f>GrossMargin!I14</f>
        <v>6666</v>
      </c>
      <c r="H13" s="42">
        <f>GrossMargin!J14</f>
        <v>0</v>
      </c>
      <c r="I13" s="42">
        <f>GrossMargin!K14</f>
        <v>0</v>
      </c>
      <c r="J13" s="83">
        <f>SUM(G13:I13)</f>
        <v>6666</v>
      </c>
      <c r="K13" s="65"/>
      <c r="L13" s="42">
        <f>'CapChrg-AllocExp'!D14</f>
        <v>186</v>
      </c>
      <c r="M13" s="42">
        <f>Expenses!D13</f>
        <v>2181</v>
      </c>
      <c r="N13" s="43">
        <f>'CapChrg-AllocExp'!K14</f>
        <v>2390</v>
      </c>
      <c r="O13" s="83">
        <f t="shared" si="2"/>
        <v>1909</v>
      </c>
      <c r="P13" s="44"/>
      <c r="Q13" s="41">
        <f>GrossMargin!N14</f>
        <v>-16446</v>
      </c>
      <c r="R13" s="42"/>
      <c r="S13" s="42">
        <f>'CapChrg-AllocExp'!F14</f>
        <v>190</v>
      </c>
      <c r="T13" s="42">
        <f>Expenses!F13</f>
        <v>0</v>
      </c>
      <c r="U13" s="42">
        <f>'CapChrg-AllocExp'!M14</f>
        <v>0</v>
      </c>
      <c r="V13" s="66">
        <f>ROUND(SUM(Q13:U13),0)</f>
        <v>-16256</v>
      </c>
    </row>
    <row r="14" spans="1:23" ht="12" customHeight="1" x14ac:dyDescent="0.2">
      <c r="A14" s="29" t="s">
        <v>5</v>
      </c>
      <c r="B14" s="38"/>
      <c r="C14" s="41">
        <f>GrossMargin!M15</f>
        <v>12747</v>
      </c>
      <c r="D14" s="42">
        <f>Expenses!E14+'CapChrg-AllocExp'!E15+'CapChrg-AllocExp'!L15</f>
        <v>4794</v>
      </c>
      <c r="E14" s="66">
        <f t="shared" si="0"/>
        <v>7953</v>
      </c>
      <c r="F14" s="42"/>
      <c r="G14" s="41">
        <f>GrossMargin!I15</f>
        <v>8</v>
      </c>
      <c r="H14" s="42">
        <f>GrossMargin!J15</f>
        <v>0</v>
      </c>
      <c r="I14" s="42">
        <f>GrossMargin!K15</f>
        <v>0</v>
      </c>
      <c r="J14" s="83">
        <f t="shared" si="1"/>
        <v>8</v>
      </c>
      <c r="K14" s="65"/>
      <c r="L14" s="42">
        <f>'CapChrg-AllocExp'!D15</f>
        <v>615</v>
      </c>
      <c r="M14" s="42">
        <f>Expenses!D14</f>
        <v>2665</v>
      </c>
      <c r="N14" s="43">
        <f>'CapChrg-AllocExp'!K15</f>
        <v>1412</v>
      </c>
      <c r="O14" s="83">
        <f t="shared" si="2"/>
        <v>-4684</v>
      </c>
      <c r="P14" s="44"/>
      <c r="Q14" s="41">
        <f>GrossMargin!N15</f>
        <v>-12739</v>
      </c>
      <c r="R14" s="42"/>
      <c r="S14" s="42">
        <f>'CapChrg-AllocExp'!F15</f>
        <v>102</v>
      </c>
      <c r="T14" s="42">
        <f>Expenses!F14</f>
        <v>0</v>
      </c>
      <c r="U14" s="42">
        <f>'CapChrg-AllocExp'!M15</f>
        <v>0</v>
      </c>
      <c r="V14" s="66">
        <f t="shared" si="3"/>
        <v>-12637</v>
      </c>
    </row>
    <row r="15" spans="1:23" ht="12" customHeight="1" x14ac:dyDescent="0.2">
      <c r="A15" s="29" t="s">
        <v>155</v>
      </c>
      <c r="B15" s="38"/>
      <c r="C15" s="41">
        <f>GrossMargin!M16</f>
        <v>3215</v>
      </c>
      <c r="D15" s="42">
        <f>Expenses!E15+'CapChrg-AllocExp'!E16+'CapChrg-AllocExp'!L16</f>
        <v>1661</v>
      </c>
      <c r="E15" s="66">
        <f t="shared" si="0"/>
        <v>1554</v>
      </c>
      <c r="F15" s="42"/>
      <c r="G15" s="41">
        <f>GrossMargin!I16</f>
        <v>213</v>
      </c>
      <c r="H15" s="42">
        <f>GrossMargin!J16</f>
        <v>0</v>
      </c>
      <c r="I15" s="42">
        <f>GrossMargin!K16</f>
        <v>0</v>
      </c>
      <c r="J15" s="83">
        <f t="shared" si="1"/>
        <v>213</v>
      </c>
      <c r="K15" s="65"/>
      <c r="L15" s="42">
        <f>'CapChrg-AllocExp'!D16</f>
        <v>0</v>
      </c>
      <c r="M15" s="42">
        <f>Expenses!D15</f>
        <v>982</v>
      </c>
      <c r="N15" s="43">
        <f>'CapChrg-AllocExp'!K16</f>
        <v>679</v>
      </c>
      <c r="O15" s="83">
        <f t="shared" si="2"/>
        <v>-1448</v>
      </c>
      <c r="P15" s="44"/>
      <c r="Q15" s="41">
        <f>GrossMargin!N16</f>
        <v>-3002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0</v>
      </c>
      <c r="V15" s="66">
        <f t="shared" si="3"/>
        <v>-3002</v>
      </c>
    </row>
    <row r="16" spans="1:23" ht="12" customHeight="1" x14ac:dyDescent="0.2">
      <c r="A16" s="29" t="s">
        <v>107</v>
      </c>
      <c r="B16" s="38"/>
      <c r="C16" s="41">
        <f>GrossMargin!M17</f>
        <v>750</v>
      </c>
      <c r="D16" s="42">
        <f>Expenses!E16+'CapChrg-AllocExp'!E17+'CapChrg-AllocExp'!L17</f>
        <v>338</v>
      </c>
      <c r="E16" s="66">
        <f t="shared" si="0"/>
        <v>412</v>
      </c>
      <c r="F16" s="42"/>
      <c r="G16" s="41">
        <f>GrossMargin!I17</f>
        <v>-1488</v>
      </c>
      <c r="H16" s="42">
        <f>GrossMargin!J17</f>
        <v>0</v>
      </c>
      <c r="I16" s="42">
        <f>GrossMargin!K17</f>
        <v>0</v>
      </c>
      <c r="J16" s="83">
        <f t="shared" si="1"/>
        <v>-1488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234</v>
      </c>
      <c r="O16" s="83">
        <f t="shared" si="2"/>
        <v>-1826</v>
      </c>
      <c r="P16" s="44"/>
      <c r="Q16" s="41">
        <f>GrossMargin!N17</f>
        <v>-2238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-2238</v>
      </c>
    </row>
    <row r="17" spans="1:22" ht="12" customHeight="1" x14ac:dyDescent="0.2">
      <c r="A17" s="29" t="s">
        <v>156</v>
      </c>
      <c r="B17" s="38"/>
      <c r="C17" s="41">
        <f>GrossMargin!M18</f>
        <v>7712</v>
      </c>
      <c r="D17" s="42">
        <f>Expenses!E17+'CapChrg-AllocExp'!E18+'CapChrg-AllocExp'!L18</f>
        <v>1334</v>
      </c>
      <c r="E17" s="66">
        <f t="shared" si="0"/>
        <v>6378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3">
        <f>SUM(G17:I17)</f>
        <v>0</v>
      </c>
      <c r="K17" s="65"/>
      <c r="L17" s="42">
        <f>'CapChrg-AllocExp'!D18</f>
        <v>0</v>
      </c>
      <c r="M17" s="42">
        <f>Expenses!D17</f>
        <v>1364</v>
      </c>
      <c r="N17" s="43">
        <f>'CapChrg-AllocExp'!K18</f>
        <v>36</v>
      </c>
      <c r="O17" s="83">
        <f t="shared" si="2"/>
        <v>-1400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-66</v>
      </c>
      <c r="U17" s="42">
        <f>'CapChrg-AllocExp'!M18</f>
        <v>0</v>
      </c>
      <c r="V17" s="66">
        <f>ROUND(SUM(Q17:U17),0)</f>
        <v>-7778</v>
      </c>
    </row>
    <row r="18" spans="1:22" s="90" customFormat="1" ht="12" customHeight="1" x14ac:dyDescent="0.3">
      <c r="A18" s="94" t="s">
        <v>130</v>
      </c>
      <c r="B18" s="91"/>
      <c r="C18" s="99">
        <f>SUM(C9:C17)</f>
        <v>190118</v>
      </c>
      <c r="D18" s="100">
        <f>SUM(D9:D17)</f>
        <v>60268</v>
      </c>
      <c r="E18" s="101">
        <f>SUM(E9:E17)</f>
        <v>129850</v>
      </c>
      <c r="F18" s="92"/>
      <c r="G18" s="99">
        <f t="shared" ref="G18:N18" si="4">SUM(G9:G17)</f>
        <v>19063</v>
      </c>
      <c r="H18" s="100">
        <f t="shared" si="4"/>
        <v>0</v>
      </c>
      <c r="I18" s="100">
        <f t="shared" si="4"/>
        <v>0</v>
      </c>
      <c r="J18" s="102">
        <f t="shared" si="4"/>
        <v>19063</v>
      </c>
      <c r="K18" s="100">
        <f t="shared" si="4"/>
        <v>8206</v>
      </c>
      <c r="L18" s="100">
        <f t="shared" si="4"/>
        <v>8443</v>
      </c>
      <c r="M18" s="100">
        <f t="shared" si="4"/>
        <v>17380</v>
      </c>
      <c r="N18" s="101">
        <f t="shared" si="4"/>
        <v>24281</v>
      </c>
      <c r="O18" s="102">
        <f t="shared" si="2"/>
        <v>-39247</v>
      </c>
      <c r="P18" s="93"/>
      <c r="Q18" s="99">
        <f t="shared" ref="Q18:V18" si="5">SUM(Q9:Q17)</f>
        <v>-171055</v>
      </c>
      <c r="R18" s="100">
        <f t="shared" si="5"/>
        <v>583</v>
      </c>
      <c r="S18" s="100">
        <f t="shared" si="5"/>
        <v>1441</v>
      </c>
      <c r="T18" s="100">
        <f t="shared" si="5"/>
        <v>-66</v>
      </c>
      <c r="U18" s="100">
        <f t="shared" si="5"/>
        <v>0</v>
      </c>
      <c r="V18" s="101">
        <f t="shared" si="5"/>
        <v>-169097</v>
      </c>
    </row>
    <row r="19" spans="1:22" ht="3" customHeight="1" x14ac:dyDescent="0.2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">
      <c r="A20" s="29" t="s">
        <v>88</v>
      </c>
      <c r="B20" s="38"/>
      <c r="C20" s="41">
        <f>GrossMargin!M22</f>
        <v>20493</v>
      </c>
      <c r="D20" s="42">
        <f>Expenses!E20+'CapChrg-AllocExp'!E21+'CapChrg-AllocExp'!L21</f>
        <v>6374</v>
      </c>
      <c r="E20" s="66">
        <f>C20-D20</f>
        <v>14119</v>
      </c>
      <c r="F20" s="42"/>
      <c r="G20" s="41">
        <f>GrossMargin!I22</f>
        <v>0</v>
      </c>
      <c r="H20" s="42">
        <f>GrossMargin!J22</f>
        <v>0</v>
      </c>
      <c r="I20" s="42">
        <f>GrossMargin!K22</f>
        <v>0</v>
      </c>
      <c r="J20" s="83">
        <f>SUM(G20:I20)</f>
        <v>0</v>
      </c>
      <c r="K20" s="65"/>
      <c r="L20" s="42">
        <f>'CapChrg-AllocExp'!D21</f>
        <v>0</v>
      </c>
      <c r="M20" s="42">
        <f>Expenses!D20</f>
        <v>3325</v>
      </c>
      <c r="N20" s="43">
        <f>'CapChrg-AllocExp'!K21</f>
        <v>3049</v>
      </c>
      <c r="O20" s="83">
        <f t="shared" ref="O20:O25" si="6">J20-K20-M20-N20-L20</f>
        <v>-6374</v>
      </c>
      <c r="P20" s="44"/>
      <c r="Q20" s="41">
        <f>GrossMargin!N22</f>
        <v>-20493</v>
      </c>
      <c r="R20" s="42"/>
      <c r="S20" s="42">
        <f>'CapChrg-AllocExp'!F21</f>
        <v>0</v>
      </c>
      <c r="T20" s="42">
        <f>Expenses!F20</f>
        <v>0</v>
      </c>
      <c r="U20" s="42">
        <f>'CapChrg-AllocExp'!M21</f>
        <v>0</v>
      </c>
      <c r="V20" s="66">
        <f>ROUND(SUM(Q20:U20),0)</f>
        <v>-20493</v>
      </c>
    </row>
    <row r="21" spans="1:22" ht="12" customHeight="1" x14ac:dyDescent="0.2">
      <c r="A21" s="29" t="s">
        <v>89</v>
      </c>
      <c r="B21" s="38"/>
      <c r="C21" s="41">
        <f>GrossMargin!M23</f>
        <v>13235</v>
      </c>
      <c r="D21" s="42">
        <f>Expenses!E21+'CapChrg-AllocExp'!E22+'CapChrg-AllocExp'!L22</f>
        <v>7266</v>
      </c>
      <c r="E21" s="66">
        <f>C21-D21</f>
        <v>5969</v>
      </c>
      <c r="F21" s="42"/>
      <c r="G21" s="41">
        <f>GrossMargin!I23</f>
        <v>0</v>
      </c>
      <c r="H21" s="42">
        <f>GrossMargin!J23</f>
        <v>0</v>
      </c>
      <c r="I21" s="42">
        <f>GrossMargin!K23</f>
        <v>0</v>
      </c>
      <c r="J21" s="83">
        <f>SUM(G21:I21)</f>
        <v>0</v>
      </c>
      <c r="K21" s="65"/>
      <c r="L21" s="42">
        <f>'CapChrg-AllocExp'!D22</f>
        <v>943</v>
      </c>
      <c r="M21" s="42">
        <f>Expenses!D21</f>
        <v>4674</v>
      </c>
      <c r="N21" s="43">
        <f>'CapChrg-AllocExp'!K22</f>
        <v>2304</v>
      </c>
      <c r="O21" s="83">
        <f t="shared" si="6"/>
        <v>-7921</v>
      </c>
      <c r="P21" s="44"/>
      <c r="Q21" s="41">
        <f>GrossMargin!N23</f>
        <v>-13235</v>
      </c>
      <c r="R21" s="42"/>
      <c r="S21" s="42">
        <f>'CapChrg-AllocExp'!F22</f>
        <v>-655</v>
      </c>
      <c r="T21" s="42">
        <f>Expenses!F21</f>
        <v>0</v>
      </c>
      <c r="U21" s="42">
        <f>'CapChrg-AllocExp'!M22</f>
        <v>0</v>
      </c>
      <c r="V21" s="66">
        <f>ROUND(SUM(Q21:U21),0)</f>
        <v>-13890</v>
      </c>
    </row>
    <row r="22" spans="1:22" ht="12" customHeight="1" x14ac:dyDescent="0.2">
      <c r="A22" s="29" t="s">
        <v>258</v>
      </c>
      <c r="B22" s="38"/>
      <c r="C22" s="41">
        <f>GrossMargin!M24</f>
        <v>22861</v>
      </c>
      <c r="D22" s="42">
        <f>Expenses!E22+'CapChrg-AllocExp'!E23+'CapChrg-AllocExp'!L23</f>
        <v>8910</v>
      </c>
      <c r="E22" s="66">
        <f>C22-D22</f>
        <v>13951</v>
      </c>
      <c r="F22" s="42"/>
      <c r="G22" s="41">
        <f>GrossMargin!I24</f>
        <v>417</v>
      </c>
      <c r="H22" s="42">
        <f>GrossMargin!J24</f>
        <v>0</v>
      </c>
      <c r="I22" s="42">
        <f>GrossMargin!K24</f>
        <v>0</v>
      </c>
      <c r="J22" s="83">
        <f>SUM(G22:I22)</f>
        <v>417</v>
      </c>
      <c r="K22" s="65"/>
      <c r="L22" s="42">
        <f>'CapChrg-AllocExp'!D23</f>
        <v>109</v>
      </c>
      <c r="M22" s="42">
        <f>Expenses!D22</f>
        <v>5476</v>
      </c>
      <c r="N22" s="43">
        <f>'CapChrg-AllocExp'!K23</f>
        <v>2348</v>
      </c>
      <c r="O22" s="83">
        <f t="shared" si="6"/>
        <v>-7516</v>
      </c>
      <c r="P22" s="44"/>
      <c r="Q22" s="41">
        <f>GrossMargin!N24</f>
        <v>-22444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0</v>
      </c>
      <c r="V22" s="66">
        <f>ROUND(SUM(Q22:U22),0)</f>
        <v>-21467</v>
      </c>
    </row>
    <row r="23" spans="1:22" ht="12" customHeight="1" x14ac:dyDescent="0.2">
      <c r="A23" s="29" t="s">
        <v>104</v>
      </c>
      <c r="B23" s="38"/>
      <c r="C23" s="41">
        <f>GrossMargin!M25</f>
        <v>6477</v>
      </c>
      <c r="D23" s="42">
        <f>Expenses!E23+'CapChrg-AllocExp'!E24+'CapChrg-AllocExp'!L24</f>
        <v>2725</v>
      </c>
      <c r="E23" s="66">
        <f>C23-D23</f>
        <v>3752</v>
      </c>
      <c r="F23" s="42"/>
      <c r="G23" s="41">
        <f>GrossMargin!I25</f>
        <v>0</v>
      </c>
      <c r="H23" s="42">
        <f>GrossMargin!J25</f>
        <v>0</v>
      </c>
      <c r="I23" s="42">
        <f>GrossMargin!K25</f>
        <v>0</v>
      </c>
      <c r="J23" s="83">
        <f>SUM(G23:I23)</f>
        <v>0</v>
      </c>
      <c r="K23" s="65"/>
      <c r="L23" s="42">
        <f>'CapChrg-AllocExp'!D24</f>
        <v>0</v>
      </c>
      <c r="M23" s="42">
        <f>Expenses!D23</f>
        <v>1937</v>
      </c>
      <c r="N23" s="43">
        <f>'CapChrg-AllocExp'!K24</f>
        <v>788</v>
      </c>
      <c r="O23" s="83">
        <f t="shared" si="6"/>
        <v>-2725</v>
      </c>
      <c r="P23" s="44"/>
      <c r="Q23" s="41">
        <f>GrossMargin!N25</f>
        <v>-6477</v>
      </c>
      <c r="R23" s="42"/>
      <c r="S23" s="42">
        <f>'CapChrg-AllocExp'!F24</f>
        <v>0</v>
      </c>
      <c r="T23" s="42">
        <f>Expenses!F23</f>
        <v>0</v>
      </c>
      <c r="U23" s="42">
        <f>'CapChrg-AllocExp'!M24</f>
        <v>0</v>
      </c>
      <c r="V23" s="66">
        <f>ROUND(SUM(Q23:U23),0)</f>
        <v>-6477</v>
      </c>
    </row>
    <row r="24" spans="1:22" ht="12" customHeight="1" x14ac:dyDescent="0.2">
      <c r="A24" s="29" t="s">
        <v>0</v>
      </c>
      <c r="B24" s="38"/>
      <c r="C24" s="41">
        <f>GrossMargin!M26</f>
        <v>4656</v>
      </c>
      <c r="D24" s="42">
        <f>Expenses!E24+'CapChrg-AllocExp'!E25+'CapChrg-AllocExp'!L25</f>
        <v>2626</v>
      </c>
      <c r="E24" s="66">
        <f>C24-D24</f>
        <v>2030</v>
      </c>
      <c r="F24" s="42"/>
      <c r="G24" s="41">
        <f>GrossMargin!I26</f>
        <v>0</v>
      </c>
      <c r="H24" s="42">
        <f>GrossMargin!J26</f>
        <v>0</v>
      </c>
      <c r="I24" s="42">
        <f>GrossMargin!K26</f>
        <v>0</v>
      </c>
      <c r="J24" s="83">
        <f>SUM(G24:I24)</f>
        <v>0</v>
      </c>
      <c r="K24" s="65"/>
      <c r="L24" s="42">
        <f>'CapChrg-AllocExp'!D25</f>
        <v>0</v>
      </c>
      <c r="M24" s="42">
        <f>Expenses!D24</f>
        <v>2005</v>
      </c>
      <c r="N24" s="43">
        <f>'CapChrg-AllocExp'!K25</f>
        <v>621</v>
      </c>
      <c r="O24" s="83">
        <f t="shared" si="6"/>
        <v>-2626</v>
      </c>
      <c r="P24" s="44"/>
      <c r="Q24" s="41">
        <f>GrossMargin!N26</f>
        <v>-4656</v>
      </c>
      <c r="R24" s="42"/>
      <c r="S24" s="42">
        <f>'CapChrg-AllocExp'!F25</f>
        <v>0</v>
      </c>
      <c r="T24" s="42">
        <f>Expenses!F24</f>
        <v>0</v>
      </c>
      <c r="U24" s="42">
        <f>'CapChrg-AllocExp'!M25</f>
        <v>0</v>
      </c>
      <c r="V24" s="66">
        <f>ROUND(SUM(Q24:U24),0)</f>
        <v>-4656</v>
      </c>
    </row>
    <row r="25" spans="1:22" s="90" customFormat="1" ht="12" customHeight="1" x14ac:dyDescent="0.3">
      <c r="A25" s="94" t="s">
        <v>1</v>
      </c>
      <c r="B25" s="91"/>
      <c r="C25" s="99">
        <f t="shared" ref="C25:N25" si="7">SUM(C20:C24)</f>
        <v>67722</v>
      </c>
      <c r="D25" s="100">
        <f t="shared" si="7"/>
        <v>27901</v>
      </c>
      <c r="E25" s="101">
        <f t="shared" si="7"/>
        <v>39821</v>
      </c>
      <c r="F25" s="92">
        <f t="shared" si="7"/>
        <v>0</v>
      </c>
      <c r="G25" s="99">
        <f t="shared" si="7"/>
        <v>417</v>
      </c>
      <c r="H25" s="100">
        <f t="shared" si="7"/>
        <v>0</v>
      </c>
      <c r="I25" s="100">
        <f t="shared" si="7"/>
        <v>0</v>
      </c>
      <c r="J25" s="102">
        <f t="shared" si="7"/>
        <v>417</v>
      </c>
      <c r="K25" s="100">
        <f t="shared" si="7"/>
        <v>0</v>
      </c>
      <c r="L25" s="100">
        <f t="shared" si="7"/>
        <v>1052</v>
      </c>
      <c r="M25" s="100">
        <f t="shared" si="7"/>
        <v>17417</v>
      </c>
      <c r="N25" s="101">
        <f t="shared" si="7"/>
        <v>9110</v>
      </c>
      <c r="O25" s="102">
        <f t="shared" si="6"/>
        <v>-27162</v>
      </c>
      <c r="P25" s="93"/>
      <c r="Q25" s="99">
        <f t="shared" ref="Q25:V25" si="8">SUM(Q20:Q24)</f>
        <v>-67305</v>
      </c>
      <c r="R25" s="100">
        <f t="shared" si="8"/>
        <v>0</v>
      </c>
      <c r="S25" s="100">
        <f t="shared" si="8"/>
        <v>322</v>
      </c>
      <c r="T25" s="100">
        <f t="shared" si="8"/>
        <v>0</v>
      </c>
      <c r="U25" s="100">
        <f t="shared" si="8"/>
        <v>0</v>
      </c>
      <c r="V25" s="101">
        <f t="shared" si="8"/>
        <v>-66983</v>
      </c>
    </row>
    <row r="26" spans="1:22" ht="3" customHeight="1" x14ac:dyDescent="0.2">
      <c r="A26" s="29"/>
      <c r="B26" s="38"/>
      <c r="C26" s="41"/>
      <c r="D26" s="42"/>
      <c r="E26" s="66"/>
      <c r="F26" s="42"/>
      <c r="G26" s="41"/>
      <c r="H26" s="42"/>
      <c r="I26" s="42"/>
      <c r="J26" s="83"/>
      <c r="K26" s="65"/>
      <c r="L26" s="65"/>
      <c r="M26" s="42"/>
      <c r="N26" s="43"/>
      <c r="O26" s="83"/>
      <c r="P26" s="44"/>
      <c r="Q26" s="41"/>
      <c r="R26" s="42"/>
      <c r="S26" s="42"/>
      <c r="T26" s="42"/>
      <c r="U26" s="42"/>
      <c r="V26" s="66"/>
    </row>
    <row r="27" spans="1:22" ht="12" customHeight="1" x14ac:dyDescent="0.2">
      <c r="A27" s="29" t="s">
        <v>67</v>
      </c>
      <c r="B27" s="38"/>
      <c r="C27" s="41">
        <f>GrossMargin!M30</f>
        <v>12234</v>
      </c>
      <c r="D27" s="42">
        <f>Expenses!E27+'CapChrg-AllocExp'!E28+'CapChrg-AllocExp'!L28</f>
        <v>7955</v>
      </c>
      <c r="E27" s="66">
        <f>C27-D27</f>
        <v>4279</v>
      </c>
      <c r="F27" s="42"/>
      <c r="G27" s="41">
        <f>GrossMargin!I30</f>
        <v>3553</v>
      </c>
      <c r="H27" s="42">
        <f>GrossMargin!J30</f>
        <v>0</v>
      </c>
      <c r="I27" s="42">
        <f>GrossMargin!K30</f>
        <v>0</v>
      </c>
      <c r="J27" s="83">
        <f>SUM(G27:I27)</f>
        <v>3553</v>
      </c>
      <c r="K27" s="42"/>
      <c r="L27" s="42">
        <f>'CapChrg-AllocExp'!D28</f>
        <v>6052</v>
      </c>
      <c r="M27" s="42">
        <f>Expenses!D27</f>
        <v>1001</v>
      </c>
      <c r="N27" s="43">
        <f>'CapChrg-AllocExp'!K28</f>
        <v>660</v>
      </c>
      <c r="O27" s="83">
        <f>J27-K27-M27-N27-L27</f>
        <v>-4160</v>
      </c>
      <c r="P27" s="44"/>
      <c r="Q27" s="41">
        <f>GrossMargin!N30</f>
        <v>-8681</v>
      </c>
      <c r="R27" s="42"/>
      <c r="S27" s="42">
        <f>'CapChrg-AllocExp'!F28</f>
        <v>242</v>
      </c>
      <c r="T27" s="42">
        <f>Expenses!F27</f>
        <v>0</v>
      </c>
      <c r="U27" s="42">
        <f>'CapChrg-AllocExp'!M28</f>
        <v>0</v>
      </c>
      <c r="V27" s="66">
        <f>ROUND(SUM(Q27:U27),0)</f>
        <v>-8439</v>
      </c>
    </row>
    <row r="28" spans="1:22" ht="12" customHeight="1" x14ac:dyDescent="0.2">
      <c r="A28" s="29" t="s">
        <v>92</v>
      </c>
      <c r="B28" s="38"/>
      <c r="C28" s="41">
        <f>GrossMargin!M31</f>
        <v>32604</v>
      </c>
      <c r="D28" s="42">
        <f>Expenses!E28+Expenses!E55+'CapChrg-AllocExp'!E29+'CapChrg-AllocExp'!L29</f>
        <v>61623</v>
      </c>
      <c r="E28" s="66">
        <f>C28-D28</f>
        <v>-29019</v>
      </c>
      <c r="F28" s="42"/>
      <c r="G28" s="41">
        <f>GrossMargin!I31</f>
        <v>17421</v>
      </c>
      <c r="H28" s="42">
        <f>GrossMargin!J31</f>
        <v>0</v>
      </c>
      <c r="I28" s="42">
        <f>GrossMargin!K31</f>
        <v>0</v>
      </c>
      <c r="J28" s="83">
        <f>SUM(G28:I28)</f>
        <v>17421</v>
      </c>
      <c r="K28" s="42">
        <f>Expenses!D55</f>
        <v>40447</v>
      </c>
      <c r="L28" s="42">
        <f>'CapChrg-AllocExp'!D29</f>
        <v>12467</v>
      </c>
      <c r="M28" s="42">
        <f>Expenses!D28</f>
        <v>4961</v>
      </c>
      <c r="N28" s="43">
        <f>'CapChrg-AllocExp'!K29</f>
        <v>6963</v>
      </c>
      <c r="O28" s="83">
        <f>J28-K28-M28-N28-L28</f>
        <v>-47417</v>
      </c>
      <c r="P28" s="44"/>
      <c r="Q28" s="41">
        <f>GrossMargin!N31</f>
        <v>-15183</v>
      </c>
      <c r="R28" s="42">
        <f>Expenses!F55</f>
        <v>-1704</v>
      </c>
      <c r="S28" s="42">
        <f>'CapChrg-AllocExp'!F29</f>
        <v>-1402</v>
      </c>
      <c r="T28" s="42">
        <f>Expenses!F28</f>
        <v>-109</v>
      </c>
      <c r="U28" s="42">
        <f>'CapChrg-AllocExp'!M29</f>
        <v>0</v>
      </c>
      <c r="V28" s="66">
        <f>ROUND(SUM(Q28:U28),0)</f>
        <v>-18398</v>
      </c>
    </row>
    <row r="29" spans="1:22" ht="12" customHeight="1" x14ac:dyDescent="0.2">
      <c r="A29" s="29" t="s">
        <v>93</v>
      </c>
      <c r="B29" s="38"/>
      <c r="C29" s="41">
        <f>GrossMargin!M32</f>
        <v>7570</v>
      </c>
      <c r="D29" s="42">
        <f>Expenses!E29+'CapChrg-AllocExp'!E30+'CapChrg-AllocExp'!L30</f>
        <v>3158</v>
      </c>
      <c r="E29" s="66">
        <f>C29-D29</f>
        <v>4412</v>
      </c>
      <c r="F29" s="42"/>
      <c r="G29" s="41">
        <f>GrossMargin!I32</f>
        <v>5531</v>
      </c>
      <c r="H29" s="42">
        <f>GrossMargin!J32</f>
        <v>0</v>
      </c>
      <c r="I29" s="42">
        <f>GrossMargin!K32</f>
        <v>0</v>
      </c>
      <c r="J29" s="83">
        <f>SUM(G29:I29)</f>
        <v>5531</v>
      </c>
      <c r="K29" s="65"/>
      <c r="L29" s="65">
        <f>'CapChrg-AllocExp'!D30</f>
        <v>0</v>
      </c>
      <c r="M29" s="42">
        <f>Expenses!D29</f>
        <v>717</v>
      </c>
      <c r="N29" s="43">
        <f>'CapChrg-AllocExp'!K30</f>
        <v>2441</v>
      </c>
      <c r="O29" s="83">
        <f>J29-K29-M29-N29-L29</f>
        <v>2373</v>
      </c>
      <c r="P29" s="44"/>
      <c r="Q29" s="41">
        <f>GrossMargin!N32</f>
        <v>-2039</v>
      </c>
      <c r="R29" s="42"/>
      <c r="S29" s="42">
        <f>'CapChrg-AllocExp'!F30</f>
        <v>0</v>
      </c>
      <c r="T29" s="42">
        <f>Expenses!F29</f>
        <v>0</v>
      </c>
      <c r="U29" s="42">
        <f>'CapChrg-AllocExp'!M30</f>
        <v>0</v>
      </c>
      <c r="V29" s="66">
        <f>ROUND(SUM(Q29:U29),0)</f>
        <v>-2039</v>
      </c>
    </row>
    <row r="30" spans="1:22" s="90" customFormat="1" ht="12" customHeight="1" x14ac:dyDescent="0.3">
      <c r="A30" s="94" t="s">
        <v>86</v>
      </c>
      <c r="B30" s="91"/>
      <c r="C30" s="99">
        <f>SUM(C27:C29)</f>
        <v>52408</v>
      </c>
      <c r="D30" s="100">
        <f>SUM(D27:D29)</f>
        <v>72736</v>
      </c>
      <c r="E30" s="101">
        <f>SUM(E27:E29)</f>
        <v>-20328</v>
      </c>
      <c r="F30" s="92"/>
      <c r="G30" s="99">
        <f t="shared" ref="G30:N30" si="9">SUM(G27:G29)</f>
        <v>26505</v>
      </c>
      <c r="H30" s="100">
        <f t="shared" si="9"/>
        <v>0</v>
      </c>
      <c r="I30" s="100">
        <f t="shared" si="9"/>
        <v>0</v>
      </c>
      <c r="J30" s="102">
        <f t="shared" si="9"/>
        <v>26505</v>
      </c>
      <c r="K30" s="100">
        <f t="shared" si="9"/>
        <v>40447</v>
      </c>
      <c r="L30" s="100">
        <f t="shared" si="9"/>
        <v>18519</v>
      </c>
      <c r="M30" s="100">
        <f t="shared" si="9"/>
        <v>6679</v>
      </c>
      <c r="N30" s="101">
        <f t="shared" si="9"/>
        <v>10064</v>
      </c>
      <c r="O30" s="102">
        <f>J30-K30-M30-N30-L30</f>
        <v>-49204</v>
      </c>
      <c r="P30" s="93"/>
      <c r="Q30" s="99">
        <f t="shared" ref="Q30:V30" si="10">SUM(Q27:Q29)</f>
        <v>-25903</v>
      </c>
      <c r="R30" s="100">
        <f t="shared" si="10"/>
        <v>-1704</v>
      </c>
      <c r="S30" s="100">
        <f t="shared" si="10"/>
        <v>-1160</v>
      </c>
      <c r="T30" s="100">
        <f t="shared" si="10"/>
        <v>-109</v>
      </c>
      <c r="U30" s="100">
        <f t="shared" si="10"/>
        <v>0</v>
      </c>
      <c r="V30" s="101">
        <f t="shared" si="10"/>
        <v>-28876</v>
      </c>
    </row>
    <row r="31" spans="1:22" ht="3" customHeight="1" x14ac:dyDescent="0.2">
      <c r="A31" s="29"/>
      <c r="B31" s="38"/>
      <c r="C31" s="41"/>
      <c r="D31" s="42"/>
      <c r="E31" s="66"/>
      <c r="F31" s="42"/>
      <c r="G31" s="41"/>
      <c r="H31" s="42"/>
      <c r="I31" s="42"/>
      <c r="J31" s="83"/>
      <c r="K31" s="65"/>
      <c r="L31" s="65"/>
      <c r="M31" s="42"/>
      <c r="N31" s="43"/>
      <c r="O31" s="83"/>
      <c r="P31" s="44"/>
      <c r="Q31" s="41"/>
      <c r="R31" s="42"/>
      <c r="S31" s="42"/>
      <c r="T31" s="42"/>
      <c r="U31" s="42"/>
      <c r="V31" s="66"/>
    </row>
    <row r="32" spans="1:22" ht="12" customHeight="1" x14ac:dyDescent="0.2">
      <c r="A32" s="29" t="s">
        <v>9</v>
      </c>
      <c r="B32" s="38"/>
      <c r="C32" s="41">
        <f>GrossMargin!M36</f>
        <v>15385</v>
      </c>
      <c r="D32" s="42">
        <f>Expenses!E32+'CapChrg-AllocExp'!E33+'CapChrg-AllocExp'!L33</f>
        <v>3691</v>
      </c>
      <c r="E32" s="66">
        <f>C32-D32</f>
        <v>11694</v>
      </c>
      <c r="F32" s="42"/>
      <c r="G32" s="41">
        <f>GrossMargin!I36</f>
        <v>-24822</v>
      </c>
      <c r="H32" s="42">
        <f>GrossMargin!J36</f>
        <v>0</v>
      </c>
      <c r="I32" s="42">
        <f>GrossMargin!K36</f>
        <v>0</v>
      </c>
      <c r="J32" s="83">
        <f>SUM(G32:I32)</f>
        <v>-24822</v>
      </c>
      <c r="K32" s="65"/>
      <c r="L32" s="42">
        <f>'CapChrg-AllocExp'!D33</f>
        <v>704</v>
      </c>
      <c r="M32" s="42">
        <f>Expenses!D32</f>
        <v>838</v>
      </c>
      <c r="N32" s="43">
        <f>'CapChrg-AllocExp'!K33</f>
        <v>914</v>
      </c>
      <c r="O32" s="83">
        <f>J32-K32-M32-N32-L32</f>
        <v>-27278</v>
      </c>
      <c r="P32" s="44"/>
      <c r="Q32" s="41">
        <f>GrossMargin!N36</f>
        <v>-40207</v>
      </c>
      <c r="R32" s="42"/>
      <c r="S32" s="42">
        <f>'CapChrg-AllocExp'!F33</f>
        <v>1338</v>
      </c>
      <c r="T32" s="42">
        <f>Expenses!F32</f>
        <v>-103</v>
      </c>
      <c r="U32" s="42">
        <f>'CapChrg-AllocExp'!M33</f>
        <v>0</v>
      </c>
      <c r="V32" s="66">
        <f>ROUND(SUM(Q32:U32),0)</f>
        <v>-38972</v>
      </c>
    </row>
    <row r="33" spans="1:22" ht="12" customHeight="1" x14ac:dyDescent="0.2">
      <c r="A33" s="29" t="s">
        <v>151</v>
      </c>
      <c r="B33" s="38"/>
      <c r="C33" s="41">
        <f>GrossMargin!I40+6</f>
        <v>-21385</v>
      </c>
      <c r="D33" s="42">
        <f>Expenses!E33+'CapChrg-AllocExp'!E34+'CapChrg-AllocExp'!L34</f>
        <v>7328</v>
      </c>
      <c r="E33" s="66">
        <f>C33-D33</f>
        <v>-28713</v>
      </c>
      <c r="F33" s="42"/>
      <c r="G33" s="41">
        <f>GrossMargin!I37</f>
        <v>-505</v>
      </c>
      <c r="H33" s="42">
        <f>GrossMargin!J37</f>
        <v>0</v>
      </c>
      <c r="I33" s="42">
        <f>GrossMargin!K37</f>
        <v>0</v>
      </c>
      <c r="J33" s="83">
        <f>SUM(G33:I33)</f>
        <v>-505</v>
      </c>
      <c r="K33" s="65"/>
      <c r="L33" s="42">
        <f>'CapChrg-AllocExp'!D34</f>
        <v>2880</v>
      </c>
      <c r="M33" s="42">
        <f>Expenses!D33</f>
        <v>1307</v>
      </c>
      <c r="N33" s="43">
        <f>'CapChrg-AllocExp'!K34</f>
        <v>1784</v>
      </c>
      <c r="O33" s="83">
        <f>J33-K33-M33-N33-L33</f>
        <v>-6476</v>
      </c>
      <c r="P33" s="44"/>
      <c r="Q33" s="41">
        <f>GrossMargin!N37</f>
        <v>-16647</v>
      </c>
      <c r="R33" s="42"/>
      <c r="S33" s="42">
        <f>'CapChrg-AllocExp'!F34</f>
        <v>1357</v>
      </c>
      <c r="T33" s="42">
        <f>Expenses!F33</f>
        <v>0</v>
      </c>
      <c r="U33" s="42">
        <f>'CapChrg-AllocExp'!M34</f>
        <v>0</v>
      </c>
      <c r="V33" s="66">
        <f>ROUND(SUM(Q33:U33),0)</f>
        <v>-15290</v>
      </c>
    </row>
    <row r="34" spans="1:22" ht="12" customHeight="1" x14ac:dyDescent="0.2">
      <c r="A34" s="29" t="s">
        <v>154</v>
      </c>
      <c r="B34" s="38"/>
      <c r="C34" s="41">
        <f>GrossMargin!M40</f>
        <v>14705</v>
      </c>
      <c r="D34" s="42">
        <f>Expenses!E36+'CapChrg-AllocExp'!E37+'CapChrg-AllocExp'!L37</f>
        <v>10399</v>
      </c>
      <c r="E34" s="66">
        <f>C34-D34</f>
        <v>4306</v>
      </c>
      <c r="F34" s="42"/>
      <c r="G34" s="41">
        <f>GrossMargin!I40</f>
        <v>-21391</v>
      </c>
      <c r="H34" s="42">
        <f>GrossMargin!J40</f>
        <v>0</v>
      </c>
      <c r="I34" s="42">
        <f>GrossMargin!K40</f>
        <v>0</v>
      </c>
      <c r="J34" s="83">
        <f>SUM(G34:I34)</f>
        <v>-21391</v>
      </c>
      <c r="K34" s="65"/>
      <c r="L34" s="42">
        <f>'CapChrg-AllocExp'!D37</f>
        <v>7965</v>
      </c>
      <c r="M34" s="42">
        <f>Expenses!D36</f>
        <v>839</v>
      </c>
      <c r="N34" s="43">
        <f>'CapChrg-AllocExp'!K37</f>
        <v>1516</v>
      </c>
      <c r="O34" s="83">
        <f>J34-K34-M34-N34-L34</f>
        <v>-31711</v>
      </c>
      <c r="P34" s="44"/>
      <c r="Q34" s="41">
        <f>GrossMargin!N40</f>
        <v>-36096</v>
      </c>
      <c r="R34" s="42"/>
      <c r="S34" s="42">
        <f>'CapChrg-AllocExp'!F37</f>
        <v>79</v>
      </c>
      <c r="T34" s="42">
        <f>Expenses!F36</f>
        <v>0</v>
      </c>
      <c r="U34" s="42">
        <f>'CapChrg-AllocExp'!M37</f>
        <v>0</v>
      </c>
      <c r="V34" s="66">
        <f>ROUND(SUM(Q34:U34),0)</f>
        <v>-36017</v>
      </c>
    </row>
    <row r="35" spans="1:22" s="90" customFormat="1" ht="12" customHeight="1" x14ac:dyDescent="0.3">
      <c r="A35" s="94" t="s">
        <v>87</v>
      </c>
      <c r="B35" s="91"/>
      <c r="C35" s="99">
        <f>SUM(C32:C34)</f>
        <v>8705</v>
      </c>
      <c r="D35" s="100">
        <f>SUM(D32:D34)</f>
        <v>21418</v>
      </c>
      <c r="E35" s="101">
        <f>SUM(E32:E34)</f>
        <v>-12713</v>
      </c>
      <c r="F35" s="92"/>
      <c r="G35" s="99">
        <f t="shared" ref="G35:N35" si="11">SUM(G32:G34)</f>
        <v>-46718</v>
      </c>
      <c r="H35" s="100">
        <f t="shared" si="11"/>
        <v>0</v>
      </c>
      <c r="I35" s="100">
        <f t="shared" si="11"/>
        <v>0</v>
      </c>
      <c r="J35" s="102">
        <f t="shared" si="11"/>
        <v>-46718</v>
      </c>
      <c r="K35" s="100">
        <f t="shared" si="11"/>
        <v>0</v>
      </c>
      <c r="L35" s="100">
        <f t="shared" si="11"/>
        <v>11549</v>
      </c>
      <c r="M35" s="100">
        <f t="shared" si="11"/>
        <v>2984</v>
      </c>
      <c r="N35" s="101">
        <f t="shared" si="11"/>
        <v>4214</v>
      </c>
      <c r="O35" s="102">
        <f>J35-K35-M35-N35-L35</f>
        <v>-65465</v>
      </c>
      <c r="P35" s="93"/>
      <c r="Q35" s="99">
        <f t="shared" ref="Q35:V35" si="12">SUM(Q32:Q34)</f>
        <v>-92950</v>
      </c>
      <c r="R35" s="100">
        <f t="shared" si="12"/>
        <v>0</v>
      </c>
      <c r="S35" s="100">
        <f t="shared" si="12"/>
        <v>2774</v>
      </c>
      <c r="T35" s="100">
        <f t="shared" si="12"/>
        <v>-103</v>
      </c>
      <c r="U35" s="100">
        <f t="shared" si="12"/>
        <v>0</v>
      </c>
      <c r="V35" s="101">
        <f t="shared" si="12"/>
        <v>-90279</v>
      </c>
    </row>
    <row r="36" spans="1:22" ht="3" customHeight="1" x14ac:dyDescent="0.2">
      <c r="A36" s="29"/>
      <c r="B36" s="38"/>
      <c r="C36" s="41"/>
      <c r="D36" s="42"/>
      <c r="E36" s="66"/>
      <c r="F36" s="42"/>
      <c r="G36" s="41"/>
      <c r="H36" s="42"/>
      <c r="I36" s="42"/>
      <c r="J36" s="83"/>
      <c r="K36" s="65"/>
      <c r="L36" s="65"/>
      <c r="M36" s="42"/>
      <c r="N36" s="43"/>
      <c r="O36" s="83"/>
      <c r="P36" s="44"/>
      <c r="Q36" s="41"/>
      <c r="R36" s="42"/>
      <c r="S36" s="42"/>
      <c r="T36" s="42"/>
      <c r="U36" s="42"/>
      <c r="V36" s="66"/>
    </row>
    <row r="37" spans="1:22" ht="12" customHeight="1" x14ac:dyDescent="0.2">
      <c r="A37" s="29" t="s">
        <v>8</v>
      </c>
      <c r="B37" s="38"/>
      <c r="C37" s="41">
        <f>GrossMargin!M44</f>
        <v>2500</v>
      </c>
      <c r="D37" s="42">
        <f>Expenses!E39+'CapChrg-AllocExp'!E40+'CapChrg-AllocExp'!L40</f>
        <v>8392</v>
      </c>
      <c r="E37" s="66">
        <f>C37-D37</f>
        <v>-5892</v>
      </c>
      <c r="F37" s="42"/>
      <c r="G37" s="41">
        <f>GrossMargin!I44</f>
        <v>0</v>
      </c>
      <c r="H37" s="42">
        <f>GrossMargin!J44</f>
        <v>0</v>
      </c>
      <c r="I37" s="42">
        <f>GrossMargin!K44</f>
        <v>0</v>
      </c>
      <c r="J37" s="83">
        <f>SUM(G37:I37)</f>
        <v>0</v>
      </c>
      <c r="K37" s="65"/>
      <c r="L37" s="42">
        <f>'CapChrg-AllocExp'!D40</f>
        <v>0</v>
      </c>
      <c r="M37" s="42">
        <f>Expenses!D39</f>
        <v>5984</v>
      </c>
      <c r="N37" s="43">
        <f>'CapChrg-AllocExp'!K40</f>
        <v>2408</v>
      </c>
      <c r="O37" s="83">
        <f>J37-K37-M37-N37-L37</f>
        <v>-8392</v>
      </c>
      <c r="P37" s="44"/>
      <c r="Q37" s="41">
        <f>GrossMargin!N44</f>
        <v>-2500</v>
      </c>
      <c r="R37" s="42"/>
      <c r="S37" s="42">
        <f>'CapChrg-AllocExp'!F40</f>
        <v>0</v>
      </c>
      <c r="T37" s="42">
        <f>Expenses!F39</f>
        <v>0</v>
      </c>
      <c r="U37" s="42">
        <f>'CapChrg-AllocExp'!M40</f>
        <v>0</v>
      </c>
      <c r="V37" s="66">
        <f>ROUND(SUM(Q37:U37),0)</f>
        <v>-2500</v>
      </c>
    </row>
    <row r="38" spans="1:22" ht="3" customHeight="1" x14ac:dyDescent="0.2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">
      <c r="A39" s="29" t="s">
        <v>19</v>
      </c>
      <c r="B39" s="38"/>
      <c r="C39" s="41">
        <f>GrossMargin!M50</f>
        <v>38074</v>
      </c>
      <c r="D39" s="42"/>
      <c r="E39" s="66">
        <f>C39-D39</f>
        <v>38074</v>
      </c>
      <c r="F39" s="42"/>
      <c r="G39" s="41">
        <f>GrossMargin!I50</f>
        <v>0</v>
      </c>
      <c r="H39" s="42"/>
      <c r="I39" s="42">
        <f>GrossMargin!K50</f>
        <v>0</v>
      </c>
      <c r="J39" s="83">
        <f>SUM(G39:I39)</f>
        <v>0</v>
      </c>
      <c r="K39" s="65"/>
      <c r="L39" s="42"/>
      <c r="M39" s="42"/>
      <c r="N39" s="43"/>
      <c r="O39" s="83">
        <f>J39-K39-M39-N39-L39</f>
        <v>0</v>
      </c>
      <c r="P39" s="44"/>
      <c r="Q39" s="41">
        <f>GrossMargin!N50</f>
        <v>-38074</v>
      </c>
      <c r="R39" s="42"/>
      <c r="S39" s="42"/>
      <c r="T39" s="42">
        <v>0</v>
      </c>
      <c r="U39" s="42"/>
      <c r="V39" s="66">
        <f>ROUND(SUM(Q39:U39),0)</f>
        <v>-38074</v>
      </c>
    </row>
    <row r="40" spans="1:22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">
      <c r="A41" s="29" t="s">
        <v>7</v>
      </c>
      <c r="B41" s="38"/>
      <c r="C41" s="41">
        <f>GrossMargin!M46</f>
        <v>0</v>
      </c>
      <c r="D41" s="42">
        <f>Expenses!E41+'CapChrg-AllocExp'!E42+'CapChrg-AllocExp'!L42</f>
        <v>6928</v>
      </c>
      <c r="E41" s="66">
        <f>C41-D41</f>
        <v>-6928</v>
      </c>
      <c r="F41" s="42"/>
      <c r="G41" s="41">
        <f>GrossMargin!I46</f>
        <v>0</v>
      </c>
      <c r="H41" s="42">
        <f>GrossMargin!J46</f>
        <v>0</v>
      </c>
      <c r="I41" s="42">
        <f>GrossMargin!K46</f>
        <v>0</v>
      </c>
      <c r="J41" s="83">
        <f>SUM(G41:I41)</f>
        <v>0</v>
      </c>
      <c r="K41" s="65"/>
      <c r="L41" s="42">
        <f>'CapChrg-AllocExp'!D42</f>
        <v>0</v>
      </c>
      <c r="M41" s="42">
        <f>Expenses!D41</f>
        <v>2930</v>
      </c>
      <c r="N41" s="43">
        <f>'CapChrg-AllocExp'!K42</f>
        <v>4498</v>
      </c>
      <c r="O41" s="83">
        <f>J41-K41-M41-N41-L41</f>
        <v>-7428</v>
      </c>
      <c r="P41" s="44"/>
      <c r="Q41" s="41">
        <f>GrossMargin!N46</f>
        <v>0</v>
      </c>
      <c r="R41" s="42"/>
      <c r="S41" s="42">
        <f>'CapChrg-AllocExp'!F42</f>
        <v>0</v>
      </c>
      <c r="T41" s="42">
        <f>Expenses!F41</f>
        <v>-500</v>
      </c>
      <c r="U41" s="42">
        <f>'CapChrg-AllocExp'!M42</f>
        <v>0</v>
      </c>
      <c r="V41" s="66">
        <f>ROUND(SUM(Q41:U41),0)</f>
        <v>-500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s="90" customFormat="1" ht="12" customHeight="1" x14ac:dyDescent="0.3">
      <c r="A43" s="94" t="s">
        <v>10</v>
      </c>
      <c r="B43" s="91"/>
      <c r="C43" s="99">
        <f>SUM(C35:C41)+C18+C25+C30</f>
        <v>359527</v>
      </c>
      <c r="D43" s="100">
        <f>SUM(D35:D41)+D18+D25+D30</f>
        <v>197643</v>
      </c>
      <c r="E43" s="101">
        <f>SUM(E35:E41)+E18+E25+E30</f>
        <v>161884</v>
      </c>
      <c r="F43" s="92"/>
      <c r="G43" s="99">
        <f t="shared" ref="G43:N43" si="13">SUM(G35:G41)+G18+G25+G30</f>
        <v>-733</v>
      </c>
      <c r="H43" s="100">
        <f t="shared" si="13"/>
        <v>0</v>
      </c>
      <c r="I43" s="100">
        <f t="shared" si="13"/>
        <v>0</v>
      </c>
      <c r="J43" s="102">
        <f t="shared" si="13"/>
        <v>-733</v>
      </c>
      <c r="K43" s="100">
        <f t="shared" si="13"/>
        <v>48653</v>
      </c>
      <c r="L43" s="100">
        <f t="shared" si="13"/>
        <v>39563</v>
      </c>
      <c r="M43" s="100">
        <f t="shared" si="13"/>
        <v>53374</v>
      </c>
      <c r="N43" s="101">
        <f t="shared" si="13"/>
        <v>54575</v>
      </c>
      <c r="O43" s="102">
        <f>J43-K43-M43-N43-L43</f>
        <v>-196898</v>
      </c>
      <c r="P43" s="93"/>
      <c r="Q43" s="99">
        <f t="shared" ref="Q43:V43" si="14">SUM(Q35:Q41)+Q18+Q25+Q30</f>
        <v>-397787</v>
      </c>
      <c r="R43" s="100">
        <f t="shared" si="14"/>
        <v>-1121</v>
      </c>
      <c r="S43" s="100">
        <f t="shared" si="14"/>
        <v>3377</v>
      </c>
      <c r="T43" s="100">
        <f t="shared" si="14"/>
        <v>-778</v>
      </c>
      <c r="U43" s="100">
        <f t="shared" si="14"/>
        <v>0</v>
      </c>
      <c r="V43" s="101">
        <f t="shared" si="14"/>
        <v>-396309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ht="12" customHeight="1" x14ac:dyDescent="0.2">
      <c r="A45" s="29" t="s">
        <v>48</v>
      </c>
      <c r="B45" s="38"/>
      <c r="C45" s="41"/>
      <c r="D45" s="42">
        <f>Expenses!E45+'CapChrg-AllocExp'!E48+'CapChrg-AllocExp'!L48</f>
        <v>17274</v>
      </c>
      <c r="E45" s="66">
        <f>C45-D45</f>
        <v>-17274</v>
      </c>
      <c r="F45" s="42"/>
      <c r="G45" s="41"/>
      <c r="H45" s="42"/>
      <c r="I45" s="42"/>
      <c r="J45" s="83"/>
      <c r="K45" s="65"/>
      <c r="L45" s="42"/>
      <c r="M45" s="42">
        <f>Expenses!D45</f>
        <v>71849</v>
      </c>
      <c r="N45" s="43">
        <f>'CapChrg-AllocExp'!K48</f>
        <v>-54575</v>
      </c>
      <c r="O45" s="83">
        <f>J45-K45-M45-N45-L45</f>
        <v>-17274</v>
      </c>
      <c r="P45" s="44"/>
      <c r="Q45" s="41">
        <v>0</v>
      </c>
      <c r="R45" s="42"/>
      <c r="S45" s="42"/>
      <c r="T45" s="42">
        <f>Expenses!F45</f>
        <v>0</v>
      </c>
      <c r="U45" s="42">
        <f>'CapChrg-AllocExp'!M48</f>
        <v>0</v>
      </c>
      <c r="V45" s="66">
        <f>ROUND(SUM(Q45:U45),0)</f>
        <v>0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">
      <c r="A47" s="29" t="s">
        <v>18</v>
      </c>
      <c r="B47" s="38"/>
      <c r="C47" s="41">
        <f>GrossMargin!M48</f>
        <v>-10795</v>
      </c>
      <c r="D47" s="42">
        <f>Expenses!E47</f>
        <v>26684</v>
      </c>
      <c r="E47" s="66">
        <f>C47-D47</f>
        <v>-37479</v>
      </c>
      <c r="F47" s="65"/>
      <c r="G47" s="41">
        <f>GrossMargin!I48</f>
        <v>-19367</v>
      </c>
      <c r="H47" s="42">
        <f>GrossMargin!J48</f>
        <v>0</v>
      </c>
      <c r="I47" s="42">
        <f>GrossMargin!K48</f>
        <v>0</v>
      </c>
      <c r="J47" s="83">
        <f>SUM(G47:I47)</f>
        <v>-19367</v>
      </c>
      <c r="K47" s="65"/>
      <c r="L47" s="42"/>
      <c r="M47" s="42">
        <f>Expenses!D47</f>
        <v>26684</v>
      </c>
      <c r="N47" s="43"/>
      <c r="O47" s="83">
        <f>J47-K47-M47-N47-L47</f>
        <v>-46051</v>
      </c>
      <c r="P47" s="44"/>
      <c r="Q47" s="41">
        <f>GrossMargin!N48</f>
        <v>-8572</v>
      </c>
      <c r="R47" s="42"/>
      <c r="S47" s="42"/>
      <c r="T47" s="42">
        <f>Expenses!F47</f>
        <v>0</v>
      </c>
      <c r="U47" s="42"/>
      <c r="V47" s="66">
        <f>ROUND(SUM(Q47:U47),0)</f>
        <v>-8572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60</v>
      </c>
      <c r="B49" s="38"/>
      <c r="C49" s="41"/>
      <c r="D49" s="42">
        <f>'CapChrg-AllocExp'!E44</f>
        <v>-42940</v>
      </c>
      <c r="E49" s="66">
        <f>C49-D49</f>
        <v>42940</v>
      </c>
      <c r="F49" s="42"/>
      <c r="G49" s="41"/>
      <c r="H49" s="42"/>
      <c r="I49" s="42"/>
      <c r="J49" s="83">
        <f>SUM(G49:I49)</f>
        <v>0</v>
      </c>
      <c r="K49" s="65"/>
      <c r="L49" s="42">
        <f>'CapChrg-AllocExp'!D44</f>
        <v>-39563</v>
      </c>
      <c r="M49" s="42"/>
      <c r="N49" s="43"/>
      <c r="O49" s="83">
        <f>J49-K49-M49-N49-L49</f>
        <v>39563</v>
      </c>
      <c r="P49" s="44"/>
      <c r="Q49" s="41"/>
      <c r="R49" s="42"/>
      <c r="S49" s="42">
        <f>'CapChrg-AllocExp'!F44</f>
        <v>-3377</v>
      </c>
      <c r="T49" s="42"/>
      <c r="U49" s="42"/>
      <c r="V49" s="66">
        <f>ROUND(SUM(Q49:U49),0)</f>
        <v>-3377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>
        <f>ROUND(SUM(Q50:U50),0)</f>
        <v>0</v>
      </c>
    </row>
    <row r="51" spans="1:22" s="90" customFormat="1" ht="12" customHeight="1" x14ac:dyDescent="0.3">
      <c r="A51" s="94" t="s">
        <v>65</v>
      </c>
      <c r="B51" s="91"/>
      <c r="C51" s="99">
        <f>SUM(C43:C50)</f>
        <v>348732</v>
      </c>
      <c r="D51" s="100">
        <f>SUM(D43:D50)</f>
        <v>198661</v>
      </c>
      <c r="E51" s="101">
        <f>SUM(E43:E50)</f>
        <v>150071</v>
      </c>
      <c r="F51" s="92"/>
      <c r="G51" s="99">
        <f t="shared" ref="G51:N51" si="15">SUM(G43:G50)</f>
        <v>-20100</v>
      </c>
      <c r="H51" s="100">
        <f t="shared" si="15"/>
        <v>0</v>
      </c>
      <c r="I51" s="100">
        <f t="shared" si="15"/>
        <v>0</v>
      </c>
      <c r="J51" s="102">
        <f t="shared" si="15"/>
        <v>-20100</v>
      </c>
      <c r="K51" s="100">
        <f t="shared" si="15"/>
        <v>48653</v>
      </c>
      <c r="L51" s="100">
        <f t="shared" si="15"/>
        <v>0</v>
      </c>
      <c r="M51" s="100">
        <f t="shared" si="15"/>
        <v>151907</v>
      </c>
      <c r="N51" s="101">
        <f t="shared" si="15"/>
        <v>0</v>
      </c>
      <c r="O51" s="102">
        <f>J51-K51-M51-N51-L51</f>
        <v>-220660</v>
      </c>
      <c r="P51" s="93"/>
      <c r="Q51" s="99">
        <f t="shared" ref="Q51:V51" si="16">SUM(Q43:Q50)</f>
        <v>-406359</v>
      </c>
      <c r="R51" s="100">
        <f t="shared" si="16"/>
        <v>-1121</v>
      </c>
      <c r="S51" s="100">
        <f t="shared" si="16"/>
        <v>0</v>
      </c>
      <c r="T51" s="100">
        <f t="shared" si="16"/>
        <v>-778</v>
      </c>
      <c r="U51" s="100">
        <f t="shared" si="16"/>
        <v>0</v>
      </c>
      <c r="V51" s="101">
        <f t="shared" si="16"/>
        <v>-408258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">
      <c r="A53" s="29" t="s">
        <v>150</v>
      </c>
      <c r="B53" s="38"/>
      <c r="C53" s="41"/>
      <c r="D53" s="42">
        <v>8600</v>
      </c>
      <c r="E53" s="66">
        <f>C53-D53</f>
        <v>-8600</v>
      </c>
      <c r="F53" s="42"/>
      <c r="G53" s="41"/>
      <c r="H53" s="42"/>
      <c r="I53" s="42"/>
      <c r="J53" s="83"/>
      <c r="K53" s="65"/>
      <c r="L53" s="65"/>
      <c r="M53" s="42">
        <v>8600</v>
      </c>
      <c r="N53" s="43"/>
      <c r="O53" s="83">
        <f>J53-K53-M53-N53-L53</f>
        <v>-8600</v>
      </c>
      <c r="P53" s="44"/>
      <c r="Q53" s="41"/>
      <c r="R53" s="42"/>
      <c r="S53" s="42"/>
      <c r="T53" s="42">
        <f>D53-M53</f>
        <v>0</v>
      </c>
      <c r="U53" s="42"/>
      <c r="V53" s="66">
        <f>ROUND(SUM(Q53:U53),0)</f>
        <v>0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s="90" customFormat="1" ht="12" customHeight="1" x14ac:dyDescent="0.3">
      <c r="A55" s="94" t="s">
        <v>66</v>
      </c>
      <c r="B55" s="91"/>
      <c r="C55" s="95">
        <f>SUM(C51:C53)</f>
        <v>348732</v>
      </c>
      <c r="D55" s="96">
        <f>SUM(D51:D53)</f>
        <v>207261</v>
      </c>
      <c r="E55" s="97">
        <f>SUM(E51:E53)</f>
        <v>141471</v>
      </c>
      <c r="F55" s="92"/>
      <c r="G55" s="95">
        <f t="shared" ref="G55:V55" si="17">SUM(G51:G53)</f>
        <v>-20100</v>
      </c>
      <c r="H55" s="96">
        <f t="shared" si="17"/>
        <v>0</v>
      </c>
      <c r="I55" s="96">
        <f t="shared" si="17"/>
        <v>0</v>
      </c>
      <c r="J55" s="98">
        <f t="shared" si="17"/>
        <v>-20100</v>
      </c>
      <c r="K55" s="96">
        <f t="shared" si="17"/>
        <v>48653</v>
      </c>
      <c r="L55" s="96">
        <f t="shared" si="17"/>
        <v>0</v>
      </c>
      <c r="M55" s="96">
        <f t="shared" si="17"/>
        <v>160507</v>
      </c>
      <c r="N55" s="97">
        <f t="shared" si="17"/>
        <v>0</v>
      </c>
      <c r="O55" s="98">
        <f>J55-K55-M55-N55-L55</f>
        <v>-229260</v>
      </c>
      <c r="P55" s="93"/>
      <c r="Q55" s="95">
        <f t="shared" si="17"/>
        <v>-406359</v>
      </c>
      <c r="R55" s="96">
        <f t="shared" si="17"/>
        <v>-1121</v>
      </c>
      <c r="S55" s="96">
        <f t="shared" si="17"/>
        <v>0</v>
      </c>
      <c r="T55" s="96">
        <f t="shared" si="17"/>
        <v>-778</v>
      </c>
      <c r="U55" s="96">
        <f t="shared" si="17"/>
        <v>0</v>
      </c>
      <c r="V55" s="97">
        <f t="shared" si="17"/>
        <v>-408258</v>
      </c>
    </row>
    <row r="56" spans="1:22" s="38" customFormat="1" ht="3" customHeight="1" x14ac:dyDescent="0.2">
      <c r="A56" s="48"/>
      <c r="B56" s="36"/>
      <c r="C56" s="49"/>
      <c r="D56" s="50"/>
      <c r="E56" s="51"/>
      <c r="F56" s="42"/>
      <c r="G56" s="52"/>
      <c r="H56" s="53"/>
      <c r="I56" s="53"/>
      <c r="J56" s="48"/>
      <c r="K56" s="53"/>
      <c r="L56" s="53"/>
      <c r="M56" s="53"/>
      <c r="N56" s="54"/>
      <c r="O56" s="48"/>
      <c r="Q56" s="52"/>
      <c r="R56" s="53"/>
      <c r="S56" s="53"/>
      <c r="T56" s="53"/>
      <c r="U56" s="53"/>
      <c r="V56" s="54"/>
    </row>
    <row r="57" spans="1:22" ht="13.8" x14ac:dyDescent="0.3">
      <c r="A57" s="185"/>
      <c r="C57" s="186"/>
      <c r="D57" s="44"/>
      <c r="E57" s="185" t="s">
        <v>136</v>
      </c>
      <c r="F57" s="44"/>
      <c r="G57" s="191">
        <f>'GM-WklyChnge'!D51</f>
        <v>-30391</v>
      </c>
    </row>
    <row r="58" spans="1:22" ht="6" customHeight="1" x14ac:dyDescent="0.2">
      <c r="C58" s="44"/>
      <c r="D58" s="44"/>
      <c r="E58" s="44"/>
      <c r="F58" s="44"/>
    </row>
    <row r="59" spans="1:22" x14ac:dyDescent="0.2">
      <c r="A59" s="177" t="s">
        <v>149</v>
      </c>
      <c r="C59" s="44"/>
      <c r="D59" s="44"/>
      <c r="E59" s="44"/>
      <c r="F59" s="44"/>
    </row>
    <row r="60" spans="1:22" x14ac:dyDescent="0.2">
      <c r="C60" s="44"/>
      <c r="D60" s="44"/>
      <c r="E60" s="44"/>
      <c r="F60" s="44"/>
    </row>
    <row r="61" spans="1:22" x14ac:dyDescent="0.2">
      <c r="C61" s="44"/>
      <c r="D61" s="44"/>
      <c r="E61" s="44"/>
      <c r="F61" s="44"/>
    </row>
    <row r="62" spans="1:22" x14ac:dyDescent="0.2">
      <c r="C62" s="44"/>
      <c r="D62" s="44"/>
      <c r="E62" s="44"/>
      <c r="F62" s="44"/>
    </row>
    <row r="63" spans="1:22" x14ac:dyDescent="0.2">
      <c r="C63" s="44"/>
      <c r="D63" s="44"/>
      <c r="E63" s="44"/>
      <c r="F63" s="44"/>
    </row>
    <row r="64" spans="1:22" x14ac:dyDescent="0.2">
      <c r="C64" s="44"/>
      <c r="D64" s="44"/>
      <c r="E64" s="44"/>
      <c r="F64" s="44"/>
    </row>
    <row r="65" spans="1:6" x14ac:dyDescent="0.2">
      <c r="C65" s="44"/>
      <c r="D65" s="44"/>
      <c r="E65" s="44"/>
      <c r="F65" s="44"/>
    </row>
    <row r="66" spans="1:6" x14ac:dyDescent="0.2">
      <c r="C66" s="44"/>
      <c r="D66" s="44"/>
      <c r="E66" s="44"/>
      <c r="F66" s="44"/>
    </row>
    <row r="67" spans="1:6" x14ac:dyDescent="0.2">
      <c r="C67" s="44"/>
      <c r="D67" s="44"/>
      <c r="E67" s="44"/>
    </row>
    <row r="68" spans="1:6" x14ac:dyDescent="0.2">
      <c r="C68" s="44"/>
      <c r="D68" s="44"/>
      <c r="E68" s="44"/>
    </row>
    <row r="69" spans="1:6" x14ac:dyDescent="0.2">
      <c r="C69" s="44"/>
      <c r="D69" s="44"/>
      <c r="E69" s="44"/>
    </row>
    <row r="70" spans="1:6" x14ac:dyDescent="0.2">
      <c r="C70" s="44"/>
      <c r="D70" s="44"/>
      <c r="E70" s="44"/>
    </row>
    <row r="71" spans="1:6" x14ac:dyDescent="0.2">
      <c r="C71" s="44"/>
      <c r="D71" s="44"/>
      <c r="E71" s="44"/>
    </row>
    <row r="72" spans="1:6" x14ac:dyDescent="0.2">
      <c r="C72" s="44"/>
      <c r="D72" s="44"/>
      <c r="E72" s="44"/>
    </row>
    <row r="73" spans="1:6" hidden="1" x14ac:dyDescent="0.2">
      <c r="C73" s="44"/>
      <c r="D73" s="44"/>
      <c r="E73" s="44"/>
      <c r="F73" s="44"/>
    </row>
    <row r="74" spans="1:6" hidden="1" x14ac:dyDescent="0.2">
      <c r="A74" s="44"/>
    </row>
    <row r="75" spans="1:6" hidden="1" x14ac:dyDescent="0.2">
      <c r="A75" s="44"/>
    </row>
    <row r="76" spans="1:6" hidden="1" x14ac:dyDescent="0.2">
      <c r="A76" s="44"/>
    </row>
    <row r="77" spans="1:6" hidden="1" x14ac:dyDescent="0.2">
      <c r="A77" s="44"/>
    </row>
    <row r="78" spans="1:6" hidden="1" x14ac:dyDescent="0.2">
      <c r="A78" s="44"/>
    </row>
    <row r="79" spans="1:6" hidden="1" x14ac:dyDescent="0.2">
      <c r="A79" s="44"/>
    </row>
    <row r="80" spans="1:6" hidden="1" x14ac:dyDescent="0.2">
      <c r="C80" s="44"/>
      <c r="D80" s="44"/>
      <c r="E80" s="44"/>
      <c r="F80" s="44"/>
    </row>
    <row r="81" spans="3:6" hidden="1" x14ac:dyDescent="0.2">
      <c r="C81" s="44"/>
      <c r="D81" s="44"/>
      <c r="E81" s="44"/>
      <c r="F81" s="44"/>
    </row>
    <row r="82" spans="3:6" hidden="1" x14ac:dyDescent="0.2"/>
    <row r="83" spans="3:6" hidden="1" x14ac:dyDescent="0.2"/>
    <row r="84" spans="3:6" hidden="1" x14ac:dyDescent="0.2"/>
    <row r="85" spans="3:6" hidden="1" x14ac:dyDescent="0.2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ColWidth="9.109375" defaultRowHeight="10.199999999999999" x14ac:dyDescent="0.2"/>
  <cols>
    <col min="1" max="1" width="23.6640625" style="27" customWidth="1"/>
    <col min="2" max="2" width="1" style="27" customWidth="1"/>
    <col min="3" max="5" width="7.6640625" style="27" customWidth="1"/>
    <col min="6" max="6" width="0.88671875" style="27" customWidth="1"/>
    <col min="7" max="9" width="7.6640625" style="27" customWidth="1"/>
    <col min="10" max="12" width="9.33203125" style="27" customWidth="1"/>
    <col min="13" max="15" width="7.6640625" style="27" customWidth="1"/>
    <col min="16" max="16" width="0.88671875" style="27" customWidth="1"/>
    <col min="17" max="21" width="7.6640625" style="27" customWidth="1"/>
    <col min="22" max="22" width="8.6640625" style="27" customWidth="1"/>
    <col min="23" max="23" width="9.109375" style="27"/>
    <col min="24" max="24" width="16.88671875" style="25" customWidth="1"/>
    <col min="25" max="16384" width="9.109375" style="27"/>
  </cols>
  <sheetData>
    <row r="1" spans="1:35" ht="15.6" x14ac:dyDescent="0.3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3.8" x14ac:dyDescent="0.25">
      <c r="A2" s="313" t="s">
        <v>159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8" x14ac:dyDescent="0.3">
      <c r="A3" s="314" t="s">
        <v>160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"/>
    <row r="5" spans="1:35" ht="12" customHeight="1" x14ac:dyDescent="0.2">
      <c r="A5" s="28"/>
      <c r="C5" s="315" t="s">
        <v>15</v>
      </c>
      <c r="D5" s="316"/>
      <c r="E5" s="317"/>
      <c r="G5" s="315" t="s">
        <v>72</v>
      </c>
      <c r="H5" s="316"/>
      <c r="I5" s="316"/>
      <c r="J5" s="316"/>
      <c r="K5" s="316"/>
      <c r="L5" s="316"/>
      <c r="M5" s="316"/>
      <c r="N5" s="316"/>
      <c r="O5" s="317"/>
      <c r="Q5" s="315" t="s">
        <v>61</v>
      </c>
      <c r="R5" s="316"/>
      <c r="S5" s="316"/>
      <c r="T5" s="316"/>
      <c r="U5" s="316"/>
      <c r="V5" s="317"/>
      <c r="X5" s="25" t="s">
        <v>125</v>
      </c>
      <c r="Y5" s="315" t="s">
        <v>169</v>
      </c>
      <c r="Z5" s="316"/>
      <c r="AA5" s="316"/>
      <c r="AB5" s="316"/>
      <c r="AC5" s="317"/>
      <c r="AE5" s="315" t="s">
        <v>169</v>
      </c>
      <c r="AF5" s="316"/>
      <c r="AG5" s="316"/>
      <c r="AH5" s="316"/>
      <c r="AI5" s="317"/>
    </row>
    <row r="6" spans="1:35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">
      <c r="A9" s="29" t="s">
        <v>3</v>
      </c>
      <c r="B9" s="38"/>
      <c r="C9" s="59">
        <f>Y9</f>
        <v>83089.095499999996</v>
      </c>
      <c r="D9" s="60">
        <f>SUM(Z9:AC9)</f>
        <v>30792.629658261056</v>
      </c>
      <c r="E9" s="66">
        <f>C9-D9</f>
        <v>52296.465841738944</v>
      </c>
      <c r="F9" s="42"/>
      <c r="G9" s="59"/>
      <c r="H9" s="60"/>
      <c r="I9" s="60"/>
      <c r="J9" s="82">
        <f t="shared" ref="J9:J18" si="0">SUM(G9:I9)</f>
        <v>0</v>
      </c>
      <c r="K9" s="178"/>
      <c r="L9" s="178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23994.863235361056</v>
      </c>
      <c r="AE9" s="44">
        <f>_xll.HPVAL($X9,$AE$2,AE$1,$AF$2,$X$3,$X$5)/1000</f>
        <v>0</v>
      </c>
      <c r="AG9" s="44">
        <f>_xll.HPVAL($X9,$AE$2,AG$1,$AF$2,$X$3,$X$5)/1000</f>
        <v>0</v>
      </c>
      <c r="AH9" s="44">
        <f>_xll.HPVAL($X9,$AE$2,AH$1,$AF$2,$X$3,$X$5)/1000</f>
        <v>0</v>
      </c>
      <c r="AI9" s="44">
        <f>_xll.HPVAL($X9,$AE$2,AI$1,$AF$2,$X$3,$X$5)/1000</f>
        <v>-1.8626451492309571E-12</v>
      </c>
    </row>
    <row r="10" spans="1:35" ht="12" customHeight="1" x14ac:dyDescent="0.2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11005.243574121596</v>
      </c>
      <c r="AE10" s="44">
        <f>_xll.HPVAL($X10,$AE$2,AE$1,$AF$2,$X$3,$X$5)/1000-_xll.HPVAL("gencos",$AE$2,AE$1,$AF$2,$X$3,$X$5)/1000</f>
        <v>0</v>
      </c>
      <c r="AG10" s="44">
        <f>_xll.HPVAL($X10,$AE$2,AG$1,$AF$2,$X$3,$X$5)/1000-AG29</f>
        <v>0</v>
      </c>
      <c r="AH10" s="44">
        <f>_xll.HPVAL($X10,$AE$2,AH$1,$AF$2,$X$3,$X$5)/1000-AH29</f>
        <v>0</v>
      </c>
      <c r="AI10" s="44">
        <f>_xll.HPVAL($X10,$AE$2,AI$1,$AF$2,$X$3,$X$5)/1000-AI29</f>
        <v>0</v>
      </c>
    </row>
    <row r="11" spans="1:35" ht="12" customHeight="1" x14ac:dyDescent="0.2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1412.0860597200001</v>
      </c>
      <c r="AC11" s="44">
        <f>_xll.HPVAL($X11,$X$1,AC$1,$X$2,$X$3,$X$5)/1000*0.8577</f>
        <v>1825.0793716682688</v>
      </c>
      <c r="AE11" s="44">
        <f>_xll.HPVAL($X11,$AE$2,"other",$AF$2,$X$3,$X$5)/1000+_xll.HPVAL($X11,$AE$2,"overview",$AF$2,$X$3,$X$5)/1000</f>
        <v>7916.4219999999996</v>
      </c>
      <c r="AG11" s="44">
        <f>_xll.HPVAL($X11,$AE$2,AG$1,$AF$2,$X$3,$X$5)/1000</f>
        <v>0</v>
      </c>
      <c r="AH11" s="44">
        <f>_xll.HPVAL($X11,$AE$2,AH$1,$AF$2,$X$3,$X$5)/1000*0.8577</f>
        <v>0</v>
      </c>
      <c r="AI11" s="44">
        <f>_xll.HPVAL($X11,$AE$2,AI$1,$AF$2,$X$3,$X$5)/1000*0.8577</f>
        <v>0</v>
      </c>
    </row>
    <row r="12" spans="1:35" ht="12" customHeight="1" x14ac:dyDescent="0.2">
      <c r="A12" s="29" t="s">
        <v>133</v>
      </c>
      <c r="B12" s="38"/>
      <c r="C12" s="41">
        <f t="shared" si="3"/>
        <v>22893.758999999998</v>
      </c>
      <c r="D12" s="42">
        <f t="shared" si="4"/>
        <v>4931.3765488825165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2810.6785402799997</v>
      </c>
      <c r="AC12" s="44">
        <f>_xll.HPVAL($X12,$X$1,AC$1,$X$2,$X$3,$X$5)/1000-AC11</f>
        <v>2120.6980086025169</v>
      </c>
      <c r="AE12" s="44">
        <f>_xll.HPVAL($X12,$AE$2,AE$1,$AF$2,$X$3,$X$5)/1000-AE11</f>
        <v>-7916.4219999999996</v>
      </c>
      <c r="AG12" s="44">
        <f>_xll.HPVAL($X12,$AE$2,AG$1,$AF$2,$X$3,$X$5)/1000</f>
        <v>0</v>
      </c>
      <c r="AH12" s="44">
        <f>_xll.HPVAL($X12,$AE$2,AH$1,$AF$2,$X$3,$X$5)/1000-AH11</f>
        <v>0</v>
      </c>
      <c r="AI12" s="44">
        <f>_xll.HPVAL($X12,$AE$2,AI$1,$AF$2,$X$3,$X$5)/1000-AI11</f>
        <v>0</v>
      </c>
    </row>
    <row r="13" spans="1:35" ht="12" customHeight="1" x14ac:dyDescent="0.2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0</v>
      </c>
      <c r="AG13" s="44">
        <f>_xll.HPVAL($X13,$AE$2,AG$1,$AF$2,$X$3,$X$5)/1000</f>
        <v>0</v>
      </c>
      <c r="AH13" s="44">
        <f>_xll.HPVAL($X13,$AE$2,AH$1,$AF$2,$X$3,$X$5)/1000</f>
        <v>0</v>
      </c>
      <c r="AI13" s="44">
        <f>_xll.HPVAL($X13,$AE$2,AI$1,$AF$2,$X$3,$X$5)/1000</f>
        <v>0</v>
      </c>
    </row>
    <row r="14" spans="1:35" ht="12" customHeight="1" x14ac:dyDescent="0.2">
      <c r="A14" s="29" t="s">
        <v>5</v>
      </c>
      <c r="B14" s="38"/>
      <c r="C14" s="41">
        <f t="shared" si="3"/>
        <v>25494.324999999997</v>
      </c>
      <c r="D14" s="42">
        <f t="shared" si="4"/>
        <v>9521.034789750569</v>
      </c>
      <c r="E14" s="66">
        <f t="shared" si="5"/>
        <v>15973.290210249428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5308.2863899999993</v>
      </c>
      <c r="AC14" s="44">
        <f>_xll.HPVAL($X14,$X$1,AC$1,$X$2,$X$3,$X$5)/1000</f>
        <v>2842.7483997505697</v>
      </c>
      <c r="AE14" s="44">
        <f>_xll.HPVAL($X14,$AE$2,AE$1,$AF$2,$X$3,$X$5)/1000</f>
        <v>0</v>
      </c>
      <c r="AG14" s="44">
        <f>_xll.HPVAL($X14,$AE$2,AG$1,$AF$2,$X$3,$X$5)/1000</f>
        <v>0</v>
      </c>
      <c r="AH14" s="44">
        <f>_xll.HPVAL($X14,$AE$2,AH$1,$AF$2,$X$3,$X$5)/1000</f>
        <v>0</v>
      </c>
      <c r="AI14" s="44">
        <f>_xll.HPVAL($X14,$AE$2,AI$1,$AF$2,$X$3,$X$5)/1000</f>
        <v>0</v>
      </c>
    </row>
    <row r="15" spans="1:35" ht="12" customHeight="1" x14ac:dyDescent="0.2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2010.9484016666668</v>
      </c>
      <c r="AC15" s="44">
        <f>_xll.HPVAL($X15,$X$1,AC$1,$X$2,$X$3,$X$5)/1000</f>
        <v>1371.3007847977024</v>
      </c>
      <c r="AE15" s="44">
        <f>_xll.HPVAL($X15,$AE$2,AE$1,$AF$2,$X$3,$X$5)/1000</f>
        <v>0</v>
      </c>
      <c r="AG15" s="44">
        <f>_xll.HPVAL($X15,$AE$2,AG$1,$AF$2,$X$3,$X$5)/1000</f>
        <v>0</v>
      </c>
      <c r="AH15" s="44">
        <f>_xll.HPVAL($X15,$AE$2,AH$1,$AF$2,$X$3,$X$5)/1000</f>
        <v>0</v>
      </c>
      <c r="AI15" s="44">
        <f>_xll.HPVAL($X15,$AE$2,AI$1,$AF$2,$X$3,$X$5)/1000</f>
        <v>0</v>
      </c>
    </row>
    <row r="16" spans="1:35" ht="12" customHeight="1" x14ac:dyDescent="0.2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0</v>
      </c>
      <c r="AG16" s="44">
        <f>_xll.HPVAL($X16,$AE$2,AG$1,$AF$2,$X$3,$X$5)/1000</f>
        <v>0</v>
      </c>
      <c r="AH16" s="44">
        <f>_xll.HPVAL($X16,$AE$2,AH$1,$AF$2,$X$3,$X$5)/1000</f>
        <v>0</v>
      </c>
      <c r="AI16" s="44">
        <f>_xll.HPVAL($X16,$AE$2,AI$1,$AF$2,$X$3,$X$5)/1000</f>
        <v>0</v>
      </c>
    </row>
    <row r="17" spans="1:35" ht="12" customHeight="1" x14ac:dyDescent="0.2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0</v>
      </c>
      <c r="AI17" s="44">
        <f>_xll.HPVAL($X17,$AE$2,AI$1,$AF$2,$X$3,$X$5)/1000</f>
        <v>0</v>
      </c>
    </row>
    <row r="18" spans="1:35" ht="12" customHeight="1" x14ac:dyDescent="0.2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0</v>
      </c>
      <c r="AG18" s="44">
        <f>_xll.HPVAL($X18,$AE$2,AG$1,$AF$2,$X$3,$X$5)/1000</f>
        <v>0</v>
      </c>
      <c r="AH18" s="44">
        <f>_xll.HPVAL($X18,$AE$2,AH$1,$AF$2,$X$3,$X$5)/1000</f>
        <v>0</v>
      </c>
      <c r="AI18" s="44">
        <f>_xll.HPVAL($X18,$AE$2,AI$1,$AF$2,$X$3,$X$5)/1000</f>
        <v>0</v>
      </c>
    </row>
    <row r="19" spans="1:35" ht="12" customHeight="1" x14ac:dyDescent="0.2">
      <c r="A19" s="75" t="s">
        <v>130</v>
      </c>
      <c r="B19" s="38"/>
      <c r="C19" s="140">
        <f>SUM(C9:C18)</f>
        <v>311896.64399999997</v>
      </c>
      <c r="D19" s="141">
        <f>SUM(D9:D18)</f>
        <v>85528.48764532675</v>
      </c>
      <c r="E19" s="143">
        <f>SUM(E9:E18)</f>
        <v>226368.15635467324</v>
      </c>
      <c r="F19" s="42"/>
      <c r="G19" s="140">
        <f t="shared" ref="G19:N19" si="6">SUM(G9:G18)</f>
        <v>0</v>
      </c>
      <c r="H19" s="141">
        <f t="shared" si="6"/>
        <v>0</v>
      </c>
      <c r="I19" s="143">
        <f t="shared" si="6"/>
        <v>0</v>
      </c>
      <c r="J19" s="144">
        <f t="shared" si="6"/>
        <v>0</v>
      </c>
      <c r="K19" s="140"/>
      <c r="L19" s="141"/>
      <c r="M19" s="141">
        <f t="shared" si="6"/>
        <v>0</v>
      </c>
      <c r="N19" s="143">
        <f t="shared" si="6"/>
        <v>0</v>
      </c>
      <c r="O19" s="144">
        <f t="shared" si="1"/>
        <v>0</v>
      </c>
      <c r="P19" s="44"/>
      <c r="Q19" s="140">
        <f>SUM(Q9:Q18)</f>
        <v>0</v>
      </c>
      <c r="R19" s="141"/>
      <c r="S19" s="141"/>
      <c r="T19" s="141">
        <f>SUM(T9:T18)</f>
        <v>0</v>
      </c>
      <c r="U19" s="141">
        <f>SUM(U9:U18)</f>
        <v>0</v>
      </c>
      <c r="V19" s="143">
        <f>SUM(V9:V18)</f>
        <v>0</v>
      </c>
    </row>
    <row r="20" spans="1:35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12938.563310557969</v>
      </c>
      <c r="E21" s="66">
        <f t="shared" ref="E21:E26" si="9">C21-D21</f>
        <v>21797.704189442033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6748.8489999999983</v>
      </c>
      <c r="AC21" s="44">
        <f>_xll.HPVAL($X21,$X$1,AC$1,$X$2,$X$3,$X$5)/1000</f>
        <v>6189.7143105579707</v>
      </c>
      <c r="AE21" s="44">
        <f>_xll.HPVAL($X21,$AE$2,AE$1,$AF$2,$X$3,$X$5)/1000</f>
        <v>0</v>
      </c>
      <c r="AF21" s="44"/>
      <c r="AG21" s="44">
        <f>_xll.HPVAL($X21,$AE$2,AG$1,$AF$2,$X$3,$X$5)/1000</f>
        <v>0</v>
      </c>
      <c r="AH21" s="44">
        <f>_xll.HPVAL($X21,$AE$2,AH$1,$AF$2,$X$3,$X$5)/1000</f>
        <v>0</v>
      </c>
      <c r="AI21" s="44">
        <f>_xll.HPVAL($X21,$AE$2,AI$1,$AF$2,$X$3,$X$5)/1000</f>
        <v>0</v>
      </c>
    </row>
    <row r="22" spans="1:35" ht="12" customHeight="1" x14ac:dyDescent="0.2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0</v>
      </c>
      <c r="AF22" s="44"/>
      <c r="AG22" s="44">
        <f>_xll.HPVAL($X22,$AE$2,AG$1,$AF$2,$X$3,$X$5)/1000</f>
        <v>0</v>
      </c>
      <c r="AH22" s="44">
        <f>_xll.HPVAL($X22,$AE$2,AH$1,$AF$2,$X$3,$X$5)/1000</f>
        <v>0</v>
      </c>
      <c r="AI22" s="44">
        <f>_xll.HPVAL($X22,$AE$2,AI$1,$AF$2,$X$3,$X$5)/1000</f>
        <v>0</v>
      </c>
    </row>
    <row r="23" spans="1:35" ht="12" customHeight="1" x14ac:dyDescent="0.2">
      <c r="A23" s="29" t="s">
        <v>90</v>
      </c>
      <c r="B23" s="38"/>
      <c r="C23" s="41">
        <f t="shared" si="7"/>
        <v>28327.783500000005</v>
      </c>
      <c r="D23" s="42">
        <f t="shared" si="8"/>
        <v>11170.84897075839</v>
      </c>
      <c r="E23" s="66">
        <f t="shared" si="9"/>
        <v>17156.934529241615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6155.7984449999994</v>
      </c>
      <c r="AC23" s="44">
        <f>_xll.HPVAL($X23,$X$1,AC$1,$X$2,$X$3,$X$5)/1000</f>
        <v>3169.0505257583918</v>
      </c>
      <c r="AE23" s="44">
        <f>_xll.HPVAL($X23,$AE$2,AE$1,$AF$2,$X$3,$X$5)/1000</f>
        <v>0</v>
      </c>
      <c r="AF23" s="44"/>
      <c r="AG23" s="44">
        <f>_xll.HPVAL($X23,$AE$2,AG$1,$AF$2,$X$3,$X$5)/1000</f>
        <v>0</v>
      </c>
      <c r="AH23" s="44">
        <f>_xll.HPVAL($X23,$AE$2,AH$1,$AF$2,$X$3,$X$5)/1000</f>
        <v>0</v>
      </c>
      <c r="AI23" s="44">
        <f>_xll.HPVAL($X23,$AE$2,AI$1,$AF$2,$X$3,$X$5)/1000</f>
        <v>0</v>
      </c>
    </row>
    <row r="24" spans="1:35" ht="12" customHeight="1" x14ac:dyDescent="0.2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</v>
      </c>
      <c r="AF24" s="44"/>
      <c r="AG24" s="44">
        <f>_xll.HPVAL($X24,$AE$2,AG$1,$AF$2,$X$3,$X$5)/1000</f>
        <v>0</v>
      </c>
      <c r="AH24" s="44">
        <f>_xll.HPVAL($X24,$AE$2,AH$1,$AF$2,$X$3,$X$5)/1000</f>
        <v>0</v>
      </c>
      <c r="AI24" s="44">
        <f>_xll.HPVAL($X24,$AE$2,AI$1,$AF$2,$X$3,$X$5)/1000</f>
        <v>0</v>
      </c>
    </row>
    <row r="25" spans="1:35" ht="12" customHeight="1" x14ac:dyDescent="0.2">
      <c r="A25" s="29" t="s">
        <v>104</v>
      </c>
      <c r="B25" s="38"/>
      <c r="C25" s="41">
        <f t="shared" si="7"/>
        <v>12953.45025</v>
      </c>
      <c r="D25" s="42">
        <f t="shared" si="8"/>
        <v>5418.1192734224833</v>
      </c>
      <c r="E25" s="66">
        <f t="shared" si="9"/>
        <v>7535.3309765775166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12953.45025</v>
      </c>
      <c r="Z25" s="44"/>
      <c r="AA25" s="44">
        <f>_xll.HPVAL($X25,$X$1,AA$1,$X$2,$X$3,$X$5)/1000</f>
        <v>0</v>
      </c>
      <c r="AB25" s="44">
        <f>_xll.HPVAL($X25,$X$1,AB$1,$X$2,$X$3,$X$5)/1000</f>
        <v>3836.7370406249993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0</v>
      </c>
      <c r="AI25" s="44">
        <f>_xll.HPVAL($X25,$AE$2,AI$1,$AF$2,$X$3,$X$5)/1000</f>
        <v>0</v>
      </c>
    </row>
    <row r="26" spans="1:35" ht="12" customHeight="1" x14ac:dyDescent="0.2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0</v>
      </c>
      <c r="AF26" s="44"/>
      <c r="AG26" s="44">
        <f>_xll.HPVAL($X26,$AE$2,AG$1,$AF$2,$X$3,$X$5)/1000</f>
        <v>0</v>
      </c>
      <c r="AH26" s="44">
        <f>_xll.HPVAL($X26,$AE$2,AH$1,$AF$2,$X$3,$X$5)/1000</f>
        <v>0</v>
      </c>
      <c r="AI26" s="44">
        <f>_xll.HPVAL($X26,$AE$2,AI$1,$AF$2,$X$3,$X$5)/1000</f>
        <v>0</v>
      </c>
    </row>
    <row r="27" spans="1:35" ht="12" customHeight="1" x14ac:dyDescent="0.2">
      <c r="A27" s="75" t="s">
        <v>1</v>
      </c>
      <c r="B27" s="38"/>
      <c r="C27" s="140">
        <f>SUM(C21:C26)</f>
        <v>123192.93725</v>
      </c>
      <c r="D27" s="141">
        <f>SUM(D21:D26)</f>
        <v>56777.50126032823</v>
      </c>
      <c r="E27" s="143">
        <f>SUM(E21:E26)</f>
        <v>66415.43598967178</v>
      </c>
      <c r="F27" s="42"/>
      <c r="G27" s="140">
        <f>SUM(G21:G26)</f>
        <v>0</v>
      </c>
      <c r="H27" s="141">
        <f>SUM(H21:H26)</f>
        <v>0</v>
      </c>
      <c r="I27" s="141">
        <f>SUM(I21:I26)</f>
        <v>0</v>
      </c>
      <c r="J27" s="144">
        <f>SUM(J21:J26)</f>
        <v>0</v>
      </c>
      <c r="K27" s="141"/>
      <c r="L27" s="141"/>
      <c r="M27" s="141">
        <f>SUM(M21:M26)</f>
        <v>0</v>
      </c>
      <c r="N27" s="143">
        <f>SUM(N21:N26)</f>
        <v>0</v>
      </c>
      <c r="O27" s="144">
        <f t="shared" si="11"/>
        <v>0</v>
      </c>
      <c r="P27" s="44"/>
      <c r="Q27" s="140">
        <f>SUM(Q21:Q26)</f>
        <v>0</v>
      </c>
      <c r="R27" s="141"/>
      <c r="S27" s="141"/>
      <c r="T27" s="141">
        <f>SUM(T21:T26)</f>
        <v>0</v>
      </c>
      <c r="U27" s="141">
        <f>SUM(U21:U26)</f>
        <v>0</v>
      </c>
      <c r="V27" s="143">
        <f>SUM(V21:V26)</f>
        <v>0</v>
      </c>
    </row>
    <row r="28" spans="1:35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6640</v>
      </c>
      <c r="AF29" s="44">
        <v>6640</v>
      </c>
      <c r="AG29" s="44">
        <f>_xll.HPVAL($X29,$AE$2,AG$1,$AF$2,$X$3,$X$5)/1000</f>
        <v>0</v>
      </c>
      <c r="AH29" s="44">
        <f>_xll.HPVAL($X29,$AE$2,AH$1,$AF$2,$X$3,$X$5)/1000</f>
        <v>0</v>
      </c>
      <c r="AI29" s="44">
        <f>_xll.HPVAL($X29,$AE$2,AI$1,$AF$2,$X$3,$X$5)/1000</f>
        <v>0</v>
      </c>
    </row>
    <row r="30" spans="1:35" ht="12" customHeight="1" x14ac:dyDescent="0.2">
      <c r="A30" s="29" t="s">
        <v>67</v>
      </c>
      <c r="B30" s="38"/>
      <c r="C30" s="41">
        <f>Y30</f>
        <v>24468.034</v>
      </c>
      <c r="D30" s="42">
        <f>SUM(Z30:AC30)</f>
        <v>15864.89603571991</v>
      </c>
      <c r="E30" s="66">
        <f>C30-D30</f>
        <v>8603.1379642800894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24468.034</v>
      </c>
      <c r="Z30" s="44"/>
      <c r="AA30" s="44">
        <f>_xll.HPVAL($X30,$X$1,AA$1,$X$2,$X$3,$X$5)/1000</f>
        <v>12457</v>
      </c>
      <c r="AB30" s="44">
        <f>_xll.HPVAL($X30,$X$1,AB$1,$X$2,$X$3,$X$5)/1000</f>
        <v>2084.850412715617</v>
      </c>
      <c r="AC30" s="44">
        <f>_xll.HPVAL($X30,$X$1,AC$1,$X$2,$X$3,$X$5)/1000</f>
        <v>1323.0456230042928</v>
      </c>
      <c r="AE30" s="44">
        <f>_xll.HPVAL($X30,$AE$2,AE$1,$AF$2,$X$3,$X$5)/1000</f>
        <v>0</v>
      </c>
      <c r="AF30" s="44"/>
      <c r="AG30" s="44">
        <f>_xll.HPVAL($X30,$AE$2,AG$1,$AF$2,$X$3,$X$5)/1000</f>
        <v>0</v>
      </c>
      <c r="AH30" s="44">
        <f>_xll.HPVAL($X30,$AE$2,AH$1,$AF$2,$X$3,$X$5)/1000</f>
        <v>0</v>
      </c>
      <c r="AI30" s="44">
        <f>_xll.HPVAL($X30,$AE$2,AI$1,$AF$2,$X$3,$X$5)/1000</f>
        <v>0</v>
      </c>
    </row>
    <row r="31" spans="1:35" ht="12" customHeight="1" x14ac:dyDescent="0.2">
      <c r="A31" s="29" t="s">
        <v>92</v>
      </c>
      <c r="B31" s="38"/>
      <c r="C31" s="41">
        <f>Y31</f>
        <v>55111.813500000004</v>
      </c>
      <c r="D31" s="42">
        <f>SUM(Z31:AC31)</f>
        <v>114505.2269694313</v>
      </c>
      <c r="E31" s="66">
        <f>C31-D31</f>
        <v>-59393.413469431296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55111.813500000004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8640.4286801200014</v>
      </c>
      <c r="AC31" s="44">
        <f>_xll.HPVAL($X31,$X$1,AC$1,$X$2,$X$3,$X$5)/1000</f>
        <v>14164.7982893113</v>
      </c>
      <c r="AE31" s="44">
        <f>_xll.HPVAL($X31,$AE$2,AE$1,$AF$2,$X$3,$X$5)/1000+AF31</f>
        <v>42177</v>
      </c>
      <c r="AF31" s="44">
        <v>42177</v>
      </c>
      <c r="AG31" s="44">
        <f>_xll.HPVAL($X31,$AE$2,AG$1,$AF$2,$X$3,$X$5)/1000</f>
        <v>4652</v>
      </c>
      <c r="AH31" s="44">
        <f>_xll.HPVAL($X31,$AE$2,AH$1,$AF$2,$X$3,$X$5)/1000</f>
        <v>0</v>
      </c>
      <c r="AI31" s="44">
        <f>_xll.HPVAL($X31,$AE$2,AI$1,$AF$2,$X$3,$X$5)/1000</f>
        <v>0</v>
      </c>
    </row>
    <row r="32" spans="1:35" ht="12" customHeight="1" x14ac:dyDescent="0.2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0</v>
      </c>
      <c r="AF32" s="44"/>
      <c r="AG32" s="44">
        <f>_xll.HPVAL($X32,$AE$2,AG$1,$AF$2,$X$3,$X$5)/1000</f>
        <v>0</v>
      </c>
      <c r="AH32" s="44">
        <f>_xll.HPVAL($X32,$AE$2,AH$1,$AF$2,$X$3,$X$5)/1000</f>
        <v>0</v>
      </c>
      <c r="AI32" s="44">
        <f>_xll.HPVAL($X32,$AE$2,AI$1,$AF$2,$X$3,$X$5)/1000</f>
        <v>0</v>
      </c>
    </row>
    <row r="33" spans="1:35" ht="12" customHeight="1" x14ac:dyDescent="0.2">
      <c r="A33" s="75" t="s">
        <v>86</v>
      </c>
      <c r="B33" s="38"/>
      <c r="C33" s="140">
        <f>SUM(C29:C32)</f>
        <v>125736.58350000001</v>
      </c>
      <c r="D33" s="141">
        <f>SUM(D29:D32)</f>
        <v>169344.49019947558</v>
      </c>
      <c r="E33" s="143">
        <f>SUM(E29:E32)</f>
        <v>-43607.90669947557</v>
      </c>
      <c r="F33" s="42"/>
      <c r="G33" s="140">
        <f t="shared" ref="G33:N33" si="13">SUM(G29:G32)</f>
        <v>0</v>
      </c>
      <c r="H33" s="141">
        <f t="shared" si="13"/>
        <v>0</v>
      </c>
      <c r="I33" s="141">
        <f t="shared" si="13"/>
        <v>0</v>
      </c>
      <c r="J33" s="144">
        <f t="shared" si="13"/>
        <v>0</v>
      </c>
      <c r="K33" s="141"/>
      <c r="L33" s="141"/>
      <c r="M33" s="141">
        <f t="shared" si="13"/>
        <v>0</v>
      </c>
      <c r="N33" s="143">
        <f t="shared" si="13"/>
        <v>0</v>
      </c>
      <c r="O33" s="144">
        <f>J33-M33-N33</f>
        <v>0</v>
      </c>
      <c r="P33" s="44"/>
      <c r="Q33" s="140">
        <f>SUM(Q29:Q32)</f>
        <v>0</v>
      </c>
      <c r="R33" s="141"/>
      <c r="S33" s="141"/>
      <c r="T33" s="141">
        <f>SUM(T29:T32)</f>
        <v>0</v>
      </c>
      <c r="U33" s="141">
        <f>SUM(U29:U32)</f>
        <v>0</v>
      </c>
      <c r="V33" s="143">
        <f>SUM(V29:V32)</f>
        <v>0</v>
      </c>
    </row>
    <row r="34" spans="1:35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0</v>
      </c>
      <c r="AF35" s="44"/>
      <c r="AG35" s="44">
        <f>_xll.HPVAL($X35,$AE$2,AG$1,$AF$2,$X$3,$X$5)/1000</f>
        <v>0</v>
      </c>
      <c r="AH35" s="44">
        <f>_xll.HPVAL($X35,$AE$2,AH$1,$AF$2,$X$3,$X$5)/1000</f>
        <v>0</v>
      </c>
      <c r="AI35" s="44">
        <f>_xll.HPVAL($X35,$AE$2,AI$1,$AF$2,$X$3,$X$5)/1000</f>
        <v>0</v>
      </c>
    </row>
    <row r="36" spans="1:35" ht="12" customHeight="1" x14ac:dyDescent="0.2">
      <c r="A36" s="29" t="s">
        <v>151</v>
      </c>
      <c r="B36" s="38"/>
      <c r="C36" s="41">
        <f>Y36</f>
        <v>26459.07</v>
      </c>
      <c r="D36" s="42">
        <f>SUM(Z36:AC36)</f>
        <v>14465.713072674323</v>
      </c>
      <c r="E36" s="66">
        <f>C36-D36</f>
        <v>11993.356927325676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26459.07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3562.3570726743237</v>
      </c>
      <c r="AE36" s="44">
        <f>_xll.HPVAL($X36,$AE$2,AE$1,$AF$2,$X$3,$X$5)/1000</f>
        <v>0</v>
      </c>
      <c r="AF36" s="44"/>
      <c r="AG36" s="44">
        <f>_xll.HPVAL($X36,$AE$2,AG$1,$AF$2,$X$3,$X$5)/1000</f>
        <v>0</v>
      </c>
      <c r="AH36" s="44">
        <f>_xll.HPVAL($X36,$AE$2,AH$1,$AF$2,$X$3,$X$5)/1000</f>
        <v>0</v>
      </c>
      <c r="AI36" s="44">
        <f>_xll.HPVAL($X36,$AE$2,AI$1,$AF$2,$X$3,$X$5)/1000</f>
        <v>0</v>
      </c>
    </row>
    <row r="37" spans="1:35" ht="12" customHeight="1" x14ac:dyDescent="0.2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0</v>
      </c>
      <c r="AF37" s="44"/>
      <c r="AG37" s="44">
        <f>_xll.HPVAL($X37,$AE$2,AG$1,$AF$2,$X$3,$X$5)/1000</f>
        <v>0</v>
      </c>
      <c r="AH37" s="44">
        <f>_xll.HPVAL($X37,$AE$2,AH$1,$AF$2,$X$3,$X$5)/1000</f>
        <v>0</v>
      </c>
      <c r="AI37" s="44">
        <f>_xll.HPVAL($X37,$AE$2,AI$1,$AF$2,$X$3,$X$5)/1000</f>
        <v>0</v>
      </c>
    </row>
    <row r="38" spans="1:35" ht="12" customHeight="1" x14ac:dyDescent="0.2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0</v>
      </c>
      <c r="AF38" s="44"/>
      <c r="AG38" s="44">
        <f>_xll.HPVAL($X38,$AE$2,AG$1,$AF$2,$X$3,$X$5)/1000</f>
        <v>0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">
      <c r="A39" s="75" t="s">
        <v>87</v>
      </c>
      <c r="B39" s="38"/>
      <c r="C39" s="140">
        <f>SUM(C35:C38)</f>
        <v>86330.911999999997</v>
      </c>
      <c r="D39" s="141">
        <f>SUM(D35:D38)</f>
        <v>42130.625062224659</v>
      </c>
      <c r="E39" s="143">
        <f>SUM(E35:E38)</f>
        <v>44200.286937775345</v>
      </c>
      <c r="F39" s="42"/>
      <c r="G39" s="140">
        <f>SUM(G35:G38)</f>
        <v>0</v>
      </c>
      <c r="H39" s="141">
        <f>SUM(H35:H38)</f>
        <v>0</v>
      </c>
      <c r="I39" s="141">
        <f>SUM(I35:I38)</f>
        <v>0</v>
      </c>
      <c r="J39" s="144">
        <f>SUM(J35:J38)</f>
        <v>0</v>
      </c>
      <c r="K39" s="141"/>
      <c r="L39" s="141"/>
      <c r="M39" s="141">
        <f>SUM(M35:M38)</f>
        <v>0</v>
      </c>
      <c r="N39" s="143">
        <f>SUM(N35:N38)</f>
        <v>0</v>
      </c>
      <c r="O39" s="144">
        <f>J39-M39-N39</f>
        <v>0</v>
      </c>
      <c r="P39" s="44"/>
      <c r="Q39" s="140">
        <f>SUM(Q35:Q38)</f>
        <v>0</v>
      </c>
      <c r="R39" s="141"/>
      <c r="S39" s="141"/>
      <c r="T39" s="141">
        <f>SUM(T35:T38)</f>
        <v>0</v>
      </c>
      <c r="U39" s="141">
        <f>SUM(U35:U38)</f>
        <v>0</v>
      </c>
      <c r="V39" s="143">
        <f>SUM(V35:V38)</f>
        <v>0</v>
      </c>
    </row>
    <row r="40" spans="1:35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">
      <c r="A41" s="29" t="s">
        <v>8</v>
      </c>
      <c r="B41" s="38"/>
      <c r="C41" s="41">
        <f>Y41</f>
        <v>5000</v>
      </c>
      <c r="D41" s="42">
        <f>SUM(Z41:AC41)</f>
        <v>16905.541686319881</v>
      </c>
      <c r="E41" s="66">
        <f>C41-D41</f>
        <v>-11905.541686319881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11971.822333333332</v>
      </c>
      <c r="AC41" s="44">
        <f>_xll.HPVAL($X41,$X$1,AC$1,$X$2,$X$3,$X$5)/1000</f>
        <v>4933.7193529865481</v>
      </c>
      <c r="AE41" s="44">
        <f>_xll.HPVAL($X41,$AE$2,AE$1,$AF$2,$X$3,$X$5)/1000</f>
        <v>0</v>
      </c>
      <c r="AF41" s="44"/>
      <c r="AG41" s="44">
        <f>_xll.HPVAL($X41,$AE$2,AG$1,$AF$2,$X$3,$X$5)/1000</f>
        <v>0</v>
      </c>
      <c r="AH41" s="44">
        <f>_xll.HPVAL($X41,$AE$2,AH$1,$AF$2,$X$3,$X$5)/1000</f>
        <v>0</v>
      </c>
      <c r="AI41" s="44">
        <f>_xll.HPVAL($X41,$AE$2,AI$1,$AF$2,$X$3,$X$5)/1000</f>
        <v>0</v>
      </c>
    </row>
    <row r="42" spans="1:35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">
      <c r="A43" s="29" t="s">
        <v>7</v>
      </c>
      <c r="B43" s="38"/>
      <c r="C43" s="41"/>
      <c r="D43" s="42">
        <f>SUM(Z43:AC43)</f>
        <v>14579.593494450824</v>
      </c>
      <c r="E43" s="66">
        <f>C43-D43</f>
        <v>-14579.593494450824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9051.7485501571882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0</v>
      </c>
      <c r="AI43" s="44">
        <f>_xll.HPVAL($X43,$AE$2,AI$1,$AF$2,$X$3,$X$5)/1000</f>
        <v>0</v>
      </c>
    </row>
    <row r="44" spans="1:35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">
      <c r="A45" s="75" t="s">
        <v>10</v>
      </c>
      <c r="B45" s="70"/>
      <c r="C45" s="140">
        <f>SUM(C39:C43)+C19+C27+C33</f>
        <v>652157.07675000001</v>
      </c>
      <c r="D45" s="141">
        <f>SUM(D39:D43)+D19+D27+D33</f>
        <v>385266.23934812588</v>
      </c>
      <c r="E45" s="143">
        <f>SUM(E39:E43)+E19+E27+E33</f>
        <v>266890.83740187413</v>
      </c>
      <c r="F45" s="67"/>
      <c r="G45" s="140">
        <f>SUM(G39:G43)+G19+G27+G33</f>
        <v>0</v>
      </c>
      <c r="H45" s="141">
        <f>SUM(H39:H43)+H19+H27+H33</f>
        <v>0</v>
      </c>
      <c r="I45" s="141">
        <f>SUM(I39:I43)+I19+I27+I33</f>
        <v>0</v>
      </c>
      <c r="J45" s="144">
        <f>SUM(J39:J43)+J19+J27+J33</f>
        <v>0</v>
      </c>
      <c r="K45" s="141"/>
      <c r="L45" s="141"/>
      <c r="M45" s="141">
        <f>SUM(M39:M43)+M19+M27+M33</f>
        <v>0</v>
      </c>
      <c r="N45" s="143">
        <f>SUM(N39:N43)+N19+N27+N33</f>
        <v>0</v>
      </c>
      <c r="O45" s="144">
        <f>J45-M45-N45</f>
        <v>0</v>
      </c>
      <c r="P45" s="71"/>
      <c r="Q45" s="140">
        <f>SUM(Q39:Q43)+Q19+Q27+Q33</f>
        <v>0</v>
      </c>
      <c r="R45" s="141"/>
      <c r="S45" s="141"/>
      <c r="T45" s="141">
        <f>SUM(T39:T43)+T19+T27+T33</f>
        <v>0</v>
      </c>
      <c r="U45" s="141">
        <f>SUM(U39:U43)+U19+U27+U33</f>
        <v>0</v>
      </c>
      <c r="V45" s="143">
        <f>SUM(V39:V43)+V19+V27+V33</f>
        <v>0</v>
      </c>
      <c r="X45" s="68"/>
    </row>
    <row r="46" spans="1:35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">
      <c r="A47" s="29" t="s">
        <v>48</v>
      </c>
      <c r="B47" s="38"/>
      <c r="C47" s="41"/>
      <c r="D47" s="42">
        <f>SUM(Z47:AC47)</f>
        <v>24275.635591027298</v>
      </c>
      <c r="E47" s="66">
        <f>C47-D47</f>
        <v>-24275.635591027298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135225.15990738184</v>
      </c>
      <c r="AC47" s="44">
        <f>_xll.HPVAL($X47,$X$1,AC$1,$X$2,$X$3,$X$5)/1000</f>
        <v>-110949.52431635454</v>
      </c>
      <c r="AE47" s="44"/>
      <c r="AF47" s="44"/>
      <c r="AG47" s="44"/>
      <c r="AH47" s="44">
        <f>_xll.HPVAL($X47,$AE$2,AH$1,$AF$2,$X$3,$X$5)/1000</f>
        <v>0</v>
      </c>
      <c r="AI47" s="44">
        <f>_xll.HPVAL($X47,$AE$2,AI$1,$AF$2,$X$3,$X$5)/1000</f>
        <v>0</v>
      </c>
    </row>
    <row r="48" spans="1:35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0</v>
      </c>
      <c r="AF49" s="44"/>
      <c r="AG49" s="44"/>
      <c r="AH49" s="44">
        <f>_xll.HPVAL($X49,$AE$2,AH$1,$AF$2,$X$3,$X$5)/1000</f>
        <v>0</v>
      </c>
      <c r="AI49" s="44"/>
    </row>
    <row r="50" spans="1:35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0</v>
      </c>
      <c r="AH51" s="44"/>
      <c r="AI51" s="44"/>
    </row>
    <row r="52" spans="1:35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">
      <c r="A53" s="29" t="s">
        <v>19</v>
      </c>
      <c r="B53" s="38"/>
      <c r="C53" s="41">
        <f>Y53</f>
        <v>76450.648000000001</v>
      </c>
      <c r="D53" s="42"/>
      <c r="E53" s="66">
        <f>C53-D53</f>
        <v>76450.648000000001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76450.648000000001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">
      <c r="A55" s="75" t="s">
        <v>65</v>
      </c>
      <c r="B55" s="38"/>
      <c r="C55" s="140">
        <f>SUM(C45:C53)</f>
        <v>707017.61875000002</v>
      </c>
      <c r="D55" s="141">
        <f>SUM(D45:D53)</f>
        <v>376016.66273679648</v>
      </c>
      <c r="E55" s="143">
        <f>SUM(E45:E53)</f>
        <v>331000.95601320354</v>
      </c>
      <c r="F55" s="42"/>
      <c r="G55" s="140">
        <f t="shared" ref="G55:N55" si="14">SUM(G45:G53)</f>
        <v>0</v>
      </c>
      <c r="H55" s="141">
        <f t="shared" si="14"/>
        <v>0</v>
      </c>
      <c r="I55" s="141">
        <f t="shared" si="14"/>
        <v>0</v>
      </c>
      <c r="J55" s="144">
        <f t="shared" si="14"/>
        <v>0</v>
      </c>
      <c r="K55" s="141"/>
      <c r="L55" s="141"/>
      <c r="M55" s="141">
        <f t="shared" si="14"/>
        <v>0</v>
      </c>
      <c r="N55" s="143">
        <f t="shared" si="14"/>
        <v>0</v>
      </c>
      <c r="O55" s="144">
        <f>J55-M55-N55</f>
        <v>0</v>
      </c>
      <c r="P55" s="44"/>
      <c r="Q55" s="140">
        <f>SUM(Q45:Q53)</f>
        <v>0</v>
      </c>
      <c r="R55" s="141"/>
      <c r="S55" s="141"/>
      <c r="T55" s="141">
        <f>SUM(T45:T53)</f>
        <v>0</v>
      </c>
      <c r="U55" s="141">
        <f>SUM(U45:U53)</f>
        <v>0</v>
      </c>
      <c r="V55" s="143">
        <f>SUM(V45:V53)</f>
        <v>0</v>
      </c>
    </row>
    <row r="56" spans="1:35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3">
      <c r="A59" s="75" t="s">
        <v>66</v>
      </c>
      <c r="B59" s="38"/>
      <c r="C59" s="95">
        <f>SUM(C55:C57)</f>
        <v>707017.61875000002</v>
      </c>
      <c r="D59" s="96">
        <f>SUM(D55:D57)</f>
        <v>396616.66273679648</v>
      </c>
      <c r="E59" s="97">
        <f>SUM(E55:E57)</f>
        <v>310400.95601320354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3">
      <c r="A61" s="55"/>
      <c r="C61" s="44"/>
      <c r="D61" s="44"/>
      <c r="E61" s="44"/>
      <c r="F61" s="44"/>
    </row>
    <row r="62" spans="1:35" x14ac:dyDescent="0.2">
      <c r="A62" s="177" t="s">
        <v>149</v>
      </c>
      <c r="C62" s="44"/>
      <c r="D62" s="44"/>
      <c r="E62" s="44"/>
      <c r="F62" s="44"/>
    </row>
    <row r="63" spans="1:35" x14ac:dyDescent="0.2">
      <c r="C63" s="44"/>
      <c r="D63" s="44"/>
      <c r="E63" s="44"/>
      <c r="F63" s="44"/>
    </row>
    <row r="64" spans="1:35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0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" style="27" customWidth="1"/>
    <col min="4" max="4" width="7.6640625" style="27" customWidth="1"/>
    <col min="5" max="5" width="8.5546875" style="27" customWidth="1"/>
    <col min="6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64</v>
      </c>
      <c r="E1" s="25" t="s">
        <v>102</v>
      </c>
      <c r="F1" s="142">
        <v>36586</v>
      </c>
      <c r="H1" s="25" t="s">
        <v>102</v>
      </c>
      <c r="I1" s="25" t="s">
        <v>102</v>
      </c>
      <c r="J1" s="142">
        <v>36678</v>
      </c>
      <c r="L1" s="25" t="s">
        <v>102</v>
      </c>
      <c r="M1" s="25" t="s">
        <v>102</v>
      </c>
      <c r="N1" s="142">
        <v>36770</v>
      </c>
      <c r="P1" s="25" t="s">
        <v>102</v>
      </c>
      <c r="Q1" s="25" t="s">
        <v>102</v>
      </c>
      <c r="R1" s="142">
        <v>36861</v>
      </c>
      <c r="V1" s="142"/>
    </row>
    <row r="2" spans="1:22" ht="15.6" x14ac:dyDescent="0.3">
      <c r="A2" s="25" t="s">
        <v>80</v>
      </c>
      <c r="B2" s="312" t="s">
        <v>17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</row>
    <row r="3" spans="1:22" ht="13.8" x14ac:dyDescent="0.25">
      <c r="A3" s="26" t="s">
        <v>81</v>
      </c>
      <c r="B3" s="313" t="s">
        <v>159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</row>
    <row r="4" spans="1:22" ht="13.8" x14ac:dyDescent="0.3">
      <c r="A4" s="25" t="s">
        <v>125</v>
      </c>
      <c r="B4" s="314" t="s">
        <v>160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</row>
    <row r="5" spans="1:22" ht="3" customHeight="1" x14ac:dyDescent="0.2"/>
    <row r="6" spans="1:22" ht="12" customHeight="1" x14ac:dyDescent="0.2">
      <c r="B6" s="28"/>
      <c r="D6" s="315" t="s">
        <v>79</v>
      </c>
      <c r="E6" s="316"/>
      <c r="F6" s="317"/>
      <c r="H6" s="315" t="s">
        <v>83</v>
      </c>
      <c r="I6" s="316"/>
      <c r="J6" s="317"/>
      <c r="L6" s="315" t="s">
        <v>84</v>
      </c>
      <c r="M6" s="316"/>
      <c r="N6" s="317"/>
      <c r="P6" s="315" t="s">
        <v>85</v>
      </c>
      <c r="Q6" s="316"/>
      <c r="R6" s="317"/>
      <c r="T6" s="315" t="s">
        <v>14</v>
      </c>
      <c r="U6" s="316"/>
      <c r="V6" s="317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26</v>
      </c>
      <c r="B10" s="29" t="s">
        <v>3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">
      <c r="A11" s="25" t="s">
        <v>110</v>
      </c>
      <c r="B11" s="29" t="s">
        <v>106</v>
      </c>
      <c r="C11" s="38"/>
      <c r="D11" s="41">
        <f>ROUND(_xll.HPVAL($A11,D$1,$A$2,F$1,$A$3,$A$4)/1000,0)-D30</f>
        <v>0</v>
      </c>
      <c r="E11" s="42">
        <f>ROUND(_xll.HPVAL($A11,E$1,$A$2,F$1,$A$3,$A$4)/1000,0)-E30</f>
        <v>21459</v>
      </c>
      <c r="F11" s="66">
        <f t="shared" si="0"/>
        <v>-21459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75852</v>
      </c>
      <c r="U11" s="42">
        <f t="shared" ref="U11:U19" si="6">E11+I11+M11+Q11</f>
        <v>97311</v>
      </c>
      <c r="V11" s="66">
        <f t="shared" si="4"/>
        <v>-21459</v>
      </c>
    </row>
    <row r="12" spans="1:22" ht="12" customHeight="1" x14ac:dyDescent="0.2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7916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-12856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70245</v>
      </c>
      <c r="U12" s="42">
        <f t="shared" si="6"/>
        <v>83101</v>
      </c>
      <c r="V12" s="66">
        <f t="shared" si="4"/>
        <v>-12856</v>
      </c>
    </row>
    <row r="13" spans="1:22" ht="12" customHeight="1" x14ac:dyDescent="0.2">
      <c r="A13" s="25" t="s">
        <v>134</v>
      </c>
      <c r="B13" s="29" t="s">
        <v>133</v>
      </c>
      <c r="C13" s="38"/>
      <c r="D13" s="41">
        <f>ROUND(_xll.HPVAL($A13,D$1,$A$2,F$1,$A$3,$A$4)/1000,0)-D12</f>
        <v>-7916</v>
      </c>
      <c r="E13" s="42">
        <f>ROUND(_xll.HPVAL($A13,E$1,$A$2,F$1,$A$3,$A$4)/1000,0)-E12</f>
        <v>9011</v>
      </c>
      <c r="F13" s="66">
        <f>ROUND(D13-E13,0)</f>
        <v>-16927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19030</v>
      </c>
      <c r="U13" s="42">
        <f>E13+I13+M13+Q13</f>
        <v>35957</v>
      </c>
      <c r="V13" s="66">
        <f>ROUND(T13-U13,0)</f>
        <v>-16927</v>
      </c>
    </row>
    <row r="14" spans="1:22" ht="12" customHeight="1" x14ac:dyDescent="0.2">
      <c r="A14" s="25" t="s">
        <v>43</v>
      </c>
      <c r="B14" s="29" t="s">
        <v>114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">
      <c r="A15" s="25" t="s">
        <v>28</v>
      </c>
      <c r="B15" s="29" t="s">
        <v>5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">
      <c r="A16" s="25" t="s">
        <v>30</v>
      </c>
      <c r="B16" s="29" t="s">
        <v>155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">
      <c r="A17" s="25" t="s">
        <v>4</v>
      </c>
      <c r="B17" s="29" t="s">
        <v>107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">
      <c r="A18" s="25" t="s">
        <v>73</v>
      </c>
      <c r="B18" s="29" t="s">
        <v>156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">
      <c r="A19" s="25" t="s">
        <v>31</v>
      </c>
      <c r="B19" s="29" t="s">
        <v>2</v>
      </c>
      <c r="C19" s="38"/>
      <c r="D19" s="41">
        <f>ROUND(_xll.HPVAL($A19,D$1,$A$2,F$1,$A$3,$A$4)/1000,0)</f>
        <v>0</v>
      </c>
      <c r="E19" s="42">
        <f>ROUND(_xll.HPVAL($A19,E$1,$A$2,F$1,$A$3,$A$4)/1000,0)</f>
        <v>-169</v>
      </c>
      <c r="F19" s="66">
        <f t="shared" si="0"/>
        <v>169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-507</v>
      </c>
      <c r="U19" s="42">
        <f t="shared" si="6"/>
        <v>-676</v>
      </c>
      <c r="V19" s="66">
        <f t="shared" si="4"/>
        <v>169</v>
      </c>
    </row>
    <row r="20" spans="1:22" ht="12" customHeight="1" x14ac:dyDescent="0.2">
      <c r="B20" s="75" t="s">
        <v>6</v>
      </c>
      <c r="C20" s="38"/>
      <c r="D20" s="140">
        <f>SUM(D10:D19)</f>
        <v>0</v>
      </c>
      <c r="E20" s="141">
        <f>SUM(E10:E19)</f>
        <v>110527</v>
      </c>
      <c r="F20" s="143">
        <f>SUM(F10:F19)</f>
        <v>-110527</v>
      </c>
      <c r="G20" s="42"/>
      <c r="H20" s="140">
        <f>SUM(H10:H19)</f>
        <v>115839</v>
      </c>
      <c r="I20" s="141">
        <f>SUM(I10:I19)</f>
        <v>115839</v>
      </c>
      <c r="J20" s="143">
        <f>SUM(J10:J19)</f>
        <v>0</v>
      </c>
      <c r="K20" s="42"/>
      <c r="L20" s="140">
        <f>SUM(L10:L19)</f>
        <v>120173</v>
      </c>
      <c r="M20" s="141">
        <f>SUM(M10:M19)</f>
        <v>120173</v>
      </c>
      <c r="N20" s="143">
        <f>SUM(N10:N19)</f>
        <v>0</v>
      </c>
      <c r="O20" s="42"/>
      <c r="P20" s="140">
        <f>SUM(P10:P19)</f>
        <v>110426</v>
      </c>
      <c r="Q20" s="141">
        <f>SUM(Q10:Q19)</f>
        <v>110426</v>
      </c>
      <c r="R20" s="143">
        <f>SUM(R10:R19)</f>
        <v>0</v>
      </c>
      <c r="S20" s="42"/>
      <c r="T20" s="140">
        <f>SUM(T10:T19)</f>
        <v>346438</v>
      </c>
      <c r="U20" s="141">
        <f>SUM(U10:U19)</f>
        <v>456965</v>
      </c>
      <c r="V20" s="143">
        <f>SUM(V10:V19)</f>
        <v>-110527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32</v>
      </c>
      <c r="B22" s="29" t="s">
        <v>88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7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7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7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7" si="10">ROUND(P22-Q22,0)</f>
        <v>0</v>
      </c>
      <c r="S22" s="42"/>
      <c r="T22" s="41">
        <f t="shared" ref="T22:T27" si="11">D22+H22+L22+P22</f>
        <v>45554</v>
      </c>
      <c r="U22" s="42">
        <f t="shared" ref="U22:U27" si="12">E22+I22+M22+Q22</f>
        <v>53233</v>
      </c>
      <c r="V22" s="66">
        <f t="shared" ref="V22:V27" si="13">ROUND(T22-U22,0)</f>
        <v>-7679</v>
      </c>
    </row>
    <row r="23" spans="1:22" ht="12" customHeight="1" x14ac:dyDescent="0.2">
      <c r="A23" s="25" t="s">
        <v>38</v>
      </c>
      <c r="B23" s="29" t="s">
        <v>89</v>
      </c>
      <c r="C23" s="38"/>
      <c r="D23" s="41">
        <f>ROUND(_xll.HPVAL($A23,D$1,$A$2,F$1,$A$3,$A$4)/1000,0)</f>
        <v>0</v>
      </c>
      <c r="E23" s="42">
        <f>ROUND(_xll.HPVAL($A23,E$1,$A$2,F$1,$A$3,$A$4)/1000,0)</f>
        <v>5771</v>
      </c>
      <c r="F23" s="66">
        <f t="shared" si="7"/>
        <v>-5771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51887</v>
      </c>
      <c r="U23" s="42">
        <f t="shared" si="12"/>
        <v>57658</v>
      </c>
      <c r="V23" s="66">
        <f t="shared" si="13"/>
        <v>-5771</v>
      </c>
    </row>
    <row r="24" spans="1:22" ht="12" customHeight="1" x14ac:dyDescent="0.2">
      <c r="A24" s="25" t="s">
        <v>35</v>
      </c>
      <c r="B24" s="29" t="s">
        <v>90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">
      <c r="A25" s="25" t="s">
        <v>152</v>
      </c>
      <c r="B25" s="29" t="s">
        <v>91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">
      <c r="A27" s="25" t="s">
        <v>36</v>
      </c>
      <c r="B27" s="29" t="s">
        <v>0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">
      <c r="A28" s="27"/>
      <c r="B28" s="75" t="s">
        <v>1</v>
      </c>
      <c r="C28" s="38"/>
      <c r="D28" s="140">
        <f>SUM(D22:D27)</f>
        <v>0</v>
      </c>
      <c r="E28" s="141">
        <f>SUM(E22:E27)</f>
        <v>26594</v>
      </c>
      <c r="F28" s="143">
        <f>SUM(F22:F27)</f>
        <v>-26594</v>
      </c>
      <c r="G28" s="42"/>
      <c r="H28" s="140">
        <f>SUM(H22:H27)</f>
        <v>39821</v>
      </c>
      <c r="I28" s="141">
        <f>SUM(I22:I27)</f>
        <v>39821</v>
      </c>
      <c r="J28" s="143">
        <f>SUM(J22:J27)</f>
        <v>0</v>
      </c>
      <c r="K28" s="42"/>
      <c r="L28" s="140">
        <f>SUM(L22:L27)</f>
        <v>50856</v>
      </c>
      <c r="M28" s="141">
        <f>SUM(M22:M27)</f>
        <v>50856</v>
      </c>
      <c r="N28" s="143">
        <f>SUM(N22:N27)</f>
        <v>0</v>
      </c>
      <c r="O28" s="42"/>
      <c r="P28" s="140">
        <f>SUM(P22:P27)</f>
        <v>75338</v>
      </c>
      <c r="Q28" s="141">
        <f>SUM(Q22:Q27)</f>
        <v>75338</v>
      </c>
      <c r="R28" s="143">
        <f>SUM(R22:R27)</f>
        <v>0</v>
      </c>
      <c r="S28" s="42"/>
      <c r="T28" s="140">
        <f>SUM(T22:T27)</f>
        <v>166015</v>
      </c>
      <c r="U28" s="141">
        <f>SUM(U22:U27)</f>
        <v>192609</v>
      </c>
      <c r="V28" s="143">
        <f>SUM(V22:V27)</f>
        <v>-26594</v>
      </c>
    </row>
    <row r="29" spans="1:22" ht="3" customHeight="1" x14ac:dyDescent="0.2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">
      <c r="A30" s="25" t="s">
        <v>34</v>
      </c>
      <c r="B30" s="29" t="s">
        <v>33</v>
      </c>
      <c r="C30" s="38"/>
      <c r="D30" s="41">
        <f>ROUND(_xll.HPVAL($A30,D$1,$A$2,F$1,$A$3,$A$4)/1000,0)</f>
        <v>0</v>
      </c>
      <c r="E30" s="42">
        <f>ROUND(_xll.HPVAL($A30,E$1,$A$2,F$1,$A$3,$A$4)/1000,0)</f>
        <v>-15324</v>
      </c>
      <c r="F30" s="66">
        <f>ROUND(D30-E30,0)</f>
        <v>15324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11223</v>
      </c>
      <c r="U30" s="42">
        <f>E30+I30+M30+Q30</f>
        <v>-4101</v>
      </c>
      <c r="V30" s="66">
        <f>ROUND(T30-U30,0)</f>
        <v>15324</v>
      </c>
    </row>
    <row r="31" spans="1:22" ht="12" customHeight="1" x14ac:dyDescent="0.2">
      <c r="A31" s="25" t="s">
        <v>37</v>
      </c>
      <c r="B31" s="29" t="s">
        <v>67</v>
      </c>
      <c r="C31" s="38"/>
      <c r="D31" s="41">
        <f>ROUND(_xll.HPVAL($A31,D$1,$A$2,F$1,$A$3,$A$4)/1000,0)</f>
        <v>0</v>
      </c>
      <c r="E31" s="42">
        <f>ROUND(_xll.HPVAL($A31,E$1,$A$2,F$1,$A$3,$A$4)/1000,0)</f>
        <v>4324</v>
      </c>
      <c r="F31" s="66">
        <f>ROUND(D31-E31,0)</f>
        <v>-4324</v>
      </c>
      <c r="G31" s="42"/>
      <c r="H31" s="41">
        <f>ROUND(_xll.HPVAL($A31,H$1,$A$2,J$1,$A$3,$A$4)/1000,0)</f>
        <v>4279</v>
      </c>
      <c r="I31" s="42">
        <f>ROUND(_xll.HPVAL($A31,I$1,$A$2,J$1,$A$3,$A$4)/1000,0)</f>
        <v>4279</v>
      </c>
      <c r="J31" s="66">
        <f>ROUND(H31-I31,0)</f>
        <v>0</v>
      </c>
      <c r="K31" s="42"/>
      <c r="L31" s="41">
        <f>ROUND(_xll.HPVAL($A31,L$1,$A$2,N$1,$A$3,$A$4)/1000,0)</f>
        <v>4110</v>
      </c>
      <c r="M31" s="42">
        <f>ROUND(_xll.HPVAL($A31,M$1,$A$2,N$1,$A$3,$A$4)/1000,0)</f>
        <v>4110</v>
      </c>
      <c r="N31" s="66">
        <f>ROUND(L31-M31,0)</f>
        <v>0</v>
      </c>
      <c r="O31" s="42"/>
      <c r="P31" s="41">
        <f>ROUND(_xll.HPVAL($A31,P$1,$A$2,R$1,$A$3,$A$4)/1000,0)</f>
        <v>3775</v>
      </c>
      <c r="Q31" s="42">
        <f>ROUND(_xll.HPVAL($A31,Q$1,$A$2,R$1,$A$3,$A$4)/1000,0)</f>
        <v>3775</v>
      </c>
      <c r="R31" s="66">
        <f>ROUND(P31-Q31,0)</f>
        <v>0</v>
      </c>
      <c r="S31" s="42"/>
      <c r="T31" s="41">
        <f t="shared" ref="T31:U33" si="14">D31+H31+L31+P31</f>
        <v>12164</v>
      </c>
      <c r="U31" s="42">
        <f t="shared" si="14"/>
        <v>16488</v>
      </c>
      <c r="V31" s="66">
        <f>ROUND(T31-U31,0)</f>
        <v>-4324</v>
      </c>
    </row>
    <row r="32" spans="1:22" ht="12" customHeight="1" x14ac:dyDescent="0.2">
      <c r="A32" s="25" t="s">
        <v>41</v>
      </c>
      <c r="B32" s="29" t="s">
        <v>92</v>
      </c>
      <c r="C32" s="38"/>
      <c r="D32" s="41">
        <f>ROUND(_xll.HPVAL($A32,D$1,$A$2,F$1,$A$3,$A$4)/1000,0)</f>
        <v>0</v>
      </c>
      <c r="E32" s="42">
        <f>ROUND(_xll.HPVAL($A32,E$1,$A$2,F$1,$A$3,$A$4)/1000,0)</f>
        <v>-30373</v>
      </c>
      <c r="F32" s="66">
        <f>ROUND(D32-E32,0)</f>
        <v>30373</v>
      </c>
      <c r="G32" s="42"/>
      <c r="H32" s="41">
        <f>ROUND(_xll.HPVAL($A32,H$1,$A$2,J$1,$A$3,$A$4)/1000,0)</f>
        <v>-29020</v>
      </c>
      <c r="I32" s="42">
        <f>ROUND(_xll.HPVAL($A32,I$1,$A$2,J$1,$A$3,$A$4)/1000,0)</f>
        <v>-29020</v>
      </c>
      <c r="J32" s="66">
        <f>ROUND(H32-I32,0)</f>
        <v>0</v>
      </c>
      <c r="K32" s="42"/>
      <c r="L32" s="41">
        <f>ROUND(_xll.HPVAL($A32,L$1,$A$2,N$1,$A$3,$A$4)/1000,0)</f>
        <v>-28778</v>
      </c>
      <c r="M32" s="42">
        <f>ROUND(_xll.HPVAL($A32,M$1,$A$2,N$1,$A$3,$A$4)/1000,0)</f>
        <v>-28778</v>
      </c>
      <c r="N32" s="66">
        <f>ROUND(L32-M32,0)</f>
        <v>0</v>
      </c>
      <c r="O32" s="42"/>
      <c r="P32" s="41">
        <f>ROUND(_xll.HPVAL($A32,P$1,$A$2,R$1,$A$3,$A$4)/1000,0)</f>
        <v>-30117</v>
      </c>
      <c r="Q32" s="42">
        <f>ROUND(_xll.HPVAL($A32,Q$1,$A$2,R$1,$A$3,$A$4)/1000,0)</f>
        <v>-30117</v>
      </c>
      <c r="R32" s="66">
        <f>ROUND(P32-Q32,0)</f>
        <v>0</v>
      </c>
      <c r="S32" s="42"/>
      <c r="T32" s="41">
        <f t="shared" si="14"/>
        <v>-87915</v>
      </c>
      <c r="U32" s="42">
        <f t="shared" si="14"/>
        <v>-118288</v>
      </c>
      <c r="V32" s="66">
        <f>ROUND(T32-U32,0)</f>
        <v>30373</v>
      </c>
    </row>
    <row r="33" spans="1:22" ht="12" customHeight="1" x14ac:dyDescent="0.2">
      <c r="A33" s="25" t="s">
        <v>42</v>
      </c>
      <c r="B33" s="29" t="s">
        <v>93</v>
      </c>
      <c r="C33" s="38"/>
      <c r="D33" s="41">
        <f>ROUND(_xll.HPVAL($A33,D$1,$A$2,F$1,$A$3,$A$4)/1000,0)</f>
        <v>0</v>
      </c>
      <c r="E33" s="42">
        <f>ROUND(_xll.HPVAL($A33,E$1,$A$2,F$1,$A$3,$A$4)/1000,0)</f>
        <v>4082</v>
      </c>
      <c r="F33" s="66">
        <f>ROUND(D33-E33,0)</f>
        <v>-4082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12993</v>
      </c>
      <c r="U33" s="42">
        <f t="shared" si="14"/>
        <v>17075</v>
      </c>
      <c r="V33" s="66">
        <f>ROUND(T33-U33,0)</f>
        <v>-4082</v>
      </c>
    </row>
    <row r="34" spans="1:22" ht="12" customHeight="1" x14ac:dyDescent="0.2">
      <c r="B34" s="75" t="s">
        <v>86</v>
      </c>
      <c r="C34" s="38"/>
      <c r="D34" s="140">
        <f>SUM(D30:D33)</f>
        <v>0</v>
      </c>
      <c r="E34" s="141">
        <f>SUM(E30:E33)</f>
        <v>-37291</v>
      </c>
      <c r="F34" s="143">
        <f>SUM(F30:F33)</f>
        <v>37291</v>
      </c>
      <c r="G34" s="42"/>
      <c r="H34" s="140">
        <f>SUM(H30:H33)</f>
        <v>-6316</v>
      </c>
      <c r="I34" s="141">
        <f>SUM(I30:I33)</f>
        <v>-6316</v>
      </c>
      <c r="J34" s="143">
        <f>SUM(J30:J33)</f>
        <v>0</v>
      </c>
      <c r="K34" s="42"/>
      <c r="L34" s="140">
        <f>SUM(L30:L33)</f>
        <v>4372</v>
      </c>
      <c r="M34" s="141">
        <f>SUM(M30:M33)</f>
        <v>4372</v>
      </c>
      <c r="N34" s="143">
        <f>SUM(N30:N33)</f>
        <v>0</v>
      </c>
      <c r="O34" s="42"/>
      <c r="P34" s="140">
        <f>SUM(P30:P33)</f>
        <v>-49591</v>
      </c>
      <c r="Q34" s="141">
        <f>SUM(Q30:Q33)</f>
        <v>-49591</v>
      </c>
      <c r="R34" s="143">
        <f>SUM(R30:R33)</f>
        <v>0</v>
      </c>
      <c r="S34" s="42"/>
      <c r="T34" s="140">
        <f>SUM(T30:T33)</f>
        <v>-51535</v>
      </c>
      <c r="U34" s="141">
        <f>SUM(U30:U33)</f>
        <v>-88826</v>
      </c>
      <c r="V34" s="143">
        <f>SUM(V30:V33)</f>
        <v>37291</v>
      </c>
    </row>
    <row r="35" spans="1:22" ht="3" customHeight="1" x14ac:dyDescent="0.2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">
      <c r="A36" s="25" t="s">
        <v>40</v>
      </c>
      <c r="B36" s="29" t="s">
        <v>9</v>
      </c>
      <c r="C36" s="38"/>
      <c r="D36" s="41">
        <f>ROUND(_xll.HPVAL($A36,D$1,$A$2,F$1,$A$3,$A$4)/1000,0)</f>
        <v>0</v>
      </c>
      <c r="E36" s="42">
        <f>ROUND(_xll.HPVAL($A36,E$1,$A$2,F$1,$A$3,$A$4)/1000,0)</f>
        <v>12175</v>
      </c>
      <c r="F36" s="66">
        <f>ROUND(D36-E36,0)</f>
        <v>-12175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34873</v>
      </c>
      <c r="U36" s="42">
        <f t="shared" si="15"/>
        <v>47048</v>
      </c>
      <c r="V36" s="66">
        <f>ROUND(T36-U36,0)</f>
        <v>-12175</v>
      </c>
    </row>
    <row r="37" spans="1:22" ht="12" customHeight="1" x14ac:dyDescent="0.2">
      <c r="A37" s="25" t="s">
        <v>39</v>
      </c>
      <c r="B37" s="29" t="s">
        <v>151</v>
      </c>
      <c r="C37" s="38"/>
      <c r="D37" s="41">
        <f>ROUND(_xll.HPVAL($A37,D$1,$A$2,F$1,$A$3,$A$4)/1000,0)</f>
        <v>0</v>
      </c>
      <c r="E37" s="42">
        <f>ROUND(_xll.HPVAL($A37,E$1,$A$2,F$1,$A$3,$A$4)/1000,0)</f>
        <v>3179</v>
      </c>
      <c r="F37" s="66">
        <f>ROUND(D37-E37,0)</f>
        <v>-3179</v>
      </c>
      <c r="G37" s="42"/>
      <c r="H37" s="41">
        <f>ROUND(_xll.HPVAL($A37,H$1,$A$2,J$1,$A$3,$A$4)/1000,0)</f>
        <v>8814</v>
      </c>
      <c r="I37" s="42">
        <f>ROUND(_xll.HPVAL($A37,I$1,$A$2,J$1,$A$3,$A$4)/1000,0)</f>
        <v>8814</v>
      </c>
      <c r="J37" s="66">
        <f>ROUND(H37-I37,0)</f>
        <v>0</v>
      </c>
      <c r="K37" s="42"/>
      <c r="L37" s="41">
        <f>ROUND(_xll.HPVAL($A37,L$1,$A$2,N$1,$A$3,$A$4)/1000,0)</f>
        <v>2982</v>
      </c>
      <c r="M37" s="42">
        <f>ROUND(_xll.HPVAL($A37,M$1,$A$2,N$1,$A$3,$A$4)/1000,0)</f>
        <v>2982</v>
      </c>
      <c r="N37" s="66">
        <f>ROUND(L37-M37,0)</f>
        <v>0</v>
      </c>
      <c r="O37" s="42"/>
      <c r="P37" s="41">
        <f>ROUND(_xll.HPVAL($A37,P$1,$A$2,R$1,$A$3,$A$4)/1000,0)</f>
        <v>4535</v>
      </c>
      <c r="Q37" s="42">
        <f>ROUND(_xll.HPVAL($A37,Q$1,$A$2,R$1,$A$3,$A$4)/1000,0)</f>
        <v>4535</v>
      </c>
      <c r="R37" s="66">
        <f>ROUND(P37-Q37,0)</f>
        <v>0</v>
      </c>
      <c r="S37" s="42"/>
      <c r="T37" s="41">
        <f t="shared" si="15"/>
        <v>16331</v>
      </c>
      <c r="U37" s="42">
        <f t="shared" si="15"/>
        <v>19510</v>
      </c>
      <c r="V37" s="66">
        <f>ROUND(T37-U37,0)</f>
        <v>-3179</v>
      </c>
    </row>
    <row r="38" spans="1:22" ht="12" customHeight="1" x14ac:dyDescent="0.2">
      <c r="A38" s="25" t="s">
        <v>153</v>
      </c>
      <c r="B38" s="29" t="s">
        <v>180</v>
      </c>
      <c r="C38" s="38"/>
      <c r="D38" s="41">
        <f>ROUND(_xll.HPVAL($A38,D$1,$A$2,F$1,$A$3,$A$4)/1000,0)</f>
        <v>0</v>
      </c>
      <c r="E38" s="42">
        <f>ROUND(_xll.HPVAL($A38,E$1,$A$2,F$1,$A$3,$A$4)/1000,0)</f>
        <v>110</v>
      </c>
      <c r="F38" s="66">
        <f>ROUND(D38-E38,0)</f>
        <v>-110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5137</v>
      </c>
      <c r="U38" s="42">
        <f t="shared" si="15"/>
        <v>5247</v>
      </c>
      <c r="V38" s="66">
        <f>ROUND(T38-U38,0)</f>
        <v>-110</v>
      </c>
    </row>
    <row r="39" spans="1:22" ht="12" customHeight="1" x14ac:dyDescent="0.2">
      <c r="A39" s="25" t="s">
        <v>157</v>
      </c>
      <c r="B39" s="29" t="s">
        <v>154</v>
      </c>
      <c r="C39" s="38"/>
      <c r="D39" s="41">
        <f>ROUND(_xll.HPVAL($A39,D$1,$A$2,F$1,$A$3,$A$4)/1000,0)</f>
        <v>0</v>
      </c>
      <c r="E39" s="42">
        <f>ROUND(_xll.HPVAL($A39,E$1,$A$2,F$1,$A$3,$A$4)/1000,0)</f>
        <v>3922</v>
      </c>
      <c r="F39" s="66">
        <f>ROUND(D39-E39,0)</f>
        <v>-3922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11766</v>
      </c>
      <c r="U39" s="42">
        <f t="shared" si="15"/>
        <v>15688</v>
      </c>
      <c r="V39" s="66">
        <f>ROUND(T39-U39,0)</f>
        <v>-3922</v>
      </c>
    </row>
    <row r="40" spans="1:22" ht="12" customHeight="1" x14ac:dyDescent="0.2">
      <c r="B40" s="75" t="s">
        <v>87</v>
      </c>
      <c r="C40" s="38"/>
      <c r="D40" s="140">
        <f>SUM(D36:D39)</f>
        <v>0</v>
      </c>
      <c r="E40" s="141">
        <f>SUM(E36:E39)</f>
        <v>19386</v>
      </c>
      <c r="F40" s="143">
        <f>SUM(F36:F39)</f>
        <v>-19386</v>
      </c>
      <c r="G40" s="42"/>
      <c r="H40" s="140">
        <f>SUM(H36:H39)</f>
        <v>24815</v>
      </c>
      <c r="I40" s="141">
        <f>SUM(I36:I39)</f>
        <v>24815</v>
      </c>
      <c r="J40" s="143">
        <f>SUM(J36:J39)</f>
        <v>0</v>
      </c>
      <c r="K40" s="42"/>
      <c r="L40" s="140">
        <f>SUM(L36:L39)</f>
        <v>17793</v>
      </c>
      <c r="M40" s="141">
        <f>SUM(M36:M39)</f>
        <v>17793</v>
      </c>
      <c r="N40" s="143">
        <f>SUM(N36:N39)</f>
        <v>0</v>
      </c>
      <c r="O40" s="42"/>
      <c r="P40" s="140">
        <f>SUM(P36:P39)</f>
        <v>25499</v>
      </c>
      <c r="Q40" s="141">
        <f>SUM(Q36:Q39)</f>
        <v>25499</v>
      </c>
      <c r="R40" s="143">
        <f>SUM(R36:R39)</f>
        <v>0</v>
      </c>
      <c r="S40" s="42"/>
      <c r="T40" s="140">
        <f>SUM(T36:T39)</f>
        <v>68107</v>
      </c>
      <c r="U40" s="141">
        <f>SUM(U36:U39)</f>
        <v>87493</v>
      </c>
      <c r="V40" s="143">
        <f>SUM(V36:V39)</f>
        <v>-19386</v>
      </c>
    </row>
    <row r="41" spans="1:22" ht="3" customHeight="1" x14ac:dyDescent="0.2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">
      <c r="A42" s="25" t="s">
        <v>82</v>
      </c>
      <c r="B42" s="29" t="s">
        <v>8</v>
      </c>
      <c r="C42" s="38"/>
      <c r="D42" s="41">
        <f>ROUND(_xll.HPVAL($A42,D$1,$A$2,F$1,$A$3,$A$4)/1000,0)</f>
        <v>0</v>
      </c>
      <c r="E42" s="42">
        <f>ROUND(_xll.HPVAL($A42,E$1,$A$2,F$1,$A$3,$A$4)/1000,0)</f>
        <v>-6014</v>
      </c>
      <c r="F42" s="66">
        <f>ROUND(D42-E42,0)</f>
        <v>6014</v>
      </c>
      <c r="G42" s="42"/>
      <c r="H42" s="41">
        <f>ROUND(_xll.HPVAL($A42,H$1,$A$2,J$1,$A$3,$A$4)/1000,0)</f>
        <v>-5891</v>
      </c>
      <c r="I42" s="42">
        <f>ROUND(_xll.HPVAL($A42,I$1,$A$2,J$1,$A$3,$A$4)/1000,0)</f>
        <v>-5891</v>
      </c>
      <c r="J42" s="66">
        <f>ROUND(H42-I42,0)</f>
        <v>0</v>
      </c>
      <c r="K42" s="42"/>
      <c r="L42" s="41">
        <f>ROUND(_xll.HPVAL($A42,L$1,$A$2,N$1,$A$3,$A$4)/1000,0)</f>
        <v>-5968</v>
      </c>
      <c r="M42" s="42">
        <f>ROUND(_xll.HPVAL($A42,M$1,$A$2,N$1,$A$3,$A$4)/1000,0)</f>
        <v>-5968</v>
      </c>
      <c r="N42" s="66">
        <f>ROUND(L42-M42,0)</f>
        <v>0</v>
      </c>
      <c r="O42" s="42"/>
      <c r="P42" s="41">
        <f>ROUND(_xll.HPVAL($A42,P$1,$A$2,R$1,$A$3,$A$4)/1000,0)</f>
        <v>-5626</v>
      </c>
      <c r="Q42" s="42">
        <f>ROUND(_xll.HPVAL($A42,Q$1,$A$2,R$1,$A$3,$A$4)/1000,0)</f>
        <v>-5626</v>
      </c>
      <c r="R42" s="66">
        <f>ROUND(P42-Q42,0)</f>
        <v>0</v>
      </c>
      <c r="S42" s="42"/>
      <c r="T42" s="41">
        <f>D42+H42+L42+P42</f>
        <v>-17485</v>
      </c>
      <c r="U42" s="42">
        <f>E42+I42+M42+Q42</f>
        <v>-23499</v>
      </c>
      <c r="V42" s="66">
        <f>ROUND(T42-U42,0)</f>
        <v>6014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44</v>
      </c>
      <c r="B44" s="29" t="s">
        <v>7</v>
      </c>
      <c r="C44" s="38"/>
      <c r="D44" s="41">
        <f>ROUND(_xll.HPVAL($A44,D$1,$A$2,F$1,$A$3,$A$4)/1000,0)</f>
        <v>0</v>
      </c>
      <c r="E44" s="42">
        <f>ROUND(_xll.HPVAL($A44,E$1,$A$2,F$1,$A$3,$A$4)/1000,0)-E54</f>
        <v>-7651</v>
      </c>
      <c r="F44" s="66">
        <f>ROUND(D44-E44,0)</f>
        <v>7651</v>
      </c>
      <c r="G44" s="42"/>
      <c r="H44" s="41">
        <f>ROUND(_xll.HPVAL($A44,H$1,$A$2,J$1,$A$3,$A$4)/1000,0)-H54</f>
        <v>-6928</v>
      </c>
      <c r="I44" s="42">
        <f>ROUND(_xll.HPVAL($A44,I$1,$A$2,J$1,$A$3,$A$4)/1000,0)-I54</f>
        <v>-6928</v>
      </c>
      <c r="J44" s="66">
        <f>ROUND(H44-I44,0)</f>
        <v>0</v>
      </c>
      <c r="K44" s="42"/>
      <c r="L44" s="41">
        <f>ROUND(_xll.HPVAL($A44,L$1,$A$2,N$1,$A$3,$A$4)/1000,0)-L54</f>
        <v>-6874</v>
      </c>
      <c r="M44" s="42">
        <f>ROUND(_xll.HPVAL($A44,M$1,$A$2,N$1,$A$3,$A$4)/1000,0)-M54</f>
        <v>-6874</v>
      </c>
      <c r="N44" s="66">
        <f>ROUND(L44-M44,0)</f>
        <v>0</v>
      </c>
      <c r="O44" s="42"/>
      <c r="P44" s="41">
        <f>ROUND(_xll.HPVAL($A44,P$1,$A$2,R$1,$A$3,$A$4)/1000,0)-P54</f>
        <v>-6884</v>
      </c>
      <c r="Q44" s="42">
        <f>ROUND(_xll.HPVAL($A44,Q$1,$A$2,R$1,$A$3,$A$4)/1000,0)-Q54</f>
        <v>-6884</v>
      </c>
      <c r="R44" s="66">
        <f>ROUND(P44-Q44,0)</f>
        <v>0</v>
      </c>
      <c r="S44" s="42"/>
      <c r="T44" s="41">
        <f>D44+H44+L44+P44</f>
        <v>-20686</v>
      </c>
      <c r="U44" s="42">
        <f>E44+I44+M44+Q44</f>
        <v>-28337</v>
      </c>
      <c r="V44" s="66">
        <f>ROUND(T44-U44,0)</f>
        <v>7651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">
      <c r="A46" s="25"/>
      <c r="B46" s="75" t="s">
        <v>10</v>
      </c>
      <c r="C46" s="70"/>
      <c r="D46" s="140">
        <f>SUM(D40:D44)+D20+D28+D34</f>
        <v>0</v>
      </c>
      <c r="E46" s="141">
        <f>SUM(E40:E44)+E20+E28+E34</f>
        <v>105551</v>
      </c>
      <c r="F46" s="143">
        <f>SUM(F40:F44)+F20+F28+F34</f>
        <v>-105551</v>
      </c>
      <c r="G46" s="67"/>
      <c r="H46" s="140">
        <f>SUM(H40:H44)+H20+H28+H34</f>
        <v>161340</v>
      </c>
      <c r="I46" s="141">
        <f>SUM(I40:I44)+I20+I28+I34</f>
        <v>161340</v>
      </c>
      <c r="J46" s="143">
        <f>SUM(J40:J44)+J20+J28+J34</f>
        <v>0</v>
      </c>
      <c r="K46" s="67"/>
      <c r="L46" s="140">
        <f>SUM(L40:L44)+L20+L28+L34</f>
        <v>180352</v>
      </c>
      <c r="M46" s="141">
        <f>SUM(M40:M44)+M20+M28+M34</f>
        <v>180352</v>
      </c>
      <c r="N46" s="143">
        <f>SUM(N40:N44)+N20+N28+N34</f>
        <v>0</v>
      </c>
      <c r="O46" s="67"/>
      <c r="P46" s="140">
        <f>SUM(P40:P44)+P20+P28+P34</f>
        <v>149162</v>
      </c>
      <c r="Q46" s="141">
        <f>SUM(Q40:Q44)+Q20+Q28+Q34</f>
        <v>149162</v>
      </c>
      <c r="R46" s="143">
        <f>SUM(R40:R44)+R20+R28+R34</f>
        <v>0</v>
      </c>
      <c r="S46" s="67"/>
      <c r="T46" s="140">
        <f>SUM(T40:T44)+T20+T28+T34</f>
        <v>490854</v>
      </c>
      <c r="U46" s="141">
        <f>SUM(U40:U44)+U20+U28+U34</f>
        <v>596405</v>
      </c>
      <c r="V46" s="143">
        <f>SUM(V40:V44)+V20+V28+V34</f>
        <v>-105551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">
      <c r="A48" s="25" t="s">
        <v>45</v>
      </c>
      <c r="B48" s="29" t="s">
        <v>48</v>
      </c>
      <c r="C48" s="38"/>
      <c r="D48" s="41">
        <f>ROUND(_xll.HPVAL($A48,D$1,$A$2,F$1,$A$3,$A$4)/1000,0)</f>
        <v>0</v>
      </c>
      <c r="E48" s="42">
        <f>ROUND(_xll.HPVAL($A48,E$1,$A$2,F$1,$A$3,$A$4)/1000,0)</f>
        <v>-7000</v>
      </c>
      <c r="F48" s="66">
        <f>ROUND(D48-E48,0)</f>
        <v>7000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-95179</v>
      </c>
      <c r="U48" s="42">
        <f>E48+I48+M48+Q48</f>
        <v>-102179</v>
      </c>
      <c r="V48" s="66">
        <f>ROUND(T48-U48,0)</f>
        <v>7000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46</v>
      </c>
      <c r="B50" s="29" t="s">
        <v>18</v>
      </c>
      <c r="C50" s="38"/>
      <c r="D50" s="41">
        <f>ROUND(_xll.HPVAL($A50,D$1,$A$2,F$1,$A$3,$A$4)/1000,0)-D52</f>
        <v>0</v>
      </c>
      <c r="E50" s="42">
        <f>ROUND(_xll.HPVAL($A50,E$1,$A$2,F$1,$A$3,$A$4)/1000,0)-E52</f>
        <v>-33398</v>
      </c>
      <c r="F50" s="66">
        <f>ROUND(D50-E50,0)</f>
        <v>33398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-115390</v>
      </c>
      <c r="U50" s="42">
        <f>E50+I50+M50+Q50</f>
        <v>-148788</v>
      </c>
      <c r="V50" s="66">
        <f>ROUND(T50-U50,0)</f>
        <v>33398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46</v>
      </c>
      <c r="B52" s="29" t="s">
        <v>60</v>
      </c>
      <c r="C52" s="38"/>
      <c r="D52" s="41">
        <f>-ROUND(_xll.HPVAL($A52,D$1,"cap_chrg",F$1,$A$3,$A$4)/1000,0)</f>
        <v>0</v>
      </c>
      <c r="E52" s="42">
        <f>-ROUND(_xll.HPVAL($A52,E$1,"cap_chrg",F$1,$A$3,$A$4)/1000,0)</f>
        <v>39873</v>
      </c>
      <c r="F52" s="66">
        <f>ROUND(D52-E52,0)</f>
        <v>-39873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140541</v>
      </c>
      <c r="U52" s="42">
        <f>E52+I52+M52+Q52</f>
        <v>180414</v>
      </c>
      <c r="V52" s="66">
        <f>ROUND(T52-U52,0)</f>
        <v>-39873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38376</v>
      </c>
      <c r="F54" s="66">
        <f>ROUND(D54-E54,0)</f>
        <v>-38376</v>
      </c>
      <c r="G54" s="42"/>
      <c r="H54" s="41">
        <f>ROUND(_xll.HPVAL($A54,H$1,"gross_margin",J$1,$A$3,$A$4)/1000,0)</f>
        <v>38074</v>
      </c>
      <c r="I54" s="42">
        <f>ROUND(_xll.HPVAL($A54,I$1,"gross_margin",J$1,$A$3,$A$4)/1000,0)</f>
        <v>38074</v>
      </c>
      <c r="J54" s="66">
        <f>ROUND(H54-I54,0)</f>
        <v>0</v>
      </c>
      <c r="K54" s="42"/>
      <c r="L54" s="41">
        <f>ROUND(_xll.HPVAL($A54,L$1,"gross_margin",N$1,$A$3,$A$4)/1000,0)</f>
        <v>37618</v>
      </c>
      <c r="M54" s="42">
        <f>ROUND(_xll.HPVAL($A54,M$1,"gross_margin",N$1,$A$3,$A$4)/1000,0)</f>
        <v>37618</v>
      </c>
      <c r="N54" s="66">
        <f>ROUND(L54-M54,0)</f>
        <v>0</v>
      </c>
      <c r="O54" s="42"/>
      <c r="P54" s="41">
        <f>ROUND(_xll.HPVAL($A54,P$1,"gross_margin",R$1,$A$3,$A$4)/1000,0)</f>
        <v>40978</v>
      </c>
      <c r="Q54" s="42">
        <f>ROUND(_xll.HPVAL($A54,Q$1,"gross_margin",R$1,$A$3,$A$4)/1000,0)</f>
        <v>40978</v>
      </c>
      <c r="R54" s="66">
        <f>ROUND(P54-Q54,0)</f>
        <v>0</v>
      </c>
      <c r="S54" s="42"/>
      <c r="T54" s="41">
        <f>D54+H54+L54+P54</f>
        <v>116670</v>
      </c>
      <c r="U54" s="42">
        <f>E54+I54+M54+Q54</f>
        <v>155046</v>
      </c>
      <c r="V54" s="66">
        <f>ROUND(T54-U54,0)</f>
        <v>-38376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B56" s="75" t="s">
        <v>65</v>
      </c>
      <c r="C56" s="38"/>
      <c r="D56" s="140">
        <f>SUM(D46:D54)</f>
        <v>0</v>
      </c>
      <c r="E56" s="141">
        <f>SUM(E46:E54)</f>
        <v>143402</v>
      </c>
      <c r="F56" s="143">
        <f>SUM(F46:F54)</f>
        <v>-143402</v>
      </c>
      <c r="G56" s="42"/>
      <c r="H56" s="140">
        <f>SUM(H46:H54)</f>
        <v>187599</v>
      </c>
      <c r="I56" s="141">
        <f>SUM(I46:I54)</f>
        <v>187599</v>
      </c>
      <c r="J56" s="143">
        <f>SUM(J46:J54)</f>
        <v>0</v>
      </c>
      <c r="K56" s="42"/>
      <c r="L56" s="140">
        <f>SUM(L46:L54)</f>
        <v>209899</v>
      </c>
      <c r="M56" s="141">
        <f>SUM(M46:M54)</f>
        <v>209899</v>
      </c>
      <c r="N56" s="143">
        <f>SUM(N46:N54)</f>
        <v>0</v>
      </c>
      <c r="O56" s="42"/>
      <c r="P56" s="140">
        <f>SUM(P46:P54)</f>
        <v>139998</v>
      </c>
      <c r="Q56" s="141">
        <f>SUM(Q46:Q54)</f>
        <v>139998</v>
      </c>
      <c r="R56" s="143">
        <f>SUM(R46:R54)</f>
        <v>0</v>
      </c>
      <c r="S56" s="42"/>
      <c r="T56" s="140">
        <f>SUM(T46:T54)</f>
        <v>537496</v>
      </c>
      <c r="U56" s="141">
        <f>SUM(U46:U54)</f>
        <v>680898</v>
      </c>
      <c r="V56" s="143">
        <f>SUM(V46:V54)</f>
        <v>-143402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3">
      <c r="B60" s="75" t="s">
        <v>66</v>
      </c>
      <c r="C60" s="38"/>
      <c r="D60" s="95">
        <f>SUM(D56:D58)</f>
        <v>-1000</v>
      </c>
      <c r="E60" s="96">
        <f>SUM(E56:E58)</f>
        <v>131402</v>
      </c>
      <c r="F60" s="97">
        <f>SUM(F56:F58)</f>
        <v>-132402</v>
      </c>
      <c r="G60" s="42"/>
      <c r="H60" s="95">
        <f>SUM(H56:H58)</f>
        <v>178999</v>
      </c>
      <c r="I60" s="96">
        <f>SUM(I56:I58)</f>
        <v>178999</v>
      </c>
      <c r="J60" s="97">
        <f>SUM(J56:J58)</f>
        <v>0</v>
      </c>
      <c r="K60" s="42"/>
      <c r="L60" s="95">
        <f>SUM(L56:L58)</f>
        <v>190999</v>
      </c>
      <c r="M60" s="96">
        <f>SUM(M56:M58)</f>
        <v>190999</v>
      </c>
      <c r="N60" s="97">
        <f>SUM(N56:N58)</f>
        <v>0</v>
      </c>
      <c r="O60" s="42"/>
      <c r="P60" s="95">
        <f>SUM(P56:P58)</f>
        <v>122498</v>
      </c>
      <c r="Q60" s="96">
        <f>SUM(Q56:Q58)</f>
        <v>122498</v>
      </c>
      <c r="R60" s="97">
        <f>SUM(R56:R58)</f>
        <v>0</v>
      </c>
      <c r="S60" s="42"/>
      <c r="T60" s="95">
        <f>SUM(T56:T58)</f>
        <v>491496</v>
      </c>
      <c r="U60" s="96">
        <f>SUM(U56:U58)</f>
        <v>623898</v>
      </c>
      <c r="V60" s="97">
        <f>SUM(V56:V58)</f>
        <v>-132402</v>
      </c>
    </row>
    <row r="61" spans="1:22" s="38" customFormat="1" ht="3" customHeight="1" x14ac:dyDescent="0.2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8" x14ac:dyDescent="0.3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59"/>
  <sheetViews>
    <sheetView tabSelected="1" workbookViewId="0">
      <selection activeCell="F33" sqref="F33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7" ht="15.6" x14ac:dyDescent="0.3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7" ht="13.8" x14ac:dyDescent="0.25">
      <c r="A2" s="313" t="s">
        <v>161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Q2" s="27" t="s">
        <v>262</v>
      </c>
    </row>
    <row r="3" spans="1:17" ht="13.8" x14ac:dyDescent="0.3">
      <c r="A3" s="314" t="s">
        <v>162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</row>
    <row r="4" spans="1:17" ht="3" customHeight="1" x14ac:dyDescent="0.2">
      <c r="A4" s="38"/>
    </row>
    <row r="5" spans="1:17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90"/>
      <c r="N6" s="58"/>
    </row>
    <row r="7" spans="1:17" x14ac:dyDescent="0.2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">
      <c r="A9" s="29" t="s">
        <v>3</v>
      </c>
      <c r="C9" s="59">
        <f>GrossMargin!D10-[1]GrossMargin!D10</f>
        <v>18976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03">
        <f t="shared" ref="H9:H17" si="0">SUM(C9:G9)</f>
        <v>18976</v>
      </c>
      <c r="I9" s="59">
        <f>GrossMargin!J10-[1]GrossMargin!J10</f>
        <v>0</v>
      </c>
      <c r="J9" s="60">
        <v>0</v>
      </c>
      <c r="K9" s="84">
        <f t="shared" ref="K9:K17" si="1">SUM(H9:J9)</f>
        <v>18976</v>
      </c>
    </row>
    <row r="10" spans="1:17" ht="12" customHeight="1" x14ac:dyDescent="0.2">
      <c r="A10" s="29" t="s">
        <v>106</v>
      </c>
      <c r="C10" s="41">
        <f>GrossMargin!D11-[1]GrossMargin!D11</f>
        <v>2063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2063</v>
      </c>
      <c r="I10" s="41"/>
      <c r="J10" s="42">
        <v>0</v>
      </c>
      <c r="K10" s="66">
        <f t="shared" si="1"/>
        <v>2063</v>
      </c>
    </row>
    <row r="11" spans="1:17" ht="12" customHeight="1" x14ac:dyDescent="0.2">
      <c r="A11" s="29" t="s">
        <v>132</v>
      </c>
      <c r="C11" s="41">
        <f>GrossMargin!D12-[1]GrossMargin!D12</f>
        <v>2347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2347</v>
      </c>
      <c r="I11" s="41"/>
      <c r="J11" s="42">
        <v>0</v>
      </c>
      <c r="K11" s="66">
        <f t="shared" si="1"/>
        <v>2347</v>
      </c>
    </row>
    <row r="12" spans="1:17" ht="12" customHeight="1" x14ac:dyDescent="0.2">
      <c r="A12" s="29" t="s">
        <v>133</v>
      </c>
      <c r="C12" s="41">
        <f>GrossMargin!D13-[1]GrossMargin!D13</f>
        <v>-94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-94</v>
      </c>
      <c r="I12" s="41"/>
      <c r="J12" s="42">
        <v>0</v>
      </c>
      <c r="K12" s="66">
        <f>SUM(H12:J12)</f>
        <v>-94</v>
      </c>
    </row>
    <row r="13" spans="1:17" ht="12" customHeight="1" x14ac:dyDescent="0.2">
      <c r="A13" s="29" t="s">
        <v>114</v>
      </c>
      <c r="C13" s="41">
        <f>GrossMargin!D14-[1]GrossMargin!D14</f>
        <v>2234</v>
      </c>
      <c r="D13" s="42">
        <f>GrossMargin!E14-[1]GrossMargin!E14</f>
        <v>-743</v>
      </c>
      <c r="E13" s="81">
        <f>GrossMargin!F14-[1]GrossMargin!F14</f>
        <v>1039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2530</v>
      </c>
      <c r="I13" s="41"/>
      <c r="J13" s="42">
        <v>0</v>
      </c>
      <c r="K13" s="66">
        <f t="shared" si="1"/>
        <v>2530</v>
      </c>
    </row>
    <row r="14" spans="1:17" ht="12" customHeight="1" x14ac:dyDescent="0.2">
      <c r="A14" s="29" t="s">
        <v>5</v>
      </c>
      <c r="C14" s="41">
        <f>GrossMargin!D15-[1]GrossMargin!D15</f>
        <v>-67</v>
      </c>
      <c r="D14" s="42">
        <f>GrossMargin!E15-[1]GrossMargin!E15</f>
        <v>9</v>
      </c>
      <c r="E14" s="42">
        <f>GrossMargin!F15-[1]GrossMargin!F15</f>
        <v>66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8</v>
      </c>
      <c r="I14" s="41"/>
      <c r="J14" s="42">
        <v>0</v>
      </c>
      <c r="K14" s="66">
        <f t="shared" si="1"/>
        <v>8</v>
      </c>
    </row>
    <row r="15" spans="1:17" ht="12" customHeight="1" x14ac:dyDescent="0.2">
      <c r="A15" s="29" t="s">
        <v>155</v>
      </c>
      <c r="C15" s="41">
        <f>GrossMargin!D16-[1]GrossMargin!D16</f>
        <v>-496</v>
      </c>
      <c r="D15" s="42">
        <f>GrossMargin!E16-[1]GrossMargin!E16</f>
        <v>0</v>
      </c>
      <c r="E15" s="42">
        <f>GrossMargin!F16-[1]GrossMargin!F16</f>
        <v>488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-8</v>
      </c>
      <c r="I15" s="41"/>
      <c r="J15" s="42">
        <v>0</v>
      </c>
      <c r="K15" s="66">
        <f t="shared" si="1"/>
        <v>-8</v>
      </c>
    </row>
    <row r="16" spans="1:17" ht="12" customHeight="1" x14ac:dyDescent="0.2">
      <c r="A16" s="29" t="s">
        <v>107</v>
      </c>
      <c r="C16" s="41">
        <f>GrossMargin!D17-[1]GrossMargin!D17</f>
        <v>-316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-316</v>
      </c>
      <c r="I16" s="41"/>
      <c r="J16" s="42">
        <v>0</v>
      </c>
      <c r="K16" s="66">
        <f t="shared" si="1"/>
        <v>-316</v>
      </c>
    </row>
    <row r="17" spans="1:11" ht="12" customHeight="1" x14ac:dyDescent="0.2">
      <c r="A17" s="29" t="s">
        <v>156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/>
      <c r="J17" s="42">
        <v>0</v>
      </c>
      <c r="K17" s="66">
        <f t="shared" si="1"/>
        <v>0</v>
      </c>
    </row>
    <row r="18" spans="1:11" ht="3" customHeight="1" x14ac:dyDescent="0.2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3">
      <c r="A19" s="106" t="s">
        <v>6</v>
      </c>
      <c r="B19" s="91"/>
      <c r="C19" s="99">
        <f t="shared" ref="C19:K19" si="2">SUM(C9:C17)</f>
        <v>24647</v>
      </c>
      <c r="D19" s="100">
        <f t="shared" si="2"/>
        <v>-734</v>
      </c>
      <c r="E19" s="100">
        <f t="shared" si="2"/>
        <v>1593</v>
      </c>
      <c r="F19" s="100">
        <f t="shared" si="2"/>
        <v>0</v>
      </c>
      <c r="G19" s="100">
        <f t="shared" si="2"/>
        <v>0</v>
      </c>
      <c r="H19" s="99">
        <f t="shared" si="2"/>
        <v>25506</v>
      </c>
      <c r="I19" s="99"/>
      <c r="J19" s="100">
        <f t="shared" si="2"/>
        <v>0</v>
      </c>
      <c r="K19" s="101">
        <f t="shared" si="2"/>
        <v>25506</v>
      </c>
    </row>
    <row r="20" spans="1:11" ht="3" customHeight="1" x14ac:dyDescent="0.2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">
      <c r="A21" s="29" t="s">
        <v>88</v>
      </c>
      <c r="C21" s="41">
        <f>GrossMargin!D22-[1]GrossMargin!D22</f>
        <v>0</v>
      </c>
      <c r="D21" s="42">
        <f>GrossMargin!E22-[1]GrossMargin!E22</f>
        <v>0</v>
      </c>
      <c r="E21" s="42">
        <f>GrossMargin!F22-[1]GrossMargin!F22</f>
        <v>0</v>
      </c>
      <c r="F21" s="42">
        <f>GrossMargin!G22-[1]GrossMargin!G22</f>
        <v>0</v>
      </c>
      <c r="G21" s="42">
        <f>GrossMargin!H22-[1]GrossMargin!H22</f>
        <v>0</v>
      </c>
      <c r="H21" s="64">
        <f>SUM(C21:G21)</f>
        <v>0</v>
      </c>
      <c r="I21" s="41"/>
      <c r="J21" s="42">
        <v>0</v>
      </c>
      <c r="K21" s="66">
        <f>SUM(H21:J21)</f>
        <v>0</v>
      </c>
    </row>
    <row r="22" spans="1:11" ht="12" customHeight="1" x14ac:dyDescent="0.2">
      <c r="A22" s="29" t="s">
        <v>89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/>
      <c r="J22" s="42">
        <v>0</v>
      </c>
      <c r="K22" s="66">
        <f>SUM(H22:J22)</f>
        <v>0</v>
      </c>
    </row>
    <row r="23" spans="1:11" ht="12" customHeight="1" x14ac:dyDescent="0.2">
      <c r="A23" s="29" t="s">
        <v>253</v>
      </c>
      <c r="C23" s="41">
        <f>GrossMargin!D24-[1]GrossMargin!D24</f>
        <v>-226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>SUM(C23:G23)</f>
        <v>-226</v>
      </c>
      <c r="I23" s="41"/>
      <c r="J23" s="42">
        <v>0</v>
      </c>
      <c r="K23" s="66">
        <f>SUM(H23:J23)</f>
        <v>-226</v>
      </c>
    </row>
    <row r="24" spans="1:11" ht="12" customHeight="1" x14ac:dyDescent="0.2">
      <c r="A24" s="29" t="s">
        <v>104</v>
      </c>
      <c r="C24" s="41">
        <f>GrossMargin!D25-[1]GrossMargin!D25</f>
        <v>0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>SUM(C24:G24)</f>
        <v>0</v>
      </c>
      <c r="I24" s="41"/>
      <c r="J24" s="42">
        <v>0</v>
      </c>
      <c r="K24" s="66">
        <f>SUM(H24:J24)</f>
        <v>0</v>
      </c>
    </row>
    <row r="25" spans="1:11" ht="12" customHeight="1" x14ac:dyDescent="0.2">
      <c r="A25" s="29" t="s">
        <v>0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GrossMargin!F26-[1]GrossMargin!F28</f>
        <v>0</v>
      </c>
      <c r="F25" s="42">
        <f>GrossMargin!G26-[1]GrossMargin!G28</f>
        <v>0</v>
      </c>
      <c r="G25" s="42">
        <f>GrossMargin!H26-[1]GrossMargin!H28</f>
        <v>0</v>
      </c>
      <c r="H25" s="64">
        <f>SUM(C25:G25)</f>
        <v>0</v>
      </c>
      <c r="I25" s="41"/>
      <c r="J25" s="42">
        <v>0</v>
      </c>
      <c r="K25" s="66">
        <f>SUM(H25:J25)</f>
        <v>0</v>
      </c>
    </row>
    <row r="26" spans="1:11" ht="3" customHeight="1" x14ac:dyDescent="0.2">
      <c r="A26" s="29"/>
      <c r="C26" s="41"/>
      <c r="D26" s="42"/>
      <c r="E26" s="42"/>
      <c r="F26" s="42"/>
      <c r="G26" s="42"/>
      <c r="H26" s="64"/>
      <c r="I26" s="41"/>
      <c r="J26" s="42"/>
      <c r="K26" s="43"/>
    </row>
    <row r="27" spans="1:11" ht="12" customHeight="1" x14ac:dyDescent="0.3">
      <c r="A27" s="106" t="s">
        <v>1</v>
      </c>
      <c r="B27" s="91"/>
      <c r="C27" s="99">
        <f t="shared" ref="C27:K27" si="3">SUM(C21:C25)</f>
        <v>-226</v>
      </c>
      <c r="D27" s="100">
        <f t="shared" si="3"/>
        <v>0</v>
      </c>
      <c r="E27" s="100">
        <f t="shared" si="3"/>
        <v>0</v>
      </c>
      <c r="F27" s="100">
        <f t="shared" si="3"/>
        <v>0</v>
      </c>
      <c r="G27" s="100">
        <f t="shared" si="3"/>
        <v>0</v>
      </c>
      <c r="H27" s="99">
        <f t="shared" si="3"/>
        <v>-226</v>
      </c>
      <c r="I27" s="99"/>
      <c r="J27" s="100">
        <f t="shared" si="3"/>
        <v>0</v>
      </c>
      <c r="K27" s="101">
        <f t="shared" si="3"/>
        <v>-226</v>
      </c>
    </row>
    <row r="28" spans="1:11" ht="3" customHeight="1" x14ac:dyDescent="0.2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2">
      <c r="A29" s="29" t="s">
        <v>67</v>
      </c>
      <c r="C29" s="41">
        <f>GrossMargin!D30-[1]GrossMargin!D30</f>
        <v>0</v>
      </c>
      <c r="D29" s="42">
        <f>GrossMargin!E30-[1]GrossMargin!E30</f>
        <v>0</v>
      </c>
      <c r="E29" s="81">
        <f>GrossMargin!F30-[1]GrossMargin!F30</f>
        <v>3553</v>
      </c>
      <c r="F29" s="42">
        <f>GrossMargin!G30-[1]GrossMargin!G30</f>
        <v>0</v>
      </c>
      <c r="G29" s="42">
        <f>GrossMargin!H30-[1]GrossMargin!H30</f>
        <v>0</v>
      </c>
      <c r="H29" s="64">
        <f>SUM(C29:G29)</f>
        <v>3553</v>
      </c>
      <c r="I29" s="41"/>
      <c r="J29" s="42">
        <v>0</v>
      </c>
      <c r="K29" s="66">
        <f>SUM(H29:J29)</f>
        <v>3553</v>
      </c>
    </row>
    <row r="30" spans="1:11" ht="12" customHeight="1" x14ac:dyDescent="0.2">
      <c r="A30" s="29" t="s">
        <v>92</v>
      </c>
      <c r="C30" s="41">
        <f>GrossMargin!D31-[1]GrossMargin!D31</f>
        <v>-128</v>
      </c>
      <c r="D30" s="42">
        <f>GrossMargin!E31-[1]GrossMargin!E31</f>
        <v>0</v>
      </c>
      <c r="E30" s="42">
        <f>GrossMargin!F31-[1]GrossMargin!F31</f>
        <v>0</v>
      </c>
      <c r="F30" s="42">
        <f>GrossMargin!G31-[1]GrossMargin!G31</f>
        <v>1176</v>
      </c>
      <c r="G30" s="42">
        <f>GrossMargin!H31-[1]GrossMargin!H31</f>
        <v>0</v>
      </c>
      <c r="H30" s="64">
        <f>SUM(C30:G30)</f>
        <v>1048</v>
      </c>
      <c r="I30" s="41"/>
      <c r="J30" s="42">
        <v>0</v>
      </c>
      <c r="K30" s="66">
        <f>SUM(H30:J30)</f>
        <v>1048</v>
      </c>
    </row>
    <row r="31" spans="1:11" ht="12" customHeight="1" x14ac:dyDescent="0.2">
      <c r="A31" s="29" t="s">
        <v>93</v>
      </c>
      <c r="C31" s="41">
        <f>GrossMargin!D32-[1]GrossMargin!D32</f>
        <v>2623</v>
      </c>
      <c r="D31" s="42">
        <f>GrossMargin!E32-[1]GrossMargin!E32</f>
        <v>0</v>
      </c>
      <c r="E31" s="42">
        <f>GrossMargin!F32-[1]GrossMargin!F35</f>
        <v>0</v>
      </c>
      <c r="F31" s="42">
        <f>GrossMargin!G32-[1]GrossMargin!G35</f>
        <v>0</v>
      </c>
      <c r="G31" s="42">
        <f>GrossMargin!H32-[1]GrossMargin!H35</f>
        <v>0</v>
      </c>
      <c r="H31" s="64">
        <f>SUM(C31:G31)</f>
        <v>2623</v>
      </c>
      <c r="I31" s="41"/>
      <c r="J31" s="42">
        <v>0</v>
      </c>
      <c r="K31" s="66">
        <f>SUM(H31:J31)</f>
        <v>2623</v>
      </c>
    </row>
    <row r="32" spans="1:11" ht="3" customHeight="1" x14ac:dyDescent="0.2">
      <c r="A32" s="45"/>
      <c r="C32" s="46"/>
      <c r="D32" s="47"/>
      <c r="E32" s="47"/>
      <c r="F32" s="47"/>
      <c r="G32" s="47"/>
      <c r="H32" s="46"/>
      <c r="I32" s="46"/>
      <c r="J32" s="47"/>
      <c r="K32" s="132"/>
    </row>
    <row r="33" spans="1:11" s="90" customFormat="1" ht="12" customHeight="1" x14ac:dyDescent="0.3">
      <c r="A33" s="106" t="s">
        <v>86</v>
      </c>
      <c r="B33" s="91"/>
      <c r="C33" s="99">
        <f t="shared" ref="C33:K33" si="4">SUM(C29:C31)</f>
        <v>2495</v>
      </c>
      <c r="D33" s="100">
        <f t="shared" si="4"/>
        <v>0</v>
      </c>
      <c r="E33" s="100">
        <f t="shared" si="4"/>
        <v>3553</v>
      </c>
      <c r="F33" s="100">
        <f t="shared" si="4"/>
        <v>1176</v>
      </c>
      <c r="G33" s="100">
        <f t="shared" si="4"/>
        <v>0</v>
      </c>
      <c r="H33" s="99">
        <f t="shared" si="4"/>
        <v>7224</v>
      </c>
      <c r="I33" s="99"/>
      <c r="J33" s="100">
        <f t="shared" si="4"/>
        <v>0</v>
      </c>
      <c r="K33" s="101">
        <f t="shared" si="4"/>
        <v>7224</v>
      </c>
    </row>
    <row r="34" spans="1:11" ht="3" customHeight="1" x14ac:dyDescent="0.2">
      <c r="A34" s="29"/>
      <c r="C34" s="104"/>
      <c r="D34" s="81"/>
      <c r="E34" s="81"/>
      <c r="F34" s="81"/>
      <c r="G34" s="81"/>
      <c r="H34" s="105"/>
      <c r="I34" s="104"/>
      <c r="J34" s="81"/>
      <c r="K34" s="133"/>
    </row>
    <row r="35" spans="1:11" ht="12" customHeight="1" x14ac:dyDescent="0.2">
      <c r="A35" s="29" t="s">
        <v>9</v>
      </c>
      <c r="C35" s="41">
        <f>GrossMargin!D36-[1]GrossMargin!D36</f>
        <v>0</v>
      </c>
      <c r="D35" s="42">
        <f>GrossMargin!E36-[1]GrossMargin!E36</f>
        <v>-18067</v>
      </c>
      <c r="E35" s="81">
        <f>GrossMargin!F36-[1]GrossMargin!F36</f>
        <v>97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-17970</v>
      </c>
      <c r="I35" s="41"/>
      <c r="J35" s="42">
        <v>0</v>
      </c>
      <c r="K35" s="66">
        <f>SUM(H35:J35)</f>
        <v>-17970</v>
      </c>
    </row>
    <row r="36" spans="1:11" ht="12" customHeight="1" x14ac:dyDescent="0.2">
      <c r="A36" s="29" t="s">
        <v>151</v>
      </c>
      <c r="C36" s="41">
        <f>GrossMargin!D37-[1]GrossMargin!D37</f>
        <v>0</v>
      </c>
      <c r="D36" s="42">
        <f>GrossMargin!E37-[1]GrossMargin!E37</f>
        <v>126</v>
      </c>
      <c r="E36" s="81">
        <f>GrossMargin!F37-[1]GrossMargin!F37</f>
        <v>252</v>
      </c>
      <c r="F36" s="42">
        <f>GrossMargin!G37-[1]GrossMargin!G37</f>
        <v>0</v>
      </c>
      <c r="G36" s="42">
        <f>GrossMargin!H37-[1]GrossMargin!H37</f>
        <v>0</v>
      </c>
      <c r="H36" s="64">
        <f>SUM(C36:G36)</f>
        <v>378</v>
      </c>
      <c r="I36" s="41"/>
      <c r="J36" s="42">
        <v>0</v>
      </c>
      <c r="K36" s="66">
        <f>SUM(H36:J36)</f>
        <v>378</v>
      </c>
    </row>
    <row r="37" spans="1:11" ht="12" hidden="1" customHeight="1" x14ac:dyDescent="0.2">
      <c r="A37" s="29" t="s">
        <v>180</v>
      </c>
      <c r="C37" s="41">
        <f>GrossMargin!D38-[1]GrossMargin!D38</f>
        <v>0</v>
      </c>
      <c r="D37" s="42">
        <f>GrossMargin!E38-[1]GrossMargin!E38</f>
        <v>-13462</v>
      </c>
      <c r="E37" s="81">
        <f>GrossMargin!F38-[1]GrossMargin!F38</f>
        <v>1971</v>
      </c>
      <c r="F37" s="42">
        <f>GrossMargin!G38-[1]GrossMargin!G38</f>
        <v>0</v>
      </c>
      <c r="G37" s="42">
        <f>GrossMargin!H38-[1]GrossMargin!H38</f>
        <v>0</v>
      </c>
      <c r="H37" s="64">
        <f>SUM(C37:G37)</f>
        <v>-11491</v>
      </c>
      <c r="I37" s="41"/>
      <c r="J37" s="42">
        <v>0</v>
      </c>
      <c r="K37" s="66">
        <f>SUM(H37:J37)</f>
        <v>-11491</v>
      </c>
    </row>
    <row r="38" spans="1:11" ht="12" hidden="1" customHeight="1" x14ac:dyDescent="0.2">
      <c r="A38" s="29" t="s">
        <v>154</v>
      </c>
      <c r="C38" s="41">
        <f>GrossMargin!D39-[1]GrossMargin!D39</f>
        <v>0</v>
      </c>
      <c r="D38" s="42">
        <f>GrossMargin!E39-[1]GrossMargin!E39</f>
        <v>1746</v>
      </c>
      <c r="E38" s="81">
        <f>GrossMargin!F39-[1]GrossMargin!F39</f>
        <v>2588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4334</v>
      </c>
      <c r="I38" s="41"/>
      <c r="J38" s="42">
        <v>0</v>
      </c>
      <c r="K38" s="66">
        <f>SUM(H38:J38)</f>
        <v>4334</v>
      </c>
    </row>
    <row r="39" spans="1:11" x14ac:dyDescent="0.2">
      <c r="A39" s="29" t="s">
        <v>154</v>
      </c>
      <c r="B39" s="29"/>
      <c r="C39" s="135">
        <f t="shared" ref="C39:K39" si="5">SUM(C37:C38)</f>
        <v>0</v>
      </c>
      <c r="D39" s="135">
        <f t="shared" si="5"/>
        <v>-11716</v>
      </c>
      <c r="E39" s="135">
        <f t="shared" si="5"/>
        <v>4559</v>
      </c>
      <c r="F39" s="135">
        <f t="shared" si="5"/>
        <v>0</v>
      </c>
      <c r="G39" s="135">
        <f t="shared" si="5"/>
        <v>0</v>
      </c>
      <c r="H39" s="250">
        <f t="shared" si="5"/>
        <v>-7157</v>
      </c>
      <c r="I39" s="135"/>
      <c r="J39" s="135">
        <f t="shared" si="5"/>
        <v>0</v>
      </c>
      <c r="K39" s="251">
        <f t="shared" si="5"/>
        <v>-7157</v>
      </c>
    </row>
    <row r="40" spans="1:11" ht="3" customHeight="1" x14ac:dyDescent="0.2">
      <c r="A40" s="45"/>
      <c r="C40" s="46"/>
      <c r="D40" s="47"/>
      <c r="E40" s="47"/>
      <c r="F40" s="47"/>
      <c r="G40" s="47"/>
      <c r="H40" s="46"/>
      <c r="I40" s="46"/>
      <c r="J40" s="47"/>
      <c r="K40" s="132"/>
    </row>
    <row r="41" spans="1:11" s="90" customFormat="1" ht="12" customHeight="1" x14ac:dyDescent="0.3">
      <c r="A41" s="106" t="s">
        <v>87</v>
      </c>
      <c r="B41" s="91"/>
      <c r="C41" s="99">
        <f t="shared" ref="C41:K41" si="6">SUM(C35:C38)</f>
        <v>0</v>
      </c>
      <c r="D41" s="100">
        <f t="shared" si="6"/>
        <v>-29657</v>
      </c>
      <c r="E41" s="100">
        <f t="shared" si="6"/>
        <v>4908</v>
      </c>
      <c r="F41" s="100">
        <f t="shared" si="6"/>
        <v>0</v>
      </c>
      <c r="G41" s="100">
        <f t="shared" si="6"/>
        <v>0</v>
      </c>
      <c r="H41" s="99">
        <f t="shared" si="6"/>
        <v>-24749</v>
      </c>
      <c r="I41" s="99"/>
      <c r="J41" s="100">
        <f t="shared" si="6"/>
        <v>0</v>
      </c>
      <c r="K41" s="101">
        <f t="shared" si="6"/>
        <v>-24749</v>
      </c>
    </row>
    <row r="42" spans="1:11" ht="3" customHeight="1" x14ac:dyDescent="0.2">
      <c r="A42" s="29"/>
      <c r="C42" s="104"/>
      <c r="D42" s="81"/>
      <c r="E42" s="81"/>
      <c r="F42" s="81"/>
      <c r="G42" s="81"/>
      <c r="H42" s="105"/>
      <c r="I42" s="104"/>
      <c r="J42" s="81"/>
      <c r="K42" s="133"/>
    </row>
    <row r="43" spans="1:11" ht="12" customHeight="1" x14ac:dyDescent="0.2">
      <c r="A43" s="29" t="s">
        <v>8</v>
      </c>
      <c r="C43" s="41">
        <f>GrossMargin!D44-[1]GrossMargin!D44</f>
        <v>0</v>
      </c>
      <c r="D43" s="42">
        <f>GrossMargin!E44-[1]GrossMargin!E44</f>
        <v>0</v>
      </c>
      <c r="E43" s="42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/>
      <c r="J43" s="42">
        <v>0</v>
      </c>
      <c r="K43" s="66">
        <f>SUM(H43:J43)</f>
        <v>0</v>
      </c>
    </row>
    <row r="44" spans="1:11" ht="3" customHeight="1" x14ac:dyDescent="0.2">
      <c r="A44" s="29"/>
      <c r="C44" s="41"/>
      <c r="D44" s="42"/>
      <c r="E44" s="42"/>
      <c r="F44" s="42"/>
      <c r="G44" s="42"/>
      <c r="H44" s="64"/>
      <c r="I44" s="41"/>
      <c r="J44" s="42"/>
      <c r="K44" s="43"/>
    </row>
    <row r="45" spans="1:11" ht="12" customHeight="1" x14ac:dyDescent="0.2">
      <c r="A45" s="29" t="s">
        <v>7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/>
      <c r="J45" s="42">
        <v>0</v>
      </c>
      <c r="K45" s="66">
        <f>SUM(H45:J45)</f>
        <v>0</v>
      </c>
    </row>
    <row r="46" spans="1:11" ht="3" customHeight="1" x14ac:dyDescent="0.2">
      <c r="A46" s="76"/>
      <c r="C46" s="77"/>
      <c r="D46" s="67"/>
      <c r="E46" s="67"/>
      <c r="F46" s="67"/>
      <c r="G46" s="67"/>
      <c r="H46" s="46"/>
      <c r="I46" s="77"/>
      <c r="J46" s="67"/>
      <c r="K46" s="134"/>
    </row>
    <row r="47" spans="1:11" ht="12" customHeight="1" x14ac:dyDescent="0.2">
      <c r="A47" s="29" t="s">
        <v>18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-19367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-19367</v>
      </c>
      <c r="I47" s="41"/>
      <c r="J47" s="42">
        <v>0</v>
      </c>
      <c r="K47" s="66">
        <f>SUM(H47:J47)</f>
        <v>-19367</v>
      </c>
    </row>
    <row r="48" spans="1:11" ht="3" customHeight="1" x14ac:dyDescent="0.2">
      <c r="A48" s="76"/>
      <c r="C48" s="77"/>
      <c r="D48" s="67"/>
      <c r="E48" s="67"/>
      <c r="F48" s="67"/>
      <c r="G48" s="67"/>
      <c r="H48" s="46"/>
      <c r="I48" s="77"/>
      <c r="J48" s="67"/>
      <c r="K48" s="134"/>
    </row>
    <row r="49" spans="1:14" ht="12" customHeight="1" x14ac:dyDescent="0.2">
      <c r="A49" s="29" t="s">
        <v>19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/>
      <c r="J49" s="42">
        <v>0</v>
      </c>
      <c r="K49" s="66">
        <f>SUM(H49:J49)</f>
        <v>0</v>
      </c>
    </row>
    <row r="50" spans="1:14" ht="3" customHeight="1" x14ac:dyDescent="0.2">
      <c r="A50" s="29"/>
      <c r="C50" s="41"/>
      <c r="D50" s="42"/>
      <c r="E50" s="42"/>
      <c r="F50" s="42"/>
      <c r="G50" s="42"/>
      <c r="H50" s="64"/>
      <c r="I50" s="41"/>
      <c r="J50" s="42"/>
      <c r="K50" s="43"/>
    </row>
    <row r="51" spans="1:14" ht="12" customHeight="1" x14ac:dyDescent="0.3">
      <c r="A51" s="75" t="s">
        <v>14</v>
      </c>
      <c r="C51" s="95">
        <f t="shared" ref="C51:K51" si="7">SUM(C41:C49)+C19+C27+C33</f>
        <v>26916</v>
      </c>
      <c r="D51" s="96">
        <f t="shared" si="7"/>
        <v>-30391</v>
      </c>
      <c r="E51" s="96">
        <f t="shared" si="7"/>
        <v>-9313</v>
      </c>
      <c r="F51" s="96">
        <f t="shared" si="7"/>
        <v>1176</v>
      </c>
      <c r="G51" s="96">
        <f t="shared" si="7"/>
        <v>0</v>
      </c>
      <c r="H51" s="95">
        <f t="shared" si="7"/>
        <v>-11612</v>
      </c>
      <c r="I51" s="95"/>
      <c r="J51" s="96">
        <f t="shared" si="7"/>
        <v>0</v>
      </c>
      <c r="K51" s="97">
        <f t="shared" si="7"/>
        <v>-11612</v>
      </c>
    </row>
    <row r="52" spans="1:14" ht="3" customHeight="1" x14ac:dyDescent="0.2">
      <c r="A52" s="48"/>
      <c r="C52" s="49"/>
      <c r="D52" s="50"/>
      <c r="E52" s="50"/>
      <c r="F52" s="50"/>
      <c r="G52" s="50"/>
      <c r="H52" s="49"/>
      <c r="I52" s="49"/>
      <c r="J52" s="50"/>
      <c r="K52" s="51"/>
    </row>
    <row r="53" spans="1:14" x14ac:dyDescent="0.2">
      <c r="A53" s="27" t="s">
        <v>141</v>
      </c>
      <c r="C53" s="44"/>
      <c r="D53" s="44"/>
      <c r="E53" s="44"/>
      <c r="F53" s="44"/>
      <c r="G53" s="44"/>
      <c r="H53" s="44"/>
      <c r="I53" s="44"/>
      <c r="J53" s="44"/>
      <c r="K53" s="44"/>
    </row>
    <row r="54" spans="1:14" hidden="1" x14ac:dyDescent="0.2">
      <c r="C54" s="44"/>
      <c r="D54" s="74"/>
      <c r="E54" s="139" t="s">
        <v>76</v>
      </c>
      <c r="F54" s="40"/>
      <c r="G54" s="165"/>
      <c r="H54" s="165"/>
      <c r="I54" s="137"/>
      <c r="J54" s="42"/>
      <c r="K54" s="44"/>
      <c r="L54" s="38"/>
      <c r="M54" s="187"/>
      <c r="N54" s="38"/>
    </row>
    <row r="55" spans="1:14" hidden="1" x14ac:dyDescent="0.2">
      <c r="C55" s="44"/>
      <c r="D55" s="74"/>
      <c r="E55" s="139" t="s">
        <v>111</v>
      </c>
      <c r="F55" s="40"/>
      <c r="G55" s="165"/>
      <c r="H55" s="188"/>
      <c r="I55" s="137"/>
      <c r="J55" s="42"/>
      <c r="K55" s="44"/>
      <c r="L55" s="38"/>
      <c r="M55" s="187"/>
      <c r="N55" s="38"/>
    </row>
    <row r="56" spans="1:14" hidden="1" x14ac:dyDescent="0.2">
      <c r="C56" s="44"/>
      <c r="D56" s="74"/>
      <c r="E56" s="139" t="s">
        <v>75</v>
      </c>
      <c r="F56" s="192"/>
      <c r="G56" s="165"/>
      <c r="H56" s="188"/>
      <c r="I56" s="137"/>
      <c r="J56" s="42"/>
      <c r="K56" s="44"/>
      <c r="L56" s="38"/>
      <c r="M56" s="187"/>
      <c r="N56" s="38"/>
    </row>
    <row r="57" spans="1:14" hidden="1" x14ac:dyDescent="0.2">
      <c r="D57" s="39"/>
      <c r="E57" s="139" t="s">
        <v>77</v>
      </c>
      <c r="F57" s="40"/>
      <c r="G57" s="188"/>
      <c r="H57" s="188"/>
      <c r="I57" s="137"/>
      <c r="J57" s="38"/>
      <c r="L57" s="38"/>
      <c r="M57" s="187"/>
      <c r="N57" s="38"/>
    </row>
    <row r="58" spans="1:14" ht="4.5" hidden="1" customHeight="1" x14ac:dyDescent="0.2">
      <c r="D58" s="52"/>
      <c r="E58" s="54"/>
      <c r="F58" s="53"/>
      <c r="G58" s="53"/>
      <c r="H58" s="53"/>
      <c r="I58" s="51"/>
      <c r="J58" s="38"/>
      <c r="L58" s="38"/>
      <c r="M58" s="187"/>
      <c r="N58" s="38"/>
    </row>
    <row r="59" spans="1:14" ht="10.8" hidden="1" thickBot="1" x14ac:dyDescent="0.25">
      <c r="I59" s="138">
        <f>SUM(I54:I58)</f>
        <v>0</v>
      </c>
      <c r="J59" s="136" t="str">
        <f>IF(I59=I51,"","error")</f>
        <v/>
      </c>
      <c r="L59" s="38"/>
      <c r="M59" s="38"/>
      <c r="N59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79"/>
  <sheetViews>
    <sheetView topLeftCell="B3" workbookViewId="0">
      <selection activeCell="B31" sqref="B31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14" width="8.6640625" style="27" customWidth="1"/>
    <col min="15" max="20" width="9.6640625" style="27" customWidth="1"/>
    <col min="21" max="16384" width="9.109375" style="27"/>
  </cols>
  <sheetData>
    <row r="1" spans="1:19" ht="12.75" hidden="1" customHeight="1" x14ac:dyDescent="0.2">
      <c r="A1" s="25" t="s">
        <v>102</v>
      </c>
    </row>
    <row r="2" spans="1:19" ht="15.6" x14ac:dyDescent="0.3">
      <c r="A2" s="25" t="s">
        <v>50</v>
      </c>
      <c r="B2" s="312" t="s">
        <v>17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Q2" s="27" t="s">
        <v>262</v>
      </c>
    </row>
    <row r="3" spans="1:19" ht="13.8" x14ac:dyDescent="0.25">
      <c r="A3" s="26">
        <v>36678</v>
      </c>
      <c r="B3" s="313" t="s">
        <v>161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</row>
    <row r="4" spans="1:19" ht="13.8" x14ac:dyDescent="0.3">
      <c r="A4" s="25" t="s">
        <v>47</v>
      </c>
      <c r="B4" s="314" t="str">
        <f>'Old Mgmt Summary'!A3</f>
        <v>Results based on Activity through April 14, 2000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</row>
    <row r="5" spans="1:19" ht="3" customHeight="1" x14ac:dyDescent="0.2">
      <c r="B5" s="38"/>
    </row>
    <row r="6" spans="1:19" ht="12.75" customHeight="1" x14ac:dyDescent="0.2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315" t="s">
        <v>138</v>
      </c>
      <c r="R6" s="316"/>
      <c r="S6" s="317"/>
    </row>
    <row r="7" spans="1:19" x14ac:dyDescent="0.2">
      <c r="B7" s="29"/>
      <c r="D7" s="36"/>
      <c r="E7" s="38"/>
      <c r="F7" s="56"/>
      <c r="G7" s="56"/>
      <c r="H7" s="38"/>
      <c r="I7" s="56" t="s">
        <v>71</v>
      </c>
      <c r="J7" s="56" t="s">
        <v>11</v>
      </c>
      <c r="K7" s="56" t="s">
        <v>13</v>
      </c>
      <c r="L7" s="56" t="s">
        <v>14</v>
      </c>
      <c r="M7" s="56" t="s">
        <v>21</v>
      </c>
      <c r="N7" s="57"/>
      <c r="O7" s="58"/>
      <c r="P7" s="58"/>
      <c r="Q7" s="315" t="s">
        <v>137</v>
      </c>
      <c r="R7" s="316"/>
      <c r="S7" s="317"/>
    </row>
    <row r="8" spans="1:19" x14ac:dyDescent="0.2">
      <c r="B8" s="37" t="s">
        <v>16</v>
      </c>
      <c r="D8" s="33" t="s">
        <v>78</v>
      </c>
      <c r="E8" s="34" t="s">
        <v>139</v>
      </c>
      <c r="F8" s="34" t="s">
        <v>135</v>
      </c>
      <c r="G8" s="34" t="s">
        <v>53</v>
      </c>
      <c r="H8" s="34" t="s">
        <v>49</v>
      </c>
      <c r="I8" s="34" t="s">
        <v>21</v>
      </c>
      <c r="J8" s="34" t="s">
        <v>12</v>
      </c>
      <c r="K8" s="34" t="s">
        <v>21</v>
      </c>
      <c r="L8" s="34" t="s">
        <v>21</v>
      </c>
      <c r="M8" s="34" t="s">
        <v>15</v>
      </c>
      <c r="N8" s="35" t="s">
        <v>20</v>
      </c>
      <c r="O8" s="58"/>
      <c r="P8" s="58"/>
      <c r="Q8" s="184" t="s">
        <v>15</v>
      </c>
      <c r="R8" s="145" t="s">
        <v>13</v>
      </c>
      <c r="S8" s="146" t="s">
        <v>20</v>
      </c>
    </row>
    <row r="9" spans="1:19" ht="3" customHeight="1" x14ac:dyDescent="0.2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">
      <c r="A10" s="25" t="s">
        <v>256</v>
      </c>
      <c r="B10" s="29" t="s">
        <v>3</v>
      </c>
      <c r="D10" s="59">
        <v>20776</v>
      </c>
      <c r="E10" s="60"/>
      <c r="F10" s="60"/>
      <c r="G10" s="60"/>
      <c r="H10" s="60"/>
      <c r="I10" s="103">
        <f>SUM(D10:H10)</f>
        <v>20776</v>
      </c>
      <c r="J10" s="59"/>
      <c r="K10" s="60"/>
      <c r="L10" s="60">
        <f t="shared" ref="L10:L18" si="0">SUM(I10:K10)</f>
        <v>20776</v>
      </c>
      <c r="M10" s="60">
        <f>ROUND(_xll.HPVAL($A10,$A$1,$A$2,$A$3,$A$4,$A$6)/1000,0)</f>
        <v>41497</v>
      </c>
      <c r="N10" s="82">
        <f>L10-M10</f>
        <v>-20721</v>
      </c>
      <c r="Q10" s="73">
        <f>M10-Expenses!E9-'CapChrg-AllocExp'!E10</f>
        <v>38285</v>
      </c>
      <c r="R10" s="73">
        <f>I10+J10-Expenses!D9-'CapChrg-AllocExp'!D10</f>
        <v>17564</v>
      </c>
      <c r="S10" s="73">
        <f>Q10-R10</f>
        <v>20721</v>
      </c>
    </row>
    <row r="11" spans="1:19" ht="12" customHeight="1" x14ac:dyDescent="0.2">
      <c r="A11" s="25" t="s">
        <v>105</v>
      </c>
      <c r="B11" s="29" t="s">
        <v>106</v>
      </c>
      <c r="D11" s="41">
        <v>-6131</v>
      </c>
      <c r="E11" s="42"/>
      <c r="F11" s="42"/>
      <c r="G11" s="42"/>
      <c r="H11" s="42"/>
      <c r="I11" s="64">
        <f t="shared" ref="I11:I18" si="1">SUM(D11:H11)</f>
        <v>-6131</v>
      </c>
      <c r="J11" s="41"/>
      <c r="K11" s="42"/>
      <c r="L11" s="42">
        <f t="shared" si="0"/>
        <v>-6131</v>
      </c>
      <c r="M11" s="42">
        <f>ROUND(_xll.HPVAL($A11,$A$1,$A$2,$A$3,$A$4,$A$6)/1000,0)+Expenses!E54</f>
        <v>67236</v>
      </c>
      <c r="N11" s="83">
        <f t="shared" ref="N11:N18" si="2">L11-M11</f>
        <v>-73367</v>
      </c>
      <c r="Q11" s="44">
        <f>M11-Expenses!E10-'CapChrg-AllocExp'!E11</f>
        <v>53733</v>
      </c>
      <c r="R11" s="44">
        <f>I11+J11-Expenses!D10-'CapChrg-AllocExp'!D11</f>
        <v>-18485</v>
      </c>
      <c r="S11" s="44">
        <f t="shared" ref="S11:S18" si="3">Q11-R11</f>
        <v>72218</v>
      </c>
    </row>
    <row r="12" spans="1:19" ht="12" customHeight="1" x14ac:dyDescent="0.2">
      <c r="A12" s="25" t="s">
        <v>27</v>
      </c>
      <c r="B12" s="29" t="s">
        <v>132</v>
      </c>
      <c r="D12" s="41">
        <v>4610</v>
      </c>
      <c r="E12" s="42"/>
      <c r="F12" s="42"/>
      <c r="G12" s="42"/>
      <c r="H12" s="42"/>
      <c r="I12" s="64">
        <f>SUM(D12:H12)</f>
        <v>4610</v>
      </c>
      <c r="J12" s="41"/>
      <c r="K12" s="42"/>
      <c r="L12" s="42">
        <f t="shared" si="0"/>
        <v>4610</v>
      </c>
      <c r="M12" s="42">
        <f>ROUND((_xll.HPVAL($A12,$A$1,"other",$A$3,$A$4,$A$6)+_xll.HPVAL($A12,$A$1,"overview",$A$3,$A$4,$A$6))/1000,0)</f>
        <v>22402</v>
      </c>
      <c r="N12" s="83">
        <f t="shared" si="2"/>
        <v>-17792</v>
      </c>
      <c r="Q12" s="44">
        <f>M12-Expenses!E11-'CapChrg-AllocExp'!E12</f>
        <v>21693</v>
      </c>
      <c r="R12" s="44">
        <f>I12+J12-Expenses!D11-'CapChrg-AllocExp'!D12</f>
        <v>3901</v>
      </c>
      <c r="S12" s="44">
        <f t="shared" si="3"/>
        <v>17792</v>
      </c>
    </row>
    <row r="13" spans="1:19" ht="12" customHeight="1" x14ac:dyDescent="0.2">
      <c r="A13" s="25" t="s">
        <v>134</v>
      </c>
      <c r="B13" s="29" t="s">
        <v>133</v>
      </c>
      <c r="D13" s="41">
        <f>-5118-1114+641</f>
        <v>-5591</v>
      </c>
      <c r="E13" s="42"/>
      <c r="F13" s="42"/>
      <c r="G13" s="42"/>
      <c r="H13" s="42"/>
      <c r="I13" s="64">
        <f>SUM(D13:H13)</f>
        <v>-5591</v>
      </c>
      <c r="J13" s="41"/>
      <c r="K13" s="42"/>
      <c r="L13" s="42">
        <f>SUM(I13:K13)</f>
        <v>-5591</v>
      </c>
      <c r="M13" s="42">
        <f>ROUND(_xll.HPVAL($A13,$A$1,$A$2,$A$3,$A$4,$A$6)/1000,0)-M12</f>
        <v>11447</v>
      </c>
      <c r="N13" s="83">
        <f>L13-M13</f>
        <v>-17038</v>
      </c>
      <c r="Q13" s="44">
        <f>M13-Expenses!E12-'CapChrg-AllocExp'!E13</f>
        <v>9996</v>
      </c>
      <c r="R13" s="44">
        <f>I13+J13-Expenses!D12-'CapChrg-AllocExp'!D13</f>
        <v>-7042</v>
      </c>
      <c r="S13" s="44">
        <f>Q13-R13</f>
        <v>17038</v>
      </c>
    </row>
    <row r="14" spans="1:19" ht="12" customHeight="1" x14ac:dyDescent="0.2">
      <c r="A14" s="25" t="s">
        <v>74</v>
      </c>
      <c r="B14" s="29" t="s">
        <v>114</v>
      </c>
      <c r="D14" s="41">
        <v>4548</v>
      </c>
      <c r="E14" s="81">
        <v>1079</v>
      </c>
      <c r="F14" s="81">
        <v>1039</v>
      </c>
      <c r="G14" s="42"/>
      <c r="H14" s="42"/>
      <c r="I14" s="64">
        <f>SUM(D14:H14)</f>
        <v>6666</v>
      </c>
      <c r="J14" s="41"/>
      <c r="K14" s="42"/>
      <c r="L14" s="42">
        <f t="shared" si="0"/>
        <v>6666</v>
      </c>
      <c r="M14" s="42">
        <f>ROUND(_xll.HPVAL($A14,$A$1,$A$2,$A$3,$A$4,$A$6)/1000,0)</f>
        <v>23112</v>
      </c>
      <c r="N14" s="83">
        <f t="shared" si="2"/>
        <v>-16446</v>
      </c>
      <c r="Q14" s="44">
        <f>M14-Expenses!E13-'CapChrg-AllocExp'!E14</f>
        <v>20555</v>
      </c>
      <c r="R14" s="44">
        <f>I14+J14-Expenses!D13-'CapChrg-AllocExp'!D14</f>
        <v>4299</v>
      </c>
      <c r="S14" s="44">
        <f t="shared" si="3"/>
        <v>16256</v>
      </c>
    </row>
    <row r="15" spans="1:19" ht="12" customHeight="1" x14ac:dyDescent="0.2">
      <c r="A15" s="25" t="s">
        <v>28</v>
      </c>
      <c r="B15" s="29" t="s">
        <v>5</v>
      </c>
      <c r="D15" s="41">
        <v>-70</v>
      </c>
      <c r="E15" s="42">
        <v>12</v>
      </c>
      <c r="F15" s="42">
        <v>66</v>
      </c>
      <c r="G15" s="42"/>
      <c r="H15" s="42"/>
      <c r="I15" s="64">
        <f t="shared" si="1"/>
        <v>8</v>
      </c>
      <c r="J15" s="41"/>
      <c r="K15" s="42"/>
      <c r="L15" s="42">
        <f t="shared" si="0"/>
        <v>8</v>
      </c>
      <c r="M15" s="42">
        <f>ROUND(_xll.HPVAL($A15,$A$1,$A$2,$A$3,$A$4,$A$6)/1000,0)</f>
        <v>12747</v>
      </c>
      <c r="N15" s="83">
        <f t="shared" si="2"/>
        <v>-12739</v>
      </c>
      <c r="Q15" s="44">
        <f>M15-Expenses!E14-'CapChrg-AllocExp'!E15</f>
        <v>9365</v>
      </c>
      <c r="R15" s="44">
        <f>I15+J15-Expenses!D14-'CapChrg-AllocExp'!D15</f>
        <v>-3272</v>
      </c>
      <c r="S15" s="44">
        <f t="shared" si="3"/>
        <v>12637</v>
      </c>
    </row>
    <row r="16" spans="1:19" ht="12" customHeight="1" x14ac:dyDescent="0.2">
      <c r="A16" s="25" t="s">
        <v>30</v>
      </c>
      <c r="B16" s="29" t="s">
        <v>155</v>
      </c>
      <c r="D16" s="41">
        <v>-275</v>
      </c>
      <c r="E16" s="42"/>
      <c r="F16" s="42">
        <v>488</v>
      </c>
      <c r="G16" s="42"/>
      <c r="H16" s="42"/>
      <c r="I16" s="64">
        <f t="shared" si="1"/>
        <v>213</v>
      </c>
      <c r="J16" s="41"/>
      <c r="K16" s="42"/>
      <c r="L16" s="42">
        <f t="shared" si="0"/>
        <v>213</v>
      </c>
      <c r="M16" s="42">
        <f>ROUND(_xll.HPVAL($A16,$A$1,$A$2,$A$3,$A$4,$A$6)/1000,0)</f>
        <v>3215</v>
      </c>
      <c r="N16" s="83">
        <f t="shared" si="2"/>
        <v>-3002</v>
      </c>
      <c r="Q16" s="44">
        <f>M16-Expenses!E15-'CapChrg-AllocExp'!E16</f>
        <v>2233</v>
      </c>
      <c r="R16" s="44">
        <f>I16+J16-Expenses!D15-'CapChrg-AllocExp'!D16</f>
        <v>-769</v>
      </c>
      <c r="S16" s="44">
        <f t="shared" si="3"/>
        <v>3002</v>
      </c>
    </row>
    <row r="17" spans="1:19" ht="12" customHeight="1" x14ac:dyDescent="0.2">
      <c r="A17" s="25" t="s">
        <v>4</v>
      </c>
      <c r="B17" s="29" t="s">
        <v>107</v>
      </c>
      <c r="D17" s="41">
        <v>-1488</v>
      </c>
      <c r="E17" s="42"/>
      <c r="F17" s="42"/>
      <c r="G17" s="42"/>
      <c r="H17" s="42"/>
      <c r="I17" s="64">
        <f t="shared" si="1"/>
        <v>-1488</v>
      </c>
      <c r="J17" s="41"/>
      <c r="K17" s="42"/>
      <c r="L17" s="42">
        <f t="shared" si="0"/>
        <v>-1488</v>
      </c>
      <c r="M17" s="42">
        <f>ROUND(_xll.HPVAL($A17,$A$1,$A$2,$A$3,$A$4,$A$6)/1000,0)</f>
        <v>750</v>
      </c>
      <c r="N17" s="83">
        <f t="shared" si="2"/>
        <v>-2238</v>
      </c>
      <c r="Q17" s="44">
        <f>M17-Expenses!E16-'CapChrg-AllocExp'!E17</f>
        <v>646</v>
      </c>
      <c r="R17" s="44">
        <f>I17+J17-Expenses!D16-'CapChrg-AllocExp'!D17</f>
        <v>-1592</v>
      </c>
      <c r="S17" s="44">
        <f t="shared" si="3"/>
        <v>2238</v>
      </c>
    </row>
    <row r="18" spans="1:19" ht="12" customHeight="1" x14ac:dyDescent="0.2">
      <c r="A18" s="25" t="s">
        <v>73</v>
      </c>
      <c r="B18" s="29" t="s">
        <v>156</v>
      </c>
      <c r="D18" s="41"/>
      <c r="E18" s="42"/>
      <c r="F18" s="42"/>
      <c r="G18" s="42"/>
      <c r="H18" s="42"/>
      <c r="I18" s="64">
        <f t="shared" si="1"/>
        <v>0</v>
      </c>
      <c r="J18" s="41"/>
      <c r="K18" s="42"/>
      <c r="L18" s="42">
        <f t="shared" si="0"/>
        <v>0</v>
      </c>
      <c r="M18" s="42">
        <f>ROUND(_xll.HPVAL($A18,$A$1,$A$2,$A$3,$A$4,$A$6)/1000,0)</f>
        <v>7712</v>
      </c>
      <c r="N18" s="83">
        <f t="shared" si="2"/>
        <v>-7712</v>
      </c>
      <c r="Q18" s="44">
        <f>M18-Expenses!E17-'CapChrg-AllocExp'!E18</f>
        <v>6414</v>
      </c>
      <c r="R18" s="44">
        <f>I18+J18-Expenses!D17-'CapChrg-AllocExp'!D18</f>
        <v>-1364</v>
      </c>
      <c r="S18" s="44">
        <f t="shared" si="3"/>
        <v>7778</v>
      </c>
    </row>
    <row r="19" spans="1:19" ht="3" customHeight="1" x14ac:dyDescent="0.2">
      <c r="B19" s="29"/>
      <c r="D19" s="41"/>
      <c r="E19" s="42"/>
      <c r="F19" s="42"/>
      <c r="G19" s="42"/>
      <c r="H19" s="42"/>
      <c r="I19" s="64"/>
      <c r="J19" s="41"/>
      <c r="K19" s="42"/>
      <c r="L19" s="42"/>
      <c r="M19" s="42"/>
      <c r="N19" s="83"/>
    </row>
    <row r="20" spans="1:19" ht="12" customHeight="1" x14ac:dyDescent="0.3">
      <c r="B20" s="106" t="s">
        <v>6</v>
      </c>
      <c r="C20" s="91"/>
      <c r="D20" s="99">
        <f t="shared" ref="D20:N20" si="4">SUM(D10:D18)</f>
        <v>16379</v>
      </c>
      <c r="E20" s="100">
        <f t="shared" si="4"/>
        <v>1091</v>
      </c>
      <c r="F20" s="100">
        <f t="shared" si="4"/>
        <v>1593</v>
      </c>
      <c r="G20" s="100">
        <f t="shared" si="4"/>
        <v>0</v>
      </c>
      <c r="H20" s="100">
        <f t="shared" si="4"/>
        <v>0</v>
      </c>
      <c r="I20" s="99">
        <f t="shared" si="4"/>
        <v>19063</v>
      </c>
      <c r="J20" s="99">
        <f t="shared" si="4"/>
        <v>0</v>
      </c>
      <c r="K20" s="100">
        <f t="shared" si="4"/>
        <v>0</v>
      </c>
      <c r="L20" s="100">
        <f t="shared" si="4"/>
        <v>19063</v>
      </c>
      <c r="M20" s="100">
        <f t="shared" si="4"/>
        <v>190118</v>
      </c>
      <c r="N20" s="102">
        <f t="shared" si="4"/>
        <v>-171055</v>
      </c>
      <c r="Q20" s="100">
        <f>SUM(Q10:Q18)</f>
        <v>162920</v>
      </c>
      <c r="R20" s="100">
        <f>SUM(R10:R18)</f>
        <v>-6760</v>
      </c>
      <c r="S20" s="100">
        <f>SUM(S10:S18)</f>
        <v>169680</v>
      </c>
    </row>
    <row r="21" spans="1:19" ht="3" customHeight="1" x14ac:dyDescent="0.2">
      <c r="B21" s="29"/>
      <c r="D21" s="41"/>
      <c r="E21" s="42"/>
      <c r="F21" s="42"/>
      <c r="G21" s="42"/>
      <c r="H21" s="42"/>
      <c r="I21" s="64"/>
      <c r="J21" s="41"/>
      <c r="K21" s="42"/>
      <c r="L21" s="42"/>
      <c r="M21" s="42"/>
      <c r="N21" s="83"/>
    </row>
    <row r="22" spans="1:19" ht="12" customHeight="1" x14ac:dyDescent="0.2">
      <c r="A22" s="25" t="s">
        <v>32</v>
      </c>
      <c r="B22" s="29" t="s">
        <v>88</v>
      </c>
      <c r="D22" s="41"/>
      <c r="E22" s="42"/>
      <c r="F22" s="42"/>
      <c r="G22" s="42"/>
      <c r="H22" s="42"/>
      <c r="I22" s="64">
        <f>SUM(D22:H22)</f>
        <v>0</v>
      </c>
      <c r="J22" s="41"/>
      <c r="K22" s="42"/>
      <c r="L22" s="42">
        <f>SUM(I22:K22)</f>
        <v>0</v>
      </c>
      <c r="M22" s="42">
        <f>ROUND(_xll.HPVAL($A22,$A$1,$A$2,$A$3,$A$4,$A$6)/1000,0)</f>
        <v>20493</v>
      </c>
      <c r="N22" s="83">
        <f>L22-M22</f>
        <v>-20493</v>
      </c>
      <c r="Q22" s="135">
        <f>M22-Expenses!E20-'CapChrg-AllocExp'!E21</f>
        <v>17168</v>
      </c>
      <c r="R22" s="135">
        <f>I22+J22-Expenses!D20-'CapChrg-AllocExp'!D21</f>
        <v>-3325</v>
      </c>
      <c r="S22" s="44">
        <f>Q22-R22</f>
        <v>20493</v>
      </c>
    </row>
    <row r="23" spans="1:19" ht="12" customHeight="1" x14ac:dyDescent="0.2">
      <c r="A23" s="25" t="s">
        <v>38</v>
      </c>
      <c r="B23" s="29" t="s">
        <v>89</v>
      </c>
      <c r="D23" s="41"/>
      <c r="E23" s="42"/>
      <c r="F23" s="42"/>
      <c r="G23" s="42"/>
      <c r="H23" s="42"/>
      <c r="I23" s="64">
        <f>SUM(D23:H23)</f>
        <v>0</v>
      </c>
      <c r="J23" s="41"/>
      <c r="K23" s="42"/>
      <c r="L23" s="42">
        <f>SUM(I23:K23)</f>
        <v>0</v>
      </c>
      <c r="M23" s="42">
        <f>ROUND(_xll.HPVAL($A23,$A$1,$A$2,$A$3,$A$4,$A$6)/1000,0)</f>
        <v>13235</v>
      </c>
      <c r="N23" s="83">
        <f>L23-M23</f>
        <v>-13235</v>
      </c>
      <c r="Q23" s="44">
        <f>M23-Expenses!E21-'CapChrg-AllocExp'!E22</f>
        <v>8273</v>
      </c>
      <c r="R23" s="44">
        <f>I23+J23-Expenses!D21-'CapChrg-AllocExp'!D22</f>
        <v>-5617</v>
      </c>
      <c r="S23" s="44">
        <f>Q23-R23</f>
        <v>13890</v>
      </c>
    </row>
    <row r="24" spans="1:19" ht="12" customHeight="1" x14ac:dyDescent="0.2">
      <c r="A24" s="25" t="s">
        <v>255</v>
      </c>
      <c r="B24" s="29" t="s">
        <v>253</v>
      </c>
      <c r="D24" s="41">
        <f>352+65</f>
        <v>417</v>
      </c>
      <c r="E24" s="42"/>
      <c r="F24" s="42"/>
      <c r="G24" s="42"/>
      <c r="H24" s="42"/>
      <c r="I24" s="64">
        <f>SUM(D24:H24)</f>
        <v>417</v>
      </c>
      <c r="J24" s="41"/>
      <c r="K24" s="42"/>
      <c r="L24" s="42">
        <f>SUM(I24:K24)</f>
        <v>417</v>
      </c>
      <c r="M24" s="42">
        <f>ROUND(_xll.HPVAL($A24,$A$1,$A$2,$A$3,$A$4,$A$6)/1000,0)</f>
        <v>22861</v>
      </c>
      <c r="N24" s="83">
        <f>L24-M24</f>
        <v>-22444</v>
      </c>
      <c r="Q24" s="44">
        <f>M24-Expenses!E22-'CapChrg-AllocExp'!E23</f>
        <v>16299</v>
      </c>
      <c r="R24" s="44">
        <f>I24+J24-Expenses!D22-'CapChrg-AllocExp'!D23</f>
        <v>-5168</v>
      </c>
      <c r="S24" s="44">
        <f>Q24-R24</f>
        <v>21467</v>
      </c>
    </row>
    <row r="25" spans="1:19" ht="12" customHeight="1" x14ac:dyDescent="0.2">
      <c r="A25" s="25" t="s">
        <v>103</v>
      </c>
      <c r="B25" s="29" t="s">
        <v>104</v>
      </c>
      <c r="D25" s="41"/>
      <c r="E25" s="81"/>
      <c r="F25" s="81"/>
      <c r="G25" s="42"/>
      <c r="H25" s="42"/>
      <c r="I25" s="64">
        <f>SUM(D25:H25)</f>
        <v>0</v>
      </c>
      <c r="J25" s="41"/>
      <c r="K25" s="42"/>
      <c r="L25" s="42">
        <f>SUM(I25:K25)</f>
        <v>0</v>
      </c>
      <c r="M25" s="42">
        <f>ROUND(_xll.HPVAL($A25,$A$1,$A$2,$A$3,$A$4,$A$6)/1000,0)</f>
        <v>6477</v>
      </c>
      <c r="N25" s="83">
        <f>L25-M25</f>
        <v>-6477</v>
      </c>
      <c r="Q25" s="44">
        <f>M25-Expenses!E23-'CapChrg-AllocExp'!E24</f>
        <v>4540</v>
      </c>
      <c r="R25" s="44">
        <f>I25+J25-Expenses!D23-'CapChrg-AllocExp'!D24</f>
        <v>-1937</v>
      </c>
      <c r="S25" s="44">
        <f>Q25-R25</f>
        <v>6477</v>
      </c>
    </row>
    <row r="26" spans="1:19" ht="12" customHeight="1" x14ac:dyDescent="0.2">
      <c r="A26" s="25" t="s">
        <v>36</v>
      </c>
      <c r="B26" s="29" t="s">
        <v>0</v>
      </c>
      <c r="D26" s="41"/>
      <c r="E26" s="42"/>
      <c r="F26" s="42"/>
      <c r="G26" s="42"/>
      <c r="H26" s="42"/>
      <c r="I26" s="64">
        <f>SUM(D26:H26)</f>
        <v>0</v>
      </c>
      <c r="J26" s="41"/>
      <c r="K26" s="42"/>
      <c r="L26" s="42">
        <f>SUM(I26:K26)</f>
        <v>0</v>
      </c>
      <c r="M26" s="42">
        <f>ROUND(_xll.HPVAL($A26,$A$1,$A$2,$A$3,$A$4,$A$6)/1000,0)</f>
        <v>4656</v>
      </c>
      <c r="N26" s="83">
        <f>L26-M26</f>
        <v>-4656</v>
      </c>
      <c r="Q26" s="44">
        <f>M26-Expenses!E24-'CapChrg-AllocExp'!E25</f>
        <v>2651</v>
      </c>
      <c r="R26" s="44">
        <f>I26+J26-Expenses!D24-'CapChrg-AllocExp'!D25</f>
        <v>-2005</v>
      </c>
      <c r="S26" s="44">
        <f>Q26-R26</f>
        <v>4656</v>
      </c>
    </row>
    <row r="27" spans="1:19" ht="3" customHeight="1" x14ac:dyDescent="0.2">
      <c r="B27" s="29"/>
      <c r="D27" s="41"/>
      <c r="E27" s="42"/>
      <c r="F27" s="42"/>
      <c r="G27" s="42"/>
      <c r="H27" s="42"/>
      <c r="I27" s="64"/>
      <c r="J27" s="41"/>
      <c r="K27" s="42"/>
      <c r="L27" s="42"/>
      <c r="M27" s="42"/>
      <c r="N27" s="83"/>
    </row>
    <row r="28" spans="1:19" ht="12" customHeight="1" x14ac:dyDescent="0.3">
      <c r="B28" s="106" t="s">
        <v>1</v>
      </c>
      <c r="C28" s="91"/>
      <c r="D28" s="99">
        <f t="shared" ref="D28:N28" si="5">SUM(D22:D26)</f>
        <v>417</v>
      </c>
      <c r="E28" s="100">
        <f t="shared" si="5"/>
        <v>0</v>
      </c>
      <c r="F28" s="100">
        <f t="shared" si="5"/>
        <v>0</v>
      </c>
      <c r="G28" s="100">
        <f t="shared" si="5"/>
        <v>0</v>
      </c>
      <c r="H28" s="100">
        <f t="shared" si="5"/>
        <v>0</v>
      </c>
      <c r="I28" s="99">
        <f t="shared" si="5"/>
        <v>417</v>
      </c>
      <c r="J28" s="99">
        <f t="shared" si="5"/>
        <v>0</v>
      </c>
      <c r="K28" s="100">
        <f t="shared" si="5"/>
        <v>0</v>
      </c>
      <c r="L28" s="100">
        <f t="shared" si="5"/>
        <v>417</v>
      </c>
      <c r="M28" s="100">
        <f t="shared" si="5"/>
        <v>67722</v>
      </c>
      <c r="N28" s="102">
        <f t="shared" si="5"/>
        <v>-67305</v>
      </c>
      <c r="Q28" s="100">
        <f>SUM(Q22:Q26)</f>
        <v>48931</v>
      </c>
      <c r="R28" s="100">
        <f>SUM(R22:R26)</f>
        <v>-18052</v>
      </c>
      <c r="S28" s="100">
        <f>SUM(S22:S26)</f>
        <v>66983</v>
      </c>
    </row>
    <row r="29" spans="1:19" ht="3" customHeight="1" x14ac:dyDescent="0.2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3"/>
    </row>
    <row r="30" spans="1:19" ht="12" customHeight="1" x14ac:dyDescent="0.2">
      <c r="A30" s="25" t="s">
        <v>37</v>
      </c>
      <c r="B30" s="29" t="s">
        <v>67</v>
      </c>
      <c r="D30" s="41"/>
      <c r="E30" s="42"/>
      <c r="F30" s="81">
        <v>3553</v>
      </c>
      <c r="G30" s="42"/>
      <c r="H30" s="42"/>
      <c r="I30" s="64">
        <f>SUM(D30:H30)</f>
        <v>3553</v>
      </c>
      <c r="J30" s="41"/>
      <c r="K30" s="42"/>
      <c r="L30" s="42">
        <f>SUM(I30:K30)</f>
        <v>3553</v>
      </c>
      <c r="M30" s="42">
        <f>ROUND(_xll.HPVAL($A30,$A$1,$A$2,$A$3,$A$4,$A$6)/1000,0)</f>
        <v>12234</v>
      </c>
      <c r="N30" s="83">
        <f>L30-M30</f>
        <v>-8681</v>
      </c>
      <c r="Q30" s="44">
        <f>M30-Expenses!E27-'CapChrg-AllocExp'!E28</f>
        <v>4939</v>
      </c>
      <c r="R30" s="44">
        <f>I30+J30-Expenses!D27-'CapChrg-AllocExp'!D28</f>
        <v>-3500</v>
      </c>
      <c r="S30" s="44">
        <f>Q30-R30</f>
        <v>8439</v>
      </c>
    </row>
    <row r="31" spans="1:19" ht="12" customHeight="1" x14ac:dyDescent="0.2">
      <c r="A31" s="25" t="s">
        <v>41</v>
      </c>
      <c r="B31" s="29" t="s">
        <v>92</v>
      </c>
      <c r="D31" s="41">
        <f>-96-32</f>
        <v>-128</v>
      </c>
      <c r="E31" s="42"/>
      <c r="F31" s="42"/>
      <c r="G31" s="42">
        <v>17549</v>
      </c>
      <c r="H31" s="42"/>
      <c r="I31" s="64">
        <f>SUM(D31:H31)</f>
        <v>17421</v>
      </c>
      <c r="J31" s="41"/>
      <c r="K31" s="42"/>
      <c r="L31" s="42">
        <f>SUM(I31:K31)</f>
        <v>17421</v>
      </c>
      <c r="M31" s="42">
        <f>ROUND(_xll.HPVAL($A31,$A$1,$A$2,$A$3,$A$4,$A$6)/1000,0)+Expenses!E55</f>
        <v>32604</v>
      </c>
      <c r="N31" s="83">
        <f>L31-M31</f>
        <v>-15183</v>
      </c>
      <c r="Q31" s="44">
        <f>M31-Expenses!E28-Expenses!E55-'CapChrg-AllocExp'!E29</f>
        <v>-22056</v>
      </c>
      <c r="R31" s="44">
        <f>I31+J31-Expenses!D28-Expenses!D55-'CapChrg-AllocExp'!D29</f>
        <v>-40454</v>
      </c>
      <c r="S31" s="44">
        <f>Q31-R31</f>
        <v>18398</v>
      </c>
    </row>
    <row r="32" spans="1:19" ht="12" customHeight="1" x14ac:dyDescent="0.2">
      <c r="A32" s="25" t="s">
        <v>42</v>
      </c>
      <c r="B32" s="29" t="s">
        <v>93</v>
      </c>
      <c r="D32" s="41">
        <v>5531</v>
      </c>
      <c r="E32" s="42"/>
      <c r="F32" s="42"/>
      <c r="G32" s="42"/>
      <c r="H32" s="42"/>
      <c r="I32" s="64">
        <f>SUM(D32:H32)</f>
        <v>5531</v>
      </c>
      <c r="J32" s="41"/>
      <c r="K32" s="42"/>
      <c r="L32" s="42">
        <f>SUM(I32:K32)</f>
        <v>5531</v>
      </c>
      <c r="M32" s="42">
        <f>ROUND(_xll.HPVAL($A32,$A$1,$A$2,$A$3,$A$4,$A$6)/1000,0)</f>
        <v>7570</v>
      </c>
      <c r="N32" s="83">
        <f>L32-M32</f>
        <v>-2039</v>
      </c>
      <c r="Q32" s="44">
        <f>M32-Expenses!E29-'CapChrg-AllocExp'!E30</f>
        <v>6853</v>
      </c>
      <c r="R32" s="44">
        <f>I32+J32-Expenses!D29-'CapChrg-AllocExp'!D30</f>
        <v>4814</v>
      </c>
      <c r="S32" s="44">
        <f>Q32-R32</f>
        <v>2039</v>
      </c>
    </row>
    <row r="33" spans="1:19" ht="3" customHeight="1" x14ac:dyDescent="0.2">
      <c r="B33" s="29"/>
      <c r="C33" s="135"/>
      <c r="D33" s="41"/>
      <c r="E33" s="42"/>
      <c r="F33" s="42"/>
      <c r="G33" s="42"/>
      <c r="H33" s="42"/>
      <c r="I33" s="64"/>
      <c r="J33" s="41"/>
      <c r="K33" s="42"/>
      <c r="L33" s="42"/>
      <c r="M33" s="42"/>
      <c r="N33" s="83"/>
    </row>
    <row r="34" spans="1:19" ht="12" customHeight="1" x14ac:dyDescent="0.3">
      <c r="B34" s="106" t="s">
        <v>86</v>
      </c>
      <c r="C34" s="91"/>
      <c r="D34" s="99">
        <f t="shared" ref="D34:N34" si="6">SUM(D30:D32)</f>
        <v>5403</v>
      </c>
      <c r="E34" s="100">
        <f t="shared" si="6"/>
        <v>0</v>
      </c>
      <c r="F34" s="100">
        <f t="shared" si="6"/>
        <v>3553</v>
      </c>
      <c r="G34" s="100">
        <f t="shared" si="6"/>
        <v>17549</v>
      </c>
      <c r="H34" s="100">
        <f t="shared" si="6"/>
        <v>0</v>
      </c>
      <c r="I34" s="99">
        <f t="shared" si="6"/>
        <v>26505</v>
      </c>
      <c r="J34" s="99">
        <f t="shared" si="6"/>
        <v>0</v>
      </c>
      <c r="K34" s="100">
        <f t="shared" si="6"/>
        <v>0</v>
      </c>
      <c r="L34" s="100">
        <f t="shared" si="6"/>
        <v>26505</v>
      </c>
      <c r="M34" s="100">
        <f t="shared" si="6"/>
        <v>52408</v>
      </c>
      <c r="N34" s="102">
        <f t="shared" si="6"/>
        <v>-25903</v>
      </c>
      <c r="Q34" s="100">
        <f>SUM(Q30:Q32)</f>
        <v>-10264</v>
      </c>
      <c r="R34" s="100">
        <f>SUM(R30:R32)</f>
        <v>-39140</v>
      </c>
      <c r="S34" s="100">
        <f>SUM(S30:S32)</f>
        <v>28876</v>
      </c>
    </row>
    <row r="35" spans="1:19" ht="3" customHeight="1" x14ac:dyDescent="0.2">
      <c r="B35" s="29"/>
      <c r="D35" s="41"/>
      <c r="E35" s="42"/>
      <c r="F35" s="42"/>
      <c r="G35" s="42"/>
      <c r="H35" s="42"/>
      <c r="I35" s="64"/>
      <c r="J35" s="41"/>
      <c r="K35" s="42"/>
      <c r="L35" s="42"/>
      <c r="M35" s="42"/>
      <c r="N35" s="83"/>
    </row>
    <row r="36" spans="1:19" ht="12" customHeight="1" x14ac:dyDescent="0.2">
      <c r="A36" s="25" t="s">
        <v>40</v>
      </c>
      <c r="B36" s="29" t="s">
        <v>9</v>
      </c>
      <c r="D36" s="41"/>
      <c r="E36" s="81">
        <v>-24919</v>
      </c>
      <c r="F36" s="81">
        <v>97</v>
      </c>
      <c r="G36" s="42"/>
      <c r="H36" s="42"/>
      <c r="I36" s="64">
        <f>SUM(D36:H36)</f>
        <v>-24822</v>
      </c>
      <c r="J36" s="41"/>
      <c r="K36" s="42"/>
      <c r="L36" s="42">
        <f>SUM(I36:K36)</f>
        <v>-24822</v>
      </c>
      <c r="M36" s="42">
        <f>ROUND(_xll.HPVAL($A36,$A$1,$A$2,$A$3,$A$4,$A$6)/1000,0)</f>
        <v>15385</v>
      </c>
      <c r="N36" s="83">
        <f>L36-M36</f>
        <v>-40207</v>
      </c>
      <c r="Q36" s="135">
        <f>M36-Expenses!E32-'CapChrg-AllocExp'!E33</f>
        <v>12608</v>
      </c>
      <c r="R36" s="135">
        <f>I36+J36-Expenses!D32-'CapChrg-AllocExp'!D33</f>
        <v>-26364</v>
      </c>
      <c r="S36" s="44">
        <f>Q36-R36</f>
        <v>38972</v>
      </c>
    </row>
    <row r="37" spans="1:19" ht="12" customHeight="1" x14ac:dyDescent="0.2">
      <c r="A37" s="25" t="s">
        <v>39</v>
      </c>
      <c r="B37" s="29" t="s">
        <v>151</v>
      </c>
      <c r="D37" s="41"/>
      <c r="E37" s="81">
        <v>-757</v>
      </c>
      <c r="F37" s="81">
        <v>252</v>
      </c>
      <c r="G37" s="42"/>
      <c r="H37" s="42"/>
      <c r="I37" s="64">
        <f>SUM(D37:H37)</f>
        <v>-505</v>
      </c>
      <c r="J37" s="41"/>
      <c r="K37" s="42"/>
      <c r="L37" s="42">
        <f>SUM(I37:K37)</f>
        <v>-505</v>
      </c>
      <c r="M37" s="42">
        <f>ROUND(_xll.HPVAL($A37,$A$1,$A$2,$A$3,$A$4,$A$6)/1000,0)</f>
        <v>16142</v>
      </c>
      <c r="N37" s="83">
        <f>L37-M37</f>
        <v>-16647</v>
      </c>
      <c r="Q37" s="44">
        <f>M37-Expenses!E33-'CapChrg-AllocExp'!E34</f>
        <v>10598</v>
      </c>
      <c r="R37" s="44">
        <f>I37+J37-Expenses!D33-'CapChrg-AllocExp'!D34</f>
        <v>-4692</v>
      </c>
      <c r="S37" s="44">
        <f>Q37-R37</f>
        <v>15290</v>
      </c>
    </row>
    <row r="38" spans="1:19" ht="12.75" customHeight="1" x14ac:dyDescent="0.2">
      <c r="A38" s="25" t="s">
        <v>153</v>
      </c>
      <c r="B38" s="29" t="s">
        <v>180</v>
      </c>
      <c r="D38" s="41"/>
      <c r="E38" s="81">
        <f>-19642</f>
        <v>-19642</v>
      </c>
      <c r="F38" s="81">
        <f>754+1217</f>
        <v>1971</v>
      </c>
      <c r="G38" s="42"/>
      <c r="H38" s="42"/>
      <c r="I38" s="64">
        <f>SUM(D38:H38)</f>
        <v>-17671</v>
      </c>
      <c r="J38" s="41">
        <f>Greensheet!M88</f>
        <v>0</v>
      </c>
      <c r="K38" s="42"/>
      <c r="L38" s="42">
        <f>SUM(I38:K38)</f>
        <v>-17671</v>
      </c>
      <c r="M38" s="42">
        <f>ROUND(_xll.HPVAL($A38,$A$1,$A$2,$A$3,$A$4,$A$6)/1000,0)</f>
        <v>8222</v>
      </c>
      <c r="N38" s="83">
        <f>L38-M38</f>
        <v>-25893</v>
      </c>
      <c r="Q38" s="44">
        <f>M38-Expenses!E34-'CapChrg-AllocExp'!E35</f>
        <v>1900</v>
      </c>
      <c r="R38" s="44">
        <f>I38+J38-Expenses!D34-'CapChrg-AllocExp'!D35</f>
        <v>-22634</v>
      </c>
      <c r="S38" s="44">
        <f>Q38-R38</f>
        <v>24534</v>
      </c>
    </row>
    <row r="39" spans="1:19" ht="12.75" customHeight="1" x14ac:dyDescent="0.2">
      <c r="A39" s="25" t="s">
        <v>157</v>
      </c>
      <c r="B39" s="29" t="s">
        <v>154</v>
      </c>
      <c r="D39" s="41"/>
      <c r="E39" s="81">
        <v>-6308</v>
      </c>
      <c r="F39" s="81">
        <v>2588</v>
      </c>
      <c r="G39" s="42"/>
      <c r="H39" s="42"/>
      <c r="I39" s="64">
        <f>SUM(D39:H39)</f>
        <v>-3720</v>
      </c>
      <c r="J39" s="41"/>
      <c r="K39" s="42"/>
      <c r="L39" s="42">
        <f>SUM(I39:K39)</f>
        <v>-3720</v>
      </c>
      <c r="M39" s="42">
        <f>ROUND(_xll.HPVAL($A39,$A$1,$A$2,$A$3,$A$4,$A$6)/1000,0)</f>
        <v>6483</v>
      </c>
      <c r="N39" s="83">
        <f>L39-M39</f>
        <v>-10203</v>
      </c>
      <c r="Q39" s="135">
        <f>M39-Expenses!E35-'CapChrg-AllocExp'!E37</f>
        <v>-1561</v>
      </c>
      <c r="R39" s="135">
        <f>I39+J39-Expenses!D35-'CapChrg-AllocExp'!D37</f>
        <v>-11685</v>
      </c>
      <c r="S39" s="44">
        <f>Q39-R39</f>
        <v>10124</v>
      </c>
    </row>
    <row r="40" spans="1:19" ht="12" customHeight="1" x14ac:dyDescent="0.2">
      <c r="B40" s="29" t="s">
        <v>154</v>
      </c>
      <c r="D40" s="41">
        <f>SUM(D38:D39)</f>
        <v>0</v>
      </c>
      <c r="E40" s="81">
        <f>SUM(E38:E39)</f>
        <v>-25950</v>
      </c>
      <c r="F40" s="81">
        <f>SUM(F38:F39)</f>
        <v>4559</v>
      </c>
      <c r="G40" s="81">
        <f>SUM(G38:G39)</f>
        <v>0</v>
      </c>
      <c r="H40" s="42">
        <f>SUM(H38:H39)</f>
        <v>0</v>
      </c>
      <c r="I40" s="64">
        <f>SUM(D40:H40)</f>
        <v>-21391</v>
      </c>
      <c r="J40" s="41"/>
      <c r="K40" s="42">
        <f>SUM(K38:K39)</f>
        <v>0</v>
      </c>
      <c r="L40" s="42">
        <f>SUM(I40:K40)</f>
        <v>-21391</v>
      </c>
      <c r="M40" s="42">
        <f>SUM(M38:M39)</f>
        <v>14705</v>
      </c>
      <c r="N40" s="83">
        <f>SUM(N38:N39)</f>
        <v>-36096</v>
      </c>
      <c r="Q40" s="44"/>
      <c r="R40" s="44"/>
      <c r="S40" s="44"/>
    </row>
    <row r="41" spans="1:19" ht="3" customHeight="1" x14ac:dyDescent="0.2">
      <c r="B41" s="45"/>
      <c r="D41" s="46"/>
      <c r="E41" s="47"/>
      <c r="F41" s="47"/>
      <c r="G41" s="47"/>
      <c r="H41" s="47"/>
      <c r="I41" s="46"/>
      <c r="J41" s="46"/>
      <c r="K41" s="47"/>
      <c r="L41" s="47"/>
      <c r="M41" s="47"/>
      <c r="N41" s="126"/>
    </row>
    <row r="42" spans="1:19" s="90" customFormat="1" ht="12" customHeight="1" x14ac:dyDescent="0.3">
      <c r="B42" s="106" t="s">
        <v>87</v>
      </c>
      <c r="C42" s="91"/>
      <c r="D42" s="99">
        <f t="shared" ref="D42:N42" si="7">SUM(D36:D39)</f>
        <v>0</v>
      </c>
      <c r="E42" s="100">
        <f>E36+E37+E40</f>
        <v>-51626</v>
      </c>
      <c r="F42" s="100">
        <f>F36+F37+F40</f>
        <v>4908</v>
      </c>
      <c r="G42" s="100">
        <f t="shared" si="7"/>
        <v>0</v>
      </c>
      <c r="H42" s="100">
        <f t="shared" si="7"/>
        <v>0</v>
      </c>
      <c r="I42" s="99">
        <f t="shared" si="7"/>
        <v>-46718</v>
      </c>
      <c r="J42" s="99">
        <f t="shared" si="7"/>
        <v>0</v>
      </c>
      <c r="K42" s="100">
        <f t="shared" si="7"/>
        <v>0</v>
      </c>
      <c r="L42" s="100">
        <f>L36+L37+L40</f>
        <v>-46718</v>
      </c>
      <c r="M42" s="100">
        <f>M36+M37+M40</f>
        <v>46232</v>
      </c>
      <c r="N42" s="102">
        <f t="shared" si="7"/>
        <v>-92950</v>
      </c>
      <c r="Q42" s="100">
        <f>SUM(Q36:Q40)</f>
        <v>23545</v>
      </c>
      <c r="R42" s="100">
        <f>SUM(R36:R40)</f>
        <v>-65375</v>
      </c>
      <c r="S42" s="100">
        <f>SUM(S36:S40)</f>
        <v>88920</v>
      </c>
    </row>
    <row r="43" spans="1:19" ht="3" customHeight="1" x14ac:dyDescent="0.2">
      <c r="B43" s="29"/>
      <c r="D43" s="104"/>
      <c r="E43" s="81"/>
      <c r="F43" s="81"/>
      <c r="G43" s="81"/>
      <c r="H43" s="81"/>
      <c r="I43" s="105"/>
      <c r="J43" s="104"/>
      <c r="K43" s="81"/>
      <c r="L43" s="81"/>
      <c r="M43" s="81"/>
      <c r="N43" s="127"/>
    </row>
    <row r="44" spans="1:19" ht="12" customHeight="1" x14ac:dyDescent="0.2">
      <c r="A44" s="25" t="s">
        <v>82</v>
      </c>
      <c r="B44" s="29" t="s">
        <v>8</v>
      </c>
      <c r="D44" s="41"/>
      <c r="E44" s="42"/>
      <c r="F44" s="42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2500</v>
      </c>
      <c r="N44" s="83">
        <f>L44-M44</f>
        <v>-2500</v>
      </c>
      <c r="Q44" s="135">
        <f>M44-Expenses!E39-'CapChrg-AllocExp'!E40</f>
        <v>-3484</v>
      </c>
      <c r="R44" s="135">
        <f>I44+J44-Expenses!D39-'CapChrg-AllocExp'!D40</f>
        <v>-5984</v>
      </c>
      <c r="S44" s="44">
        <f>Q44-R44</f>
        <v>2500</v>
      </c>
    </row>
    <row r="45" spans="1:19" ht="3" customHeight="1" x14ac:dyDescent="0.2">
      <c r="B45" s="29"/>
      <c r="D45" s="41"/>
      <c r="E45" s="42"/>
      <c r="F45" s="42"/>
      <c r="G45" s="42"/>
      <c r="H45" s="42"/>
      <c r="I45" s="64"/>
      <c r="J45" s="41"/>
      <c r="K45" s="42"/>
      <c r="L45" s="42"/>
      <c r="M45" s="42"/>
      <c r="N45" s="83"/>
    </row>
    <row r="46" spans="1:19" ht="12" customHeight="1" x14ac:dyDescent="0.2">
      <c r="A46" s="25" t="s">
        <v>44</v>
      </c>
      <c r="B46" s="29" t="s">
        <v>7</v>
      </c>
      <c r="D46" s="41"/>
      <c r="E46" s="42"/>
      <c r="F46" s="42"/>
      <c r="G46" s="42"/>
      <c r="H46" s="42"/>
      <c r="I46" s="64">
        <f>SUM(D46:H46)</f>
        <v>0</v>
      </c>
      <c r="J46" s="41"/>
      <c r="K46" s="42"/>
      <c r="L46" s="42">
        <f>SUM(I46:K46)</f>
        <v>0</v>
      </c>
      <c r="M46" s="42"/>
      <c r="N46" s="83">
        <f>L46-M46</f>
        <v>0</v>
      </c>
      <c r="Q46" s="44"/>
      <c r="R46" s="44"/>
      <c r="S46" s="44"/>
    </row>
    <row r="47" spans="1:19" ht="3" customHeight="1" x14ac:dyDescent="0.2">
      <c r="B47" s="76"/>
      <c r="D47" s="77"/>
      <c r="E47" s="67"/>
      <c r="F47" s="67"/>
      <c r="G47" s="67"/>
      <c r="H47" s="67"/>
      <c r="I47" s="46"/>
      <c r="J47" s="77"/>
      <c r="K47" s="67"/>
      <c r="L47" s="67"/>
      <c r="M47" s="67"/>
      <c r="N47" s="126"/>
    </row>
    <row r="48" spans="1:19" ht="12" customHeight="1" x14ac:dyDescent="0.2">
      <c r="A48" s="25" t="s">
        <v>46</v>
      </c>
      <c r="B48" s="29" t="s">
        <v>18</v>
      </c>
      <c r="D48" s="41"/>
      <c r="E48" s="42"/>
      <c r="F48" s="42">
        <v>-19367</v>
      </c>
      <c r="G48" s="42"/>
      <c r="H48" s="42"/>
      <c r="I48" s="64">
        <f>SUM(D48:H48)</f>
        <v>-19367</v>
      </c>
      <c r="J48" s="41"/>
      <c r="K48" s="42"/>
      <c r="L48" s="42">
        <f>SUM(I48:K48)</f>
        <v>-19367</v>
      </c>
      <c r="M48" s="42">
        <f>ROUND(_xll.HPVAL($A48,$A$1,$A$2,$A$3,$A$4,$A$6)/1000,0)</f>
        <v>-10795</v>
      </c>
      <c r="N48" s="83">
        <f>L48-M48</f>
        <v>-8572</v>
      </c>
      <c r="S48" s="44"/>
    </row>
    <row r="49" spans="2:19" ht="3" customHeight="1" x14ac:dyDescent="0.2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26"/>
    </row>
    <row r="50" spans="2:19" ht="12" customHeight="1" x14ac:dyDescent="0.2">
      <c r="B50" s="29" t="s">
        <v>19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>
        <v>38074</v>
      </c>
      <c r="N50" s="83">
        <f>L50-M50</f>
        <v>-38074</v>
      </c>
      <c r="S50" s="44"/>
    </row>
    <row r="51" spans="2:19" ht="3" customHeight="1" x14ac:dyDescent="0.2">
      <c r="B51" s="29"/>
      <c r="D51" s="41"/>
      <c r="E51" s="42"/>
      <c r="F51" s="42"/>
      <c r="G51" s="42"/>
      <c r="H51" s="42"/>
      <c r="I51" s="64"/>
      <c r="J51" s="41"/>
      <c r="K51" s="42"/>
      <c r="L51" s="42"/>
      <c r="M51" s="42"/>
      <c r="N51" s="83"/>
    </row>
    <row r="52" spans="2:19" ht="12" customHeight="1" x14ac:dyDescent="0.3">
      <c r="B52" s="75" t="s">
        <v>14</v>
      </c>
      <c r="D52" s="95">
        <f t="shared" ref="D52:N52" si="8">SUM(D42:D50)+D34+D28+D20</f>
        <v>22199</v>
      </c>
      <c r="E52" s="96">
        <f t="shared" si="8"/>
        <v>-50535</v>
      </c>
      <c r="F52" s="96">
        <f t="shared" si="8"/>
        <v>-9313</v>
      </c>
      <c r="G52" s="96">
        <f t="shared" si="8"/>
        <v>17549</v>
      </c>
      <c r="H52" s="96">
        <f t="shared" si="8"/>
        <v>0</v>
      </c>
      <c r="I52" s="95">
        <f t="shared" si="8"/>
        <v>-20100</v>
      </c>
      <c r="J52" s="95">
        <f t="shared" si="8"/>
        <v>0</v>
      </c>
      <c r="K52" s="96">
        <f t="shared" si="8"/>
        <v>0</v>
      </c>
      <c r="L52" s="96">
        <f t="shared" si="8"/>
        <v>-20100</v>
      </c>
      <c r="M52" s="96">
        <f t="shared" si="8"/>
        <v>386259</v>
      </c>
      <c r="N52" s="98">
        <f t="shared" si="8"/>
        <v>-406359</v>
      </c>
    </row>
    <row r="53" spans="2:19" ht="3" customHeight="1" x14ac:dyDescent="0.2">
      <c r="B53" s="48"/>
      <c r="D53" s="49"/>
      <c r="E53" s="50"/>
      <c r="F53" s="50"/>
      <c r="G53" s="50"/>
      <c r="H53" s="50"/>
      <c r="I53" s="49"/>
      <c r="J53" s="49"/>
      <c r="K53" s="50"/>
      <c r="L53" s="50"/>
      <c r="M53" s="50"/>
      <c r="N53" s="128"/>
    </row>
    <row r="54" spans="2:19" x14ac:dyDescent="0.2">
      <c r="B54" s="27" t="s">
        <v>141</v>
      </c>
      <c r="C54" s="136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</row>
    <row r="55" spans="2:19" x14ac:dyDescent="0.2">
      <c r="D55" s="44">
        <f>SUM(D52:D54)</f>
        <v>22199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</row>
    <row r="56" spans="2:19" x14ac:dyDescent="0.2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2:19" x14ac:dyDescent="0.2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2:19" x14ac:dyDescent="0.2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2:19" x14ac:dyDescent="0.2">
      <c r="B59" s="177" t="s">
        <v>127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2:19" x14ac:dyDescent="0.2">
      <c r="B60" s="27" t="s">
        <v>3</v>
      </c>
      <c r="D60" s="44">
        <f>D10+D14+D31+D32</f>
        <v>30727</v>
      </c>
    </row>
    <row r="61" spans="2:19" x14ac:dyDescent="0.2">
      <c r="B61" s="27" t="s">
        <v>128</v>
      </c>
      <c r="D61" s="44">
        <f>D15+D16+D17+D24</f>
        <v>-1416</v>
      </c>
    </row>
    <row r="74" spans="1:1" x14ac:dyDescent="0.2">
      <c r="A74" s="27"/>
    </row>
    <row r="75" spans="1:1" x14ac:dyDescent="0.2">
      <c r="A75" s="27"/>
    </row>
    <row r="76" spans="1:1" x14ac:dyDescent="0.2">
      <c r="A76" s="27"/>
    </row>
    <row r="77" spans="1:1" x14ac:dyDescent="0.2">
      <c r="A77" s="27"/>
    </row>
    <row r="78" spans="1:1" x14ac:dyDescent="0.2">
      <c r="A78" s="27"/>
    </row>
    <row r="79" spans="1:1" x14ac:dyDescent="0.2">
      <c r="A79" s="27"/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Hotlist - Completed</vt:lpstr>
      <vt:lpstr>Expenses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'Hotlist - Completed'!Print_Area</vt:lpstr>
      <vt:lpstr>'Old Mgmt Summary'!Print_Area</vt:lpstr>
      <vt:lpstr>'QTD Mgmt Summary'!Print_Area</vt:lpstr>
      <vt:lpstr>'Summary YTD'!Print_Area</vt:lpstr>
      <vt:lpstr>'Summary YTD-Qtr'!Print_Area</vt:lpstr>
      <vt:lpstr>Greensheet!Print_Titles</vt:lpstr>
      <vt:lpstr>'Hotlist - Completed'!Print_Titles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2000-04-17T14:58:12Z</cp:lastPrinted>
  <dcterms:created xsi:type="dcterms:W3CDTF">1999-10-18T12:36:30Z</dcterms:created>
  <dcterms:modified xsi:type="dcterms:W3CDTF">2023-09-10T16:03:28Z</dcterms:modified>
</cp:coreProperties>
</file>