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firstSheet="1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purchases'!$A$2:$AW$15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H21" i="8"/>
  <c r="I21" i="8"/>
  <c r="H22" i="8"/>
  <c r="I22" i="8"/>
  <c r="B23" i="8"/>
  <c r="D23" i="8"/>
  <c r="H23" i="8"/>
  <c r="I23" i="8"/>
  <c r="B24" i="8"/>
  <c r="D24" i="8"/>
  <c r="B25" i="8"/>
  <c r="D25" i="8"/>
  <c r="B26" i="8"/>
  <c r="D26" i="8"/>
  <c r="H26" i="8"/>
  <c r="I26" i="8"/>
  <c r="H27" i="8"/>
  <c r="I27" i="8"/>
  <c r="B28" i="8"/>
  <c r="C28" i="8"/>
  <c r="D28" i="8"/>
  <c r="H28" i="8"/>
  <c r="I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4" i="8"/>
  <c r="C44" i="8"/>
  <c r="D44" i="8"/>
  <c r="F44" i="8"/>
  <c r="G44" i="8"/>
  <c r="H44" i="8"/>
  <c r="B46" i="8"/>
  <c r="C46" i="8"/>
  <c r="D46" i="8"/>
  <c r="F46" i="8"/>
  <c r="G46" i="8"/>
  <c r="H46" i="8"/>
  <c r="B48" i="8"/>
  <c r="C48" i="8"/>
  <c r="D48" i="8"/>
  <c r="F48" i="8"/>
  <c r="G48" i="8"/>
  <c r="H48" i="8"/>
  <c r="B50" i="8"/>
  <c r="C50" i="8"/>
  <c r="D50" i="8"/>
  <c r="F50" i="8"/>
  <c r="G50" i="8"/>
  <c r="H50" i="8"/>
  <c r="B52" i="8"/>
  <c r="C52" i="8"/>
  <c r="D52" i="8"/>
  <c r="B54" i="8"/>
  <c r="C54" i="8"/>
  <c r="D54" i="8"/>
  <c r="B56" i="8"/>
  <c r="C56" i="8"/>
  <c r="D56" i="8"/>
  <c r="B60" i="8"/>
  <c r="C60" i="8"/>
  <c r="D60" i="8"/>
  <c r="F60" i="8"/>
  <c r="G60" i="8"/>
  <c r="H60" i="8"/>
  <c r="B61" i="8"/>
  <c r="C61" i="8"/>
  <c r="D61" i="8"/>
  <c r="F61" i="8"/>
  <c r="G61" i="8"/>
  <c r="H61" i="8"/>
  <c r="B62" i="8"/>
  <c r="C62" i="8"/>
  <c r="D62" i="8"/>
  <c r="F62" i="8"/>
  <c r="G62" i="8"/>
  <c r="H62" i="8"/>
  <c r="B63" i="8"/>
  <c r="C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F69" i="8"/>
  <c r="G69" i="8"/>
  <c r="H69" i="8"/>
  <c r="B71" i="8"/>
  <c r="C71" i="8"/>
  <c r="D71" i="8"/>
  <c r="B73" i="8"/>
  <c r="C73" i="8"/>
  <c r="D73" i="8"/>
  <c r="B75" i="8"/>
  <c r="C75" i="8"/>
  <c r="D75" i="8"/>
  <c r="B81" i="8"/>
  <c r="C81" i="8"/>
  <c r="B82" i="8"/>
  <c r="C82" i="8"/>
  <c r="D82" i="8"/>
  <c r="B83" i="8"/>
  <c r="C83" i="8"/>
  <c r="D83" i="8"/>
  <c r="B84" i="8"/>
  <c r="C84" i="8"/>
  <c r="D84" i="8"/>
  <c r="B87" i="8"/>
  <c r="C87" i="8"/>
  <c r="D87" i="8"/>
  <c r="B88" i="8"/>
  <c r="C88" i="8"/>
  <c r="D88" i="8"/>
  <c r="B94" i="8"/>
  <c r="C94" i="8"/>
  <c r="D94" i="8"/>
  <c r="B96" i="8"/>
  <c r="C96" i="8"/>
  <c r="D96" i="8"/>
  <c r="B98" i="8"/>
  <c r="C98" i="8"/>
  <c r="D98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O6" i="6"/>
  <c r="R6" i="6"/>
  <c r="T6" i="6"/>
  <c r="U6" i="6"/>
  <c r="AA6" i="6"/>
  <c r="AD6" i="6"/>
  <c r="E7" i="6"/>
  <c r="I7" i="6"/>
  <c r="K7" i="6"/>
  <c r="AU7" i="6"/>
  <c r="AV7" i="6"/>
  <c r="AW7" i="6"/>
  <c r="E8" i="6"/>
  <c r="I8" i="6"/>
  <c r="K8" i="6"/>
  <c r="N8" i="6"/>
  <c r="O8" i="6"/>
  <c r="Q8" i="6"/>
  <c r="R8" i="6"/>
  <c r="Z8" i="6"/>
  <c r="AA8" i="6"/>
  <c r="AC8" i="6"/>
  <c r="AD8" i="6"/>
  <c r="AU8" i="6"/>
  <c r="AV8" i="6"/>
  <c r="AW8" i="6"/>
  <c r="E9" i="6"/>
  <c r="I9" i="6"/>
  <c r="K9" i="6"/>
  <c r="N9" i="6"/>
  <c r="O9" i="6"/>
  <c r="Q9" i="6"/>
  <c r="R9" i="6"/>
  <c r="Z9" i="6"/>
  <c r="AA9" i="6"/>
  <c r="AC9" i="6"/>
  <c r="AD9" i="6"/>
  <c r="AU9" i="6"/>
  <c r="AV9" i="6"/>
  <c r="AW9" i="6"/>
  <c r="B10" i="6"/>
  <c r="E10" i="6"/>
  <c r="I10" i="6"/>
  <c r="K10" i="6"/>
  <c r="N10" i="6"/>
  <c r="O10" i="6"/>
  <c r="Q10" i="6"/>
  <c r="R10" i="6"/>
  <c r="Z10" i="6"/>
  <c r="AA10" i="6"/>
  <c r="AC10" i="6"/>
  <c r="AD10" i="6"/>
  <c r="AU10" i="6"/>
  <c r="AV10" i="6"/>
  <c r="AW10" i="6"/>
  <c r="B11" i="6"/>
  <c r="E11" i="6"/>
  <c r="I11" i="6"/>
  <c r="K11" i="6"/>
  <c r="N11" i="6"/>
  <c r="O11" i="6"/>
  <c r="Q11" i="6"/>
  <c r="R11" i="6"/>
  <c r="Z11" i="6"/>
  <c r="AA11" i="6"/>
  <c r="AC11" i="6"/>
  <c r="AD11" i="6"/>
  <c r="AU11" i="6"/>
  <c r="AV11" i="6"/>
  <c r="AW11" i="6"/>
  <c r="B12" i="6"/>
  <c r="E12" i="6"/>
  <c r="I12" i="6"/>
  <c r="K12" i="6"/>
  <c r="N12" i="6"/>
  <c r="O12" i="6"/>
  <c r="Q12" i="6"/>
  <c r="R12" i="6"/>
  <c r="Z12" i="6"/>
  <c r="AA12" i="6"/>
  <c r="AC12" i="6"/>
  <c r="AD12" i="6"/>
  <c r="AU12" i="6"/>
  <c r="AV12" i="6"/>
  <c r="AW12" i="6"/>
  <c r="B13" i="6"/>
  <c r="E13" i="6"/>
  <c r="I13" i="6"/>
  <c r="J13" i="6"/>
  <c r="K13" i="6"/>
  <c r="N13" i="6"/>
  <c r="O13" i="6"/>
  <c r="Q13" i="6"/>
  <c r="R13" i="6"/>
  <c r="Z13" i="6"/>
  <c r="AA13" i="6"/>
  <c r="AC13" i="6"/>
  <c r="AD13" i="6"/>
  <c r="AU13" i="6"/>
  <c r="AV13" i="6"/>
  <c r="AW13" i="6"/>
  <c r="B14" i="6"/>
  <c r="E14" i="6"/>
  <c r="I14" i="6"/>
  <c r="K14" i="6"/>
  <c r="N14" i="6"/>
  <c r="O14" i="6"/>
  <c r="Q14" i="6"/>
  <c r="R14" i="6"/>
  <c r="Z14" i="6"/>
  <c r="AA14" i="6"/>
  <c r="AC14" i="6"/>
  <c r="AD14" i="6"/>
  <c r="AU14" i="6"/>
  <c r="AV14" i="6"/>
  <c r="AW14" i="6"/>
  <c r="B15" i="6"/>
  <c r="E15" i="6"/>
  <c r="I15" i="6"/>
  <c r="K15" i="6"/>
  <c r="N15" i="6"/>
  <c r="O15" i="6"/>
  <c r="Q15" i="6"/>
  <c r="R15" i="6"/>
  <c r="Z15" i="6"/>
  <c r="AA15" i="6"/>
  <c r="AC15" i="6"/>
  <c r="AD15" i="6"/>
  <c r="AU15" i="6"/>
  <c r="AV15" i="6"/>
  <c r="AW15" i="6"/>
  <c r="B16" i="6"/>
  <c r="E16" i="6"/>
  <c r="I16" i="6"/>
  <c r="K16" i="6"/>
  <c r="N16" i="6"/>
  <c r="O16" i="6"/>
  <c r="Q16" i="6"/>
  <c r="R16" i="6"/>
  <c r="Z16" i="6"/>
  <c r="AA16" i="6"/>
  <c r="AC16" i="6"/>
  <c r="AD16" i="6"/>
  <c r="AU16" i="6"/>
  <c r="AV16" i="6"/>
  <c r="AW16" i="6"/>
  <c r="B17" i="6"/>
  <c r="E17" i="6"/>
  <c r="I17" i="6"/>
  <c r="K17" i="6"/>
  <c r="N17" i="6"/>
  <c r="O17" i="6"/>
  <c r="Q17" i="6"/>
  <c r="R17" i="6"/>
  <c r="Z17" i="6"/>
  <c r="AA17" i="6"/>
  <c r="AC17" i="6"/>
  <c r="AD17" i="6"/>
  <c r="AU17" i="6"/>
  <c r="AV17" i="6"/>
  <c r="AW17" i="6"/>
  <c r="B18" i="6"/>
  <c r="E18" i="6"/>
  <c r="I18" i="6"/>
  <c r="K18" i="6"/>
  <c r="N18" i="6"/>
  <c r="O18" i="6"/>
  <c r="Q18" i="6"/>
  <c r="R18" i="6"/>
  <c r="Z18" i="6"/>
  <c r="AA18" i="6"/>
  <c r="AC18" i="6"/>
  <c r="AD18" i="6"/>
  <c r="AU18" i="6"/>
  <c r="AV18" i="6"/>
  <c r="AW18" i="6"/>
  <c r="B19" i="6"/>
  <c r="E19" i="6"/>
  <c r="I19" i="6"/>
  <c r="K19" i="6"/>
  <c r="N19" i="6"/>
  <c r="O19" i="6"/>
  <c r="Q19" i="6"/>
  <c r="R19" i="6"/>
  <c r="Z19" i="6"/>
  <c r="AA19" i="6"/>
  <c r="AC19" i="6"/>
  <c r="AD19" i="6"/>
  <c r="AU19" i="6"/>
  <c r="AV19" i="6"/>
  <c r="AW19" i="6"/>
  <c r="B20" i="6"/>
  <c r="E20" i="6"/>
  <c r="I20" i="6"/>
  <c r="K20" i="6"/>
  <c r="N20" i="6"/>
  <c r="O20" i="6"/>
  <c r="Q20" i="6"/>
  <c r="R20" i="6"/>
  <c r="Z20" i="6"/>
  <c r="AA20" i="6"/>
  <c r="AC20" i="6"/>
  <c r="AD20" i="6"/>
  <c r="AU20" i="6"/>
  <c r="AV20" i="6"/>
  <c r="AW20" i="6"/>
  <c r="B21" i="6"/>
  <c r="E21" i="6"/>
  <c r="I21" i="6"/>
  <c r="K21" i="6"/>
  <c r="N21" i="6"/>
  <c r="O21" i="6"/>
  <c r="Q21" i="6"/>
  <c r="R21" i="6"/>
  <c r="Z21" i="6"/>
  <c r="AA21" i="6"/>
  <c r="AC21" i="6"/>
  <c r="AD21" i="6"/>
  <c r="AU21" i="6"/>
  <c r="AV21" i="6"/>
  <c r="AW21" i="6"/>
  <c r="B22" i="6"/>
  <c r="E22" i="6"/>
  <c r="I22" i="6"/>
  <c r="K22" i="6"/>
  <c r="N22" i="6"/>
  <c r="O22" i="6"/>
  <c r="Q22" i="6"/>
  <c r="R22" i="6"/>
  <c r="Z22" i="6"/>
  <c r="AA22" i="6"/>
  <c r="AC22" i="6"/>
  <c r="AD22" i="6"/>
  <c r="AU22" i="6"/>
  <c r="AV22" i="6"/>
  <c r="AW22" i="6"/>
  <c r="B23" i="6"/>
  <c r="E23" i="6"/>
  <c r="I23" i="6"/>
  <c r="K23" i="6"/>
  <c r="N23" i="6"/>
  <c r="O23" i="6"/>
  <c r="Q23" i="6"/>
  <c r="R23" i="6"/>
  <c r="Z23" i="6"/>
  <c r="AA23" i="6"/>
  <c r="AC23" i="6"/>
  <c r="AD23" i="6"/>
  <c r="AU23" i="6"/>
  <c r="AV23" i="6"/>
  <c r="AW23" i="6"/>
  <c r="B24" i="6"/>
  <c r="E24" i="6"/>
  <c r="I24" i="6"/>
  <c r="K24" i="6"/>
  <c r="N24" i="6"/>
  <c r="O24" i="6"/>
  <c r="Q24" i="6"/>
  <c r="R24" i="6"/>
  <c r="Z24" i="6"/>
  <c r="AA24" i="6"/>
  <c r="AC24" i="6"/>
  <c r="AD24" i="6"/>
  <c r="AU24" i="6"/>
  <c r="AV24" i="6"/>
  <c r="AW24" i="6"/>
  <c r="B25" i="6"/>
  <c r="E25" i="6"/>
  <c r="I25" i="6"/>
  <c r="K25" i="6"/>
  <c r="N25" i="6"/>
  <c r="O25" i="6"/>
  <c r="Q25" i="6"/>
  <c r="R25" i="6"/>
  <c r="Z25" i="6"/>
  <c r="AA25" i="6"/>
  <c r="AC25" i="6"/>
  <c r="AD25" i="6"/>
  <c r="AU25" i="6"/>
  <c r="AV25" i="6"/>
  <c r="AW25" i="6"/>
  <c r="B26" i="6"/>
  <c r="E26" i="6"/>
  <c r="I26" i="6"/>
  <c r="K26" i="6"/>
  <c r="N26" i="6"/>
  <c r="O26" i="6"/>
  <c r="Q26" i="6"/>
  <c r="R26" i="6"/>
  <c r="Z26" i="6"/>
  <c r="AA26" i="6"/>
  <c r="AC26" i="6"/>
  <c r="AD26" i="6"/>
  <c r="AU26" i="6"/>
  <c r="AV26" i="6"/>
  <c r="AW26" i="6"/>
  <c r="B27" i="6"/>
  <c r="E27" i="6"/>
  <c r="I27" i="6"/>
  <c r="K27" i="6"/>
  <c r="N27" i="6"/>
  <c r="O27" i="6"/>
  <c r="Q27" i="6"/>
  <c r="R27" i="6"/>
  <c r="Z27" i="6"/>
  <c r="AA27" i="6"/>
  <c r="AC27" i="6"/>
  <c r="AD27" i="6"/>
  <c r="AU27" i="6"/>
  <c r="AV27" i="6"/>
  <c r="AW27" i="6"/>
  <c r="B28" i="6"/>
  <c r="E28" i="6"/>
  <c r="I28" i="6"/>
  <c r="K28" i="6"/>
  <c r="N28" i="6"/>
  <c r="O28" i="6"/>
  <c r="Q28" i="6"/>
  <c r="R28" i="6"/>
  <c r="Z28" i="6"/>
  <c r="AA28" i="6"/>
  <c r="AC28" i="6"/>
  <c r="AD28" i="6"/>
  <c r="AU28" i="6"/>
  <c r="AV28" i="6"/>
  <c r="AW28" i="6"/>
  <c r="B29" i="6"/>
  <c r="E29" i="6"/>
  <c r="I29" i="6"/>
  <c r="K29" i="6"/>
  <c r="N29" i="6"/>
  <c r="O29" i="6"/>
  <c r="Q29" i="6"/>
  <c r="R29" i="6"/>
  <c r="Z29" i="6"/>
  <c r="AA29" i="6"/>
  <c r="AC29" i="6"/>
  <c r="AD29" i="6"/>
  <c r="AU29" i="6"/>
  <c r="AV29" i="6"/>
  <c r="AW29" i="6"/>
  <c r="B30" i="6"/>
  <c r="E30" i="6"/>
  <c r="I30" i="6"/>
  <c r="K30" i="6"/>
  <c r="N30" i="6"/>
  <c r="O30" i="6"/>
  <c r="Q30" i="6"/>
  <c r="R30" i="6"/>
  <c r="Z30" i="6"/>
  <c r="AA30" i="6"/>
  <c r="AC30" i="6"/>
  <c r="AD30" i="6"/>
  <c r="AU30" i="6"/>
  <c r="AV30" i="6"/>
  <c r="AW30" i="6"/>
  <c r="B31" i="6"/>
  <c r="E31" i="6"/>
  <c r="I31" i="6"/>
  <c r="K31" i="6"/>
  <c r="N31" i="6"/>
  <c r="O31" i="6"/>
  <c r="Q31" i="6"/>
  <c r="R31" i="6"/>
  <c r="Z31" i="6"/>
  <c r="AA31" i="6"/>
  <c r="AC31" i="6"/>
  <c r="AD31" i="6"/>
  <c r="AU31" i="6"/>
  <c r="AV31" i="6"/>
  <c r="AW31" i="6"/>
  <c r="B32" i="6"/>
  <c r="E32" i="6"/>
  <c r="I32" i="6"/>
  <c r="K32" i="6"/>
  <c r="N32" i="6"/>
  <c r="O32" i="6"/>
  <c r="Q32" i="6"/>
  <c r="R32" i="6"/>
  <c r="Z32" i="6"/>
  <c r="AA32" i="6"/>
  <c r="AC32" i="6"/>
  <c r="AD32" i="6"/>
  <c r="AU32" i="6"/>
  <c r="AV32" i="6"/>
  <c r="AW32" i="6"/>
  <c r="B33" i="6"/>
  <c r="E33" i="6"/>
  <c r="I33" i="6"/>
  <c r="K33" i="6"/>
  <c r="N33" i="6"/>
  <c r="O33" i="6"/>
  <c r="Q33" i="6"/>
  <c r="R33" i="6"/>
  <c r="Z33" i="6"/>
  <c r="AA33" i="6"/>
  <c r="AC33" i="6"/>
  <c r="AD33" i="6"/>
  <c r="AU33" i="6"/>
  <c r="AV33" i="6"/>
  <c r="AW33" i="6"/>
  <c r="B34" i="6"/>
  <c r="E34" i="6"/>
  <c r="I34" i="6"/>
  <c r="K34" i="6"/>
  <c r="N34" i="6"/>
  <c r="O34" i="6"/>
  <c r="Q34" i="6"/>
  <c r="R34" i="6"/>
  <c r="Z34" i="6"/>
  <c r="AA34" i="6"/>
  <c r="AC34" i="6"/>
  <c r="AD34" i="6"/>
  <c r="AU34" i="6"/>
  <c r="AV34" i="6"/>
  <c r="AW34" i="6"/>
  <c r="B35" i="6"/>
  <c r="E35" i="6"/>
  <c r="I35" i="6"/>
  <c r="K35" i="6"/>
  <c r="N35" i="6"/>
  <c r="O35" i="6"/>
  <c r="Q35" i="6"/>
  <c r="R35" i="6"/>
  <c r="Z35" i="6"/>
  <c r="AA35" i="6"/>
  <c r="AC35" i="6"/>
  <c r="AD35" i="6"/>
  <c r="AU35" i="6"/>
  <c r="AV35" i="6"/>
  <c r="AW35" i="6"/>
  <c r="B36" i="6"/>
  <c r="E36" i="6"/>
  <c r="I36" i="6"/>
  <c r="K36" i="6"/>
  <c r="N36" i="6"/>
  <c r="O36" i="6"/>
  <c r="Q36" i="6"/>
  <c r="R36" i="6"/>
  <c r="Z36" i="6"/>
  <c r="AA36" i="6"/>
  <c r="AC36" i="6"/>
  <c r="AD36" i="6"/>
  <c r="AU36" i="6"/>
  <c r="AV36" i="6"/>
  <c r="AW36" i="6"/>
  <c r="B37" i="6"/>
  <c r="E37" i="6"/>
  <c r="I37" i="6"/>
  <c r="K37" i="6"/>
  <c r="N37" i="6"/>
  <c r="O37" i="6"/>
  <c r="Q37" i="6"/>
  <c r="R37" i="6"/>
  <c r="Z37" i="6"/>
  <c r="AA37" i="6"/>
  <c r="AC37" i="6"/>
  <c r="AD37" i="6"/>
  <c r="AU37" i="6"/>
  <c r="AV37" i="6"/>
  <c r="AW37" i="6"/>
  <c r="B38" i="6"/>
  <c r="E38" i="6"/>
  <c r="I38" i="6"/>
  <c r="K38" i="6"/>
  <c r="N38" i="6"/>
  <c r="O38" i="6"/>
  <c r="Q38" i="6"/>
  <c r="R38" i="6"/>
  <c r="Z38" i="6"/>
  <c r="AA38" i="6"/>
  <c r="AC38" i="6"/>
  <c r="AD38" i="6"/>
  <c r="AU38" i="6"/>
  <c r="AV38" i="6"/>
  <c r="AW38" i="6"/>
  <c r="B39" i="6"/>
  <c r="E39" i="6"/>
  <c r="I39" i="6"/>
  <c r="K39" i="6"/>
  <c r="N39" i="6"/>
  <c r="O39" i="6"/>
  <c r="Q39" i="6"/>
  <c r="R39" i="6"/>
  <c r="Z39" i="6"/>
  <c r="AA39" i="6"/>
  <c r="AC39" i="6"/>
  <c r="AD39" i="6"/>
  <c r="AU39" i="6"/>
  <c r="AV39" i="6"/>
  <c r="AW39" i="6"/>
  <c r="B40" i="6"/>
  <c r="E40" i="6"/>
  <c r="I40" i="6"/>
  <c r="K40" i="6"/>
  <c r="N40" i="6"/>
  <c r="O40" i="6"/>
  <c r="Q40" i="6"/>
  <c r="R40" i="6"/>
  <c r="Z40" i="6"/>
  <c r="AA40" i="6"/>
  <c r="AC40" i="6"/>
  <c r="AD40" i="6"/>
  <c r="AU40" i="6"/>
  <c r="AV40" i="6"/>
  <c r="AW40" i="6"/>
  <c r="B41" i="6"/>
  <c r="E41" i="6"/>
  <c r="I41" i="6"/>
  <c r="K41" i="6"/>
  <c r="N41" i="6"/>
  <c r="O41" i="6"/>
  <c r="Q41" i="6"/>
  <c r="R41" i="6"/>
  <c r="Z41" i="6"/>
  <c r="AA41" i="6"/>
  <c r="AC41" i="6"/>
  <c r="AD41" i="6"/>
  <c r="AU41" i="6"/>
  <c r="AV41" i="6"/>
  <c r="AW41" i="6"/>
  <c r="B42" i="6"/>
  <c r="E42" i="6"/>
  <c r="I42" i="6"/>
  <c r="K42" i="6"/>
  <c r="N42" i="6"/>
  <c r="O42" i="6"/>
  <c r="Q42" i="6"/>
  <c r="R42" i="6"/>
  <c r="Z42" i="6"/>
  <c r="AA42" i="6"/>
  <c r="AC42" i="6"/>
  <c r="AD42" i="6"/>
  <c r="AU42" i="6"/>
  <c r="AV42" i="6"/>
  <c r="AW42" i="6"/>
  <c r="B43" i="6"/>
  <c r="E43" i="6"/>
  <c r="I43" i="6"/>
  <c r="K43" i="6"/>
  <c r="N43" i="6"/>
  <c r="O43" i="6"/>
  <c r="Q43" i="6"/>
  <c r="R43" i="6"/>
  <c r="Z43" i="6"/>
  <c r="AA43" i="6"/>
  <c r="AC43" i="6"/>
  <c r="AD43" i="6"/>
  <c r="AU43" i="6"/>
  <c r="AV43" i="6"/>
  <c r="AW43" i="6"/>
  <c r="B44" i="6"/>
  <c r="E44" i="6"/>
  <c r="I44" i="6"/>
  <c r="K44" i="6"/>
  <c r="N44" i="6"/>
  <c r="O44" i="6"/>
  <c r="Q44" i="6"/>
  <c r="R44" i="6"/>
  <c r="Z44" i="6"/>
  <c r="AA44" i="6"/>
  <c r="AC44" i="6"/>
  <c r="AD44" i="6"/>
  <c r="AU44" i="6"/>
  <c r="AV44" i="6"/>
  <c r="AW44" i="6"/>
  <c r="B45" i="6"/>
  <c r="E45" i="6"/>
  <c r="I45" i="6"/>
  <c r="K45" i="6"/>
  <c r="N45" i="6"/>
  <c r="O45" i="6"/>
  <c r="Q45" i="6"/>
  <c r="R45" i="6"/>
  <c r="Z45" i="6"/>
  <c r="AA45" i="6"/>
  <c r="AC45" i="6"/>
  <c r="AD45" i="6"/>
  <c r="AU45" i="6"/>
  <c r="AV45" i="6"/>
  <c r="AW45" i="6"/>
  <c r="N47" i="6"/>
  <c r="O47" i="6"/>
  <c r="Q47" i="6"/>
  <c r="R47" i="6"/>
  <c r="Z47" i="6"/>
  <c r="AA47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H74" i="6"/>
  <c r="Y74" i="6"/>
  <c r="H75" i="6"/>
  <c r="Y75" i="6"/>
  <c r="H76" i="6"/>
  <c r="Y76" i="6"/>
  <c r="H77" i="6"/>
  <c r="Y77" i="6"/>
  <c r="H78" i="6"/>
  <c r="Y78" i="6"/>
  <c r="H79" i="6"/>
  <c r="Y79" i="6"/>
  <c r="H80" i="6"/>
  <c r="I80" i="6"/>
  <c r="J80" i="6"/>
  <c r="Y80" i="6"/>
  <c r="H81" i="6"/>
  <c r="I81" i="6"/>
  <c r="J81" i="6"/>
  <c r="Y81" i="6"/>
  <c r="H82" i="6"/>
  <c r="I82" i="6"/>
  <c r="J82" i="6"/>
  <c r="Y82" i="6"/>
  <c r="H83" i="6"/>
  <c r="I83" i="6"/>
  <c r="J83" i="6"/>
  <c r="Y83" i="6"/>
  <c r="H84" i="6"/>
  <c r="I84" i="6"/>
  <c r="J84" i="6"/>
  <c r="Y84" i="6"/>
  <c r="H85" i="6"/>
  <c r="I85" i="6"/>
  <c r="J85" i="6"/>
  <c r="Y85" i="6"/>
  <c r="H86" i="6"/>
  <c r="I86" i="6"/>
  <c r="J86" i="6"/>
  <c r="Y86" i="6"/>
  <c r="H87" i="6"/>
  <c r="I87" i="6"/>
  <c r="J87" i="6"/>
  <c r="Y87" i="6"/>
  <c r="H88" i="6"/>
  <c r="I88" i="6"/>
  <c r="J88" i="6"/>
  <c r="Y88" i="6"/>
  <c r="H89" i="6"/>
  <c r="I89" i="6"/>
  <c r="J89" i="6"/>
  <c r="Y89" i="6"/>
  <c r="H90" i="6"/>
  <c r="I90" i="6"/>
  <c r="J90" i="6"/>
  <c r="Y90" i="6"/>
  <c r="H91" i="6"/>
  <c r="I91" i="6"/>
  <c r="J91" i="6"/>
  <c r="Y91" i="6"/>
  <c r="H92" i="6"/>
  <c r="I92" i="6"/>
  <c r="J92" i="6"/>
  <c r="Y92" i="6"/>
  <c r="H93" i="6"/>
  <c r="I93" i="6"/>
  <c r="J93" i="6"/>
  <c r="Y93" i="6"/>
  <c r="H94" i="6"/>
  <c r="I94" i="6"/>
  <c r="J94" i="6"/>
  <c r="Y94" i="6"/>
  <c r="H95" i="6"/>
  <c r="I95" i="6"/>
  <c r="J95" i="6"/>
  <c r="Y95" i="6"/>
  <c r="H96" i="6"/>
  <c r="I96" i="6"/>
  <c r="J96" i="6"/>
  <c r="Y96" i="6"/>
  <c r="H97" i="6"/>
  <c r="I97" i="6"/>
  <c r="J97" i="6"/>
  <c r="Y97" i="6"/>
  <c r="H98" i="6"/>
  <c r="I98" i="6"/>
  <c r="J98" i="6"/>
  <c r="Y98" i="6"/>
  <c r="H99" i="6"/>
  <c r="I99" i="6"/>
  <c r="J99" i="6"/>
  <c r="Y99" i="6"/>
  <c r="H100" i="6"/>
  <c r="I100" i="6"/>
  <c r="J100" i="6"/>
  <c r="Y100" i="6"/>
  <c r="H101" i="6"/>
  <c r="I101" i="6"/>
  <c r="J101" i="6"/>
  <c r="Y101" i="6"/>
  <c r="H102" i="6"/>
  <c r="I102" i="6"/>
  <c r="J102" i="6"/>
  <c r="Y102" i="6"/>
  <c r="H103" i="6"/>
  <c r="I103" i="6"/>
  <c r="J103" i="6"/>
  <c r="Y103" i="6"/>
  <c r="H104" i="6"/>
  <c r="I104" i="6"/>
  <c r="J104" i="6"/>
  <c r="Y104" i="6"/>
  <c r="H105" i="6"/>
  <c r="I105" i="6"/>
  <c r="J105" i="6"/>
  <c r="Y105" i="6"/>
  <c r="H106" i="6"/>
  <c r="I106" i="6"/>
  <c r="J106" i="6"/>
  <c r="Y106" i="6"/>
  <c r="H107" i="6"/>
  <c r="I107" i="6"/>
  <c r="J107" i="6"/>
  <c r="Y107" i="6"/>
  <c r="H108" i="6"/>
  <c r="I108" i="6"/>
  <c r="J108" i="6"/>
  <c r="Y108" i="6"/>
  <c r="H109" i="6"/>
  <c r="I109" i="6"/>
  <c r="J109" i="6"/>
  <c r="Y109" i="6"/>
  <c r="H110" i="6"/>
  <c r="I110" i="6"/>
  <c r="J110" i="6"/>
  <c r="Y110" i="6"/>
  <c r="H111" i="6"/>
  <c r="I111" i="6"/>
  <c r="J111" i="6"/>
  <c r="Y111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U19" i="7"/>
  <c r="V19" i="7"/>
  <c r="C34" i="7"/>
  <c r="D34" i="7"/>
  <c r="F34" i="7"/>
  <c r="G34" i="7"/>
  <c r="I34" i="7"/>
  <c r="J34" i="7"/>
  <c r="L34" i="7"/>
  <c r="M34" i="7"/>
  <c r="O34" i="7"/>
  <c r="P34" i="7"/>
  <c r="R34" i="7"/>
  <c r="S34" i="7"/>
  <c r="U34" i="7"/>
  <c r="V34" i="7"/>
</calcChain>
</file>

<file path=xl/sharedStrings.xml><?xml version="1.0" encoding="utf-8"?>
<sst xmlns="http://schemas.openxmlformats.org/spreadsheetml/2006/main" count="1402" uniqueCount="410">
  <si>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</si>
  <si>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</si>
  <si>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</si>
  <si>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</si>
  <si>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</si>
  <si>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</si>
  <si>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</si>
  <si>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</si>
  <si>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</si>
  <si>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</si>
  <si>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</si>
  <si>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</si>
  <si>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</si>
  <si>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</si>
  <si>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</si>
  <si>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</si>
  <si>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</si>
  <si>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</si>
  <si>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</si>
  <si>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</si>
  <si>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</si>
  <si>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</si>
  <si>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</si>
  <si>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</si>
  <si>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</si>
  <si>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</si>
  <si>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</si>
  <si>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</si>
  <si>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</si>
  <si>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</si>
  <si>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</si>
  <si>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</si>
  <si>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</si>
  <si>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</si>
  <si>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</si>
  <si>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</si>
  <si>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</si>
  <si>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</si>
  <si>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</si>
  <si>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</si>
  <si>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</si>
  <si>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</si>
  <si>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</si>
  <si>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</si>
  <si>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</si>
  <si>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</si>
  <si>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</si>
  <si>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</si>
  <si>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</si>
  <si>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</si>
  <si>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</si>
  <si>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</si>
  <si>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</si>
  <si>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</si>
  <si>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</si>
  <si>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</si>
  <si>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</si>
  <si>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</si>
  <si>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</si>
  <si>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</si>
  <si>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</si>
  <si>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</si>
  <si>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</si>
  <si>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</si>
  <si>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</si>
  <si>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</si>
  <si>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</si>
  <si>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</si>
  <si>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</si>
  <si>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</si>
  <si>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</si>
  <si>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</si>
  <si>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</si>
  <si>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</si>
  <si>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</si>
  <si>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</si>
  <si>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</si>
  <si>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</si>
  <si>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</si>
  <si>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</si>
  <si>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</si>
  <si>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</si>
  <si>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</si>
  <si>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</si>
  <si>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</si>
  <si>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</si>
  <si>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</si>
  <si>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</si>
  <si>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</si>
  <si>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</si>
  <si>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</si>
  <si>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</si>
  <si>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</si>
  <si>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</si>
  <si>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</si>
  <si>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</si>
  <si>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</si>
  <si>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</si>
  <si>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</si>
  <si>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</si>
  <si>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</si>
  <si>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</si>
  <si>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</si>
  <si>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</si>
  <si>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</si>
  <si>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</si>
  <si>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</si>
  <si>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</si>
  <si>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</si>
  <si>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</si>
  <si>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</si>
  <si>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</si>
  <si>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</si>
  <si>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</si>
  <si>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</si>
  <si>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</si>
  <si>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</si>
  <si>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</si>
  <si>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</si>
  <si>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</si>
  <si>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</si>
  <si>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</si>
  <si>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</si>
  <si>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</si>
  <si>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</si>
  <si>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</si>
  <si>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</si>
  <si>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</si>
  <si>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</si>
  <si>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</si>
  <si>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</si>
  <si>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</si>
  <si>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</si>
  <si>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</si>
  <si>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</si>
  <si>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</si>
  <si>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</si>
  <si>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</si>
  <si>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</si>
  <si>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</si>
  <si>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</si>
  <si>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</si>
  <si>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</si>
  <si>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</si>
  <si>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</si>
  <si>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</si>
  <si>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</si>
  <si>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</si>
  <si>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</si>
  <si>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</si>
  <si>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</si>
  <si>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</si>
  <si>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</si>
  <si>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</si>
  <si>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</si>
  <si>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</si>
  <si>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</si>
  <si>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</si>
  <si>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</si>
  <si>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</si>
  <si>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</si>
  <si>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</si>
  <si>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</si>
  <si>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</si>
  <si>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</si>
  <si>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</si>
  <si>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</si>
  <si>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</si>
  <si>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</si>
  <si>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</si>
  <si>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</si>
  <si>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</si>
  <si>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</si>
  <si>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</si>
  <si>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</si>
  <si>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</si>
  <si>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</si>
  <si>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</si>
  <si>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</si>
  <si>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</si>
  <si>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</si>
  <si>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</si>
  <si>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</si>
  <si>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</si>
  <si>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</si>
  <si>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</si>
  <si>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</si>
  <si>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</si>
  <si>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</si>
  <si>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</si>
  <si>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</si>
  <si>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</si>
  <si>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</si>
  <si>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</si>
  <si>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</si>
  <si>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</si>
  <si>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</si>
  <si>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</si>
  <si>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</si>
  <si>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</si>
  <si>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</si>
  <si>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</si>
  <si>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</si>
  <si>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</si>
  <si>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</si>
  <si>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</si>
  <si>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</si>
  <si>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</si>
  <si>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</si>
  <si>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</si>
  <si>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</si>
  <si>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</si>
  <si>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</si>
  <si>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</si>
  <si>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</si>
  <si>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</si>
  <si>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</si>
  <si>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</si>
  <si>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</si>
  <si>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</si>
  <si>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</si>
  <si>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</si>
  <si>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</si>
  <si>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</si>
  <si>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</si>
  <si>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</si>
  <si>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</si>
  <si>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</si>
  <si>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</si>
  <si>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</si>
  <si>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</si>
  <si>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</si>
  <si>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</si>
  <si>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</si>
  <si>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</si>
  <si>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</si>
  <si>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</si>
  <si>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</si>
  <si>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</si>
  <si>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</si>
  <si>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</si>
  <si>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</si>
  <si>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</si>
  <si>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</si>
  <si>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</si>
  <si>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</si>
  <si>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</si>
  <si>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</si>
  <si>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</si>
  <si>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</si>
  <si>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</si>
  <si>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</si>
  <si>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</si>
  <si>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</si>
  <si>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</si>
  <si>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</si>
  <si>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</si>
  <si>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</si>
  <si>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</si>
  <si>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</si>
  <si>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</si>
  <si>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</si>
  <si>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</si>
  <si>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</si>
  <si>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</si>
  <si>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</si>
  <si>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</si>
  <si>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</si>
  <si>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</si>
  <si>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</si>
  <si>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</si>
  <si>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</si>
  <si>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</si>
  <si>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</si>
  <si>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</si>
  <si>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</si>
  <si>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</si>
  <si>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</si>
  <si>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</si>
  <si>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</si>
  <si>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</si>
  <si>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</si>
  <si>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</si>
  <si>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</si>
  <si>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</si>
  <si>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</si>
  <si>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</si>
  <si>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</si>
  <si>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</si>
  <si>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</si>
  <si>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</si>
  <si>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</si>
  <si>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</si>
  <si>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</si>
  <si>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</si>
  <si>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</si>
  <si>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</si>
  <si>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</si>
  <si>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</si>
  <si>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</si>
  <si>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</si>
  <si>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</si>
  <si>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</si>
  <si>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</si>
  <si>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</si>
  <si>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</si>
  <si>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</si>
  <si>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</si>
  <si>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</si>
  <si>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</si>
  <si>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</si>
  <si>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</si>
  <si>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</si>
  <si>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</si>
  <si>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</si>
  <si>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</si>
  <si>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</si>
  <si>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</si>
  <si>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</si>
  <si>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</si>
  <si>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</si>
  <si>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</si>
  <si>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</si>
  <si>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</si>
  <si>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</si>
  <si>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</si>
  <si>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</si>
  <si>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</si>
  <si>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</si>
  <si>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</si>
  <si>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</si>
  <si>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</si>
  <si>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</si>
  <si>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</si>
  <si>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</si>
  <si>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</si>
  <si>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</si>
  <si>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</si>
  <si>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</si>
  <si>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</si>
  <si>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</si>
  <si>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</si>
  <si>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</si>
  <si>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</si>
  <si>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</si>
  <si>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</si>
  <si>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</si>
  <si>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</si>
  <si>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</si>
  <si>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</si>
  <si>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</si>
  <si>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</si>
  <si>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</si>
  <si>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</si>
  <si>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</si>
  <si>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</si>
  <si>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</si>
  <si>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</si>
  <si>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</si>
  <si>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</si>
  <si>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</si>
  <si>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</si>
  <si>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</si>
  <si>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</si>
  <si>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</si>
  <si>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</si>
  <si>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</si>
  <si>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</si>
  <si>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</si>
  <si>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</si>
  <si>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</si>
  <si>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</si>
  <si>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</si>
  <si>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</si>
  <si>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</si>
  <si>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</si>
  <si>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</si>
  <si>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</si>
  <si>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</si>
  <si>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</si>
  <si>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</si>
  <si>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</si>
  <si>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</si>
  <si>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Under 20kW 25%/75% Scenario</t>
  </si>
  <si>
    <t>Under 20kW 50%/50% Scenario</t>
  </si>
  <si>
    <t>25%/75% Scenario</t>
  </si>
  <si>
    <t>1=25% of Over 20kW - Non-Core/75% of Over 20kW - Core</t>
  </si>
  <si>
    <t>0=50% of Over 20kW - Non-Core/50% of Over 20kW - Core</t>
  </si>
  <si>
    <t>REGION 11</t>
  </si>
  <si>
    <t>Bid</t>
  </si>
  <si>
    <t>Mid</t>
  </si>
  <si>
    <t>Offer</t>
  </si>
  <si>
    <t>($/MWH)</t>
  </si>
  <si>
    <t>Month</t>
  </si>
  <si>
    <t>SP 15 OFFER</t>
  </si>
  <si>
    <t>CONTRACTED %</t>
  </si>
  <si>
    <t>DELTA</t>
  </si>
  <si>
    <t>NON PEAK</t>
  </si>
  <si>
    <t>npv (5.6%+1.75%)</t>
  </si>
  <si>
    <t>COST AT PEAK</t>
  </si>
  <si>
    <t>COST AT SP 15</t>
  </si>
  <si>
    <t>SP 15 NON</t>
  </si>
  <si>
    <t>PEAK OFFER</t>
  </si>
  <si>
    <t xml:space="preserve">NON </t>
  </si>
  <si>
    <t>NON CONTRCT</t>
  </si>
  <si>
    <t>ORIGINAL</t>
  </si>
  <si>
    <t>ANNUAL CASH</t>
  </si>
  <si>
    <t>NEED</t>
  </si>
  <si>
    <t>COST AT  PEAK</t>
  </si>
  <si>
    <t>Share of Diff Between Mrkt Rates &amp; Future DWR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</si>
</sst>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182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0" fontId="0" fillId="0" borderId="0" xfId="2" applyNumberFormat="1" applyFont="1" applyAlignment="1">
      <alignment horizontal="center"/>
    </xf>
    <xf numFmtId="43" fontId="17" fillId="0" borderId="0" xfId="0" applyNumberFormat="1" applyFont="1" applyFill="1" applyBorder="1"/>
    <xf numFmtId="165" fontId="2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3.2"/>
  <cols>
    <col min="17" max="22" width="9.33203125" bestFit="1" customWidth="1"/>
    <col min="24" max="25" width="10.33203125" bestFit="1" customWidth="1"/>
    <col min="26" max="29" width="9.33203125" bestFit="1" customWidth="1"/>
  </cols>
  <sheetData>
    <row r="1" spans="1:30" ht="30">
      <c r="A1" s="164" t="s">
        <v>367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30" ht="30">
      <c r="A2" s="164" t="s">
        <v>357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5" t="s">
        <v>305</v>
      </c>
      <c r="C6" s="165"/>
      <c r="D6" s="165"/>
      <c r="E6" s="165"/>
      <c r="F6" s="165"/>
      <c r="G6" s="165"/>
      <c r="H6" s="165"/>
      <c r="I6" s="165"/>
      <c r="J6" s="165"/>
      <c r="K6" s="165"/>
      <c r="L6" s="165" t="s">
        <v>306</v>
      </c>
      <c r="M6" s="165"/>
      <c r="N6" s="165"/>
      <c r="S6" s="46" t="s">
        <v>368</v>
      </c>
      <c r="Z6" s="46" t="s">
        <v>369</v>
      </c>
    </row>
    <row r="7" spans="1:30" ht="39.6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63" t="s">
        <v>362</v>
      </c>
      <c r="G8" s="163"/>
      <c r="H8" s="163"/>
      <c r="I8" s="163"/>
      <c r="J8" s="163"/>
      <c r="K8" s="163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6.4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0"/>
  <sheetViews>
    <sheetView workbookViewId="0">
      <selection activeCell="F13" sqref="F13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12" width="14" style="23" customWidth="1"/>
    <col min="13" max="13" width="14" style="3" customWidth="1"/>
    <col min="14" max="14" width="16" style="3" customWidth="1"/>
    <col min="15" max="16" width="14" style="3" customWidth="1"/>
    <col min="17" max="17" width="16.33203125" style="3" customWidth="1"/>
    <col min="18" max="24" width="14" style="23" customWidth="1"/>
    <col min="25" max="25" width="14" style="3" customWidth="1"/>
    <col min="26" max="26" width="15.44140625" style="3" customWidth="1"/>
    <col min="27" max="29" width="14" style="3" customWidth="1"/>
    <col min="30" max="45" width="14" style="23" customWidth="1"/>
    <col min="46" max="46" width="8" style="23" customWidth="1"/>
    <col min="47" max="47" width="14.44140625" style="43" customWidth="1"/>
    <col min="48" max="48" width="16" style="3" customWidth="1"/>
    <col min="49" max="49" width="25.88671875" style="1" customWidth="1"/>
    <col min="50" max="50" width="12" bestFit="1" customWidth="1"/>
  </cols>
  <sheetData>
    <row r="1" spans="1:50">
      <c r="L1" s="161"/>
      <c r="M1" s="10" t="s">
        <v>121</v>
      </c>
      <c r="N1" s="10" t="s">
        <v>121</v>
      </c>
      <c r="O1" s="10"/>
      <c r="P1" s="10"/>
      <c r="Q1" s="10" t="s">
        <v>404</v>
      </c>
      <c r="R1" s="10" t="s">
        <v>403</v>
      </c>
      <c r="S1" s="3"/>
      <c r="T1" s="3"/>
      <c r="U1" s="3"/>
      <c r="V1" s="3"/>
      <c r="W1" s="3"/>
      <c r="Y1" s="3" t="s">
        <v>121</v>
      </c>
      <c r="Z1" s="3" t="s">
        <v>400</v>
      </c>
      <c r="AC1" s="3" t="s">
        <v>404</v>
      </c>
      <c r="AD1" s="3" t="s">
        <v>403</v>
      </c>
      <c r="AF1" s="23" t="s">
        <v>405</v>
      </c>
      <c r="AI1" s="3"/>
    </row>
    <row r="2" spans="1:50">
      <c r="L2" s="161"/>
      <c r="M2" s="10" t="s">
        <v>368</v>
      </c>
      <c r="N2" s="10" t="s">
        <v>399</v>
      </c>
      <c r="O2" s="10" t="s">
        <v>121</v>
      </c>
      <c r="P2" s="10"/>
      <c r="Q2" s="10" t="s">
        <v>408</v>
      </c>
      <c r="R2" s="10" t="s">
        <v>121</v>
      </c>
      <c r="S2" s="3"/>
      <c r="T2" s="3"/>
      <c r="U2" s="3"/>
      <c r="V2" s="3"/>
      <c r="W2" s="3"/>
      <c r="Y2" s="3" t="s">
        <v>397</v>
      </c>
      <c r="Z2" s="3" t="s">
        <v>401</v>
      </c>
      <c r="AA2" s="3" t="s">
        <v>121</v>
      </c>
      <c r="AC2" s="3" t="s">
        <v>399</v>
      </c>
      <c r="AD2" s="3" t="s">
        <v>121</v>
      </c>
      <c r="AE2" s="3"/>
      <c r="AF2" s="3" t="s">
        <v>406</v>
      </c>
      <c r="AI2" s="3"/>
    </row>
    <row r="3" spans="1:50">
      <c r="D3" s="41" t="s">
        <v>121</v>
      </c>
      <c r="H3" s="41" t="s">
        <v>126</v>
      </c>
      <c r="K3" s="161" t="s">
        <v>395</v>
      </c>
      <c r="L3" s="161"/>
      <c r="M3" s="10" t="s">
        <v>394</v>
      </c>
      <c r="N3" s="10" t="s">
        <v>394</v>
      </c>
      <c r="O3" s="10" t="s">
        <v>396</v>
      </c>
      <c r="P3" s="10"/>
      <c r="Q3" s="10" t="s">
        <v>394</v>
      </c>
      <c r="R3" s="10" t="s">
        <v>396</v>
      </c>
      <c r="S3" s="3"/>
      <c r="T3" s="3"/>
      <c r="U3" s="3"/>
      <c r="V3" s="3"/>
      <c r="W3" s="3"/>
      <c r="Y3" s="3" t="s">
        <v>394</v>
      </c>
      <c r="Z3" s="3" t="s">
        <v>402</v>
      </c>
      <c r="AA3" s="3" t="s">
        <v>396</v>
      </c>
      <c r="AC3" s="3" t="s">
        <v>394</v>
      </c>
      <c r="AD3" s="3" t="s">
        <v>396</v>
      </c>
      <c r="AE3" s="3"/>
      <c r="AF3" s="3" t="s">
        <v>407</v>
      </c>
      <c r="AH3" s="3"/>
      <c r="AI3" s="3"/>
      <c r="AV3" s="44" t="s">
        <v>128</v>
      </c>
    </row>
    <row r="5" spans="1:50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J5" s="3"/>
      <c r="K5" s="3"/>
      <c r="L5" s="3"/>
      <c r="R5" s="3"/>
      <c r="S5" s="3"/>
      <c r="T5" s="3"/>
      <c r="U5" s="3"/>
      <c r="V5" s="3"/>
      <c r="W5" s="3"/>
      <c r="X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43" t="s">
        <v>129</v>
      </c>
      <c r="AV5" s="3" t="s">
        <v>127</v>
      </c>
      <c r="AW5" s="1" t="s">
        <v>130</v>
      </c>
    </row>
    <row r="6" spans="1:50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  <c r="J6" s="3"/>
      <c r="K6" s="3"/>
      <c r="L6" s="3"/>
      <c r="N6" s="3" t="s">
        <v>398</v>
      </c>
      <c r="O6" s="3">
        <f>SUM(NPV(0.0735/4,O8:O45))</f>
        <v>-11956199.253948167</v>
      </c>
      <c r="R6" s="3">
        <f>SUM(NPV(0.0735/4,R8:R45))</f>
        <v>-8086921.0620589536</v>
      </c>
      <c r="S6" s="3"/>
      <c r="T6" s="3">
        <f>SUM(NPV(0.0735/4,T8:T45))</f>
        <v>0</v>
      </c>
      <c r="U6" s="3">
        <f>SUM(NPV(0.0735/4,U8:U45))</f>
        <v>0</v>
      </c>
      <c r="V6" s="3"/>
      <c r="W6" s="3"/>
      <c r="X6" s="3"/>
      <c r="Z6" s="3" t="s">
        <v>398</v>
      </c>
      <c r="AA6" s="3">
        <f>SUM(NPV(0.0735/4,AA8:AA45))</f>
        <v>-16102319.222882174</v>
      </c>
      <c r="AD6" s="3">
        <f>SUM(NPV(0.0735/4,AD8:AD45))</f>
        <v>-10169482.851803949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50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J7" s="3"/>
      <c r="K7" s="8">
        <f>+C7/(C7+G7)</f>
        <v>0.39505053272344964</v>
      </c>
      <c r="L7" s="3"/>
      <c r="R7" s="3"/>
      <c r="S7" s="3"/>
      <c r="T7" s="3"/>
      <c r="U7" s="3"/>
      <c r="V7" s="3"/>
      <c r="W7" s="3"/>
      <c r="X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U7" s="43">
        <f>+E7-I7</f>
        <v>-210.93998128655269</v>
      </c>
      <c r="AV7" s="3">
        <f>+(C7*(E7-I7))/1000</f>
        <v>-1441781.1002930263</v>
      </c>
      <c r="AW7" s="45">
        <f>(AW6*1.01625)+AV7</f>
        <v>-1441781.1002930263</v>
      </c>
      <c r="AX7" s="42"/>
    </row>
    <row r="8" spans="1:50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J8" s="3"/>
      <c r="K8" s="8">
        <f t="shared" ref="K8:K45" si="2">+C8/(C8+G8)</f>
        <v>0.38780405845609567</v>
      </c>
      <c r="L8" s="3"/>
      <c r="M8" s="3">
        <v>97.666666666666671</v>
      </c>
      <c r="N8" s="3">
        <f>+M8*C8/1000</f>
        <v>804888.6776666668</v>
      </c>
      <c r="O8" s="3">
        <f>+N8-D8</f>
        <v>-334468.3223333332</v>
      </c>
      <c r="Q8" s="3">
        <f>+M8*G8/1000</f>
        <v>1270614.8146666668</v>
      </c>
      <c r="R8" s="3">
        <f>+Q8-H8</f>
        <v>-1262858.1853333332</v>
      </c>
      <c r="S8" s="3"/>
      <c r="T8" s="3"/>
      <c r="U8" s="3"/>
      <c r="V8" s="3"/>
      <c r="W8" s="3"/>
      <c r="X8" s="3"/>
      <c r="Y8" s="3">
        <v>70.647311827956983</v>
      </c>
      <c r="Z8" s="3">
        <f>+Y8*C8/1000</f>
        <v>582217.28393763432</v>
      </c>
      <c r="AA8" s="3">
        <f>+Z8-D8</f>
        <v>-557139.71606236568</v>
      </c>
      <c r="AC8" s="3">
        <f>+Y8*G8/1000</f>
        <v>919100.89786666655</v>
      </c>
      <c r="AD8" s="3">
        <f>+AC8-H8</f>
        <v>-1614372.1021333335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U8" s="43">
        <f t="shared" ref="AU8:AU45" si="3">+E8-I8</f>
        <v>-56.4854491471431</v>
      </c>
      <c r="AV8" s="3">
        <f t="shared" ref="AV8:AV45" si="4">+(C8*(E8-I8))/1000</f>
        <v>-465506.81028790196</v>
      </c>
      <c r="AW8" s="45">
        <f>(AW7*1.01625)+AV8</f>
        <v>-1930716.85346069</v>
      </c>
    </row>
    <row r="9" spans="1:50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J9" s="3"/>
      <c r="K9" s="8">
        <f t="shared" si="2"/>
        <v>0.43348054133522956</v>
      </c>
      <c r="L9" s="3"/>
      <c r="M9" s="3">
        <v>71.666666666666671</v>
      </c>
      <c r="N9" s="3">
        <f t="shared" ref="N9:N45" si="5">+M9*C9/1000</f>
        <v>543486.60333333339</v>
      </c>
      <c r="O9" s="3">
        <f t="shared" ref="O9:O45" si="6">+N9-D9</f>
        <v>-400098.39666666661</v>
      </c>
      <c r="Q9" s="3">
        <f t="shared" ref="Q9:Q45" si="7">+M9*G9/1000</f>
        <v>710287.33</v>
      </c>
      <c r="R9" s="3">
        <f t="shared" ref="R9:R45" si="8">+Q9-H9</f>
        <v>-1435220.67</v>
      </c>
      <c r="S9" s="3"/>
      <c r="T9" s="3"/>
      <c r="U9" s="3"/>
      <c r="V9" s="3"/>
      <c r="W9" s="3"/>
      <c r="X9" s="3"/>
      <c r="Y9" s="3">
        <v>56.223118279569896</v>
      </c>
      <c r="Z9" s="3">
        <f t="shared" ref="Z9:Z45" si="9">+Y9*C9/1000</f>
        <v>426369.9290591398</v>
      </c>
      <c r="AA9" s="3">
        <f t="shared" ref="AA9:AA45" si="10">+Z9-D9</f>
        <v>-517215.0709408602</v>
      </c>
      <c r="AC9" s="3">
        <f t="shared" ref="AC9:AC45" si="11">+Y9*G9/1000</f>
        <v>557226.53814516123</v>
      </c>
      <c r="AD9" s="3">
        <f t="shared" ref="AD9:AD45" si="12">+AC9-H9</f>
        <v>-1588281.4618548388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U9" s="43">
        <f t="shared" si="3"/>
        <v>-92.052256370479313</v>
      </c>
      <c r="AV9" s="3">
        <f t="shared" si="4"/>
        <v>-698081.41596224636</v>
      </c>
      <c r="AW9" s="45">
        <f t="shared" ref="AW9:AW45" si="13">(AW8*1.01625)+AV9</f>
        <v>-2660172.4182916726</v>
      </c>
    </row>
    <row r="10" spans="1:50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J10" s="3"/>
      <c r="K10" s="8">
        <f t="shared" si="2"/>
        <v>0.65219855097641688</v>
      </c>
      <c r="L10" s="3"/>
      <c r="M10" s="3">
        <v>51.5</v>
      </c>
      <c r="N10" s="3">
        <f t="shared" si="5"/>
        <v>457052.04550000001</v>
      </c>
      <c r="O10" s="3">
        <f t="shared" si="6"/>
        <v>-430723.95449999999</v>
      </c>
      <c r="Q10" s="3">
        <f t="shared" si="7"/>
        <v>243734.6165</v>
      </c>
      <c r="R10" s="3">
        <f t="shared" si="8"/>
        <v>-704368.3835</v>
      </c>
      <c r="S10" s="3"/>
      <c r="T10" s="3"/>
      <c r="U10" s="3"/>
      <c r="V10" s="3"/>
      <c r="W10" s="3"/>
      <c r="X10" s="3"/>
      <c r="Y10" s="3">
        <v>53.208141321044543</v>
      </c>
      <c r="Z10" s="3">
        <f t="shared" si="9"/>
        <v>472211.45297158218</v>
      </c>
      <c r="AA10" s="3">
        <f t="shared" si="10"/>
        <v>-415564.54702841782</v>
      </c>
      <c r="AC10" s="3">
        <f t="shared" si="11"/>
        <v>251818.75571966203</v>
      </c>
      <c r="AD10" s="3">
        <f t="shared" si="12"/>
        <v>-696284.24428033794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U10" s="43">
        <f t="shared" si="3"/>
        <v>-100.29640316011525</v>
      </c>
      <c r="AV10" s="3">
        <f t="shared" si="4"/>
        <v>-890110.21787618136</v>
      </c>
      <c r="AW10" s="45">
        <f t="shared" si="13"/>
        <v>-3593510.4379650941</v>
      </c>
    </row>
    <row r="11" spans="1:50">
      <c r="A11" s="1" t="s">
        <v>118</v>
      </c>
      <c r="B11" s="40">
        <f t="shared" ref="B11:B45" si="1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J11" s="3"/>
      <c r="K11" s="8">
        <f t="shared" si="2"/>
        <v>0.64574480692801761</v>
      </c>
      <c r="L11" s="3"/>
      <c r="M11" s="3">
        <v>50.5</v>
      </c>
      <c r="N11" s="3">
        <f t="shared" si="5"/>
        <v>491714.81349999999</v>
      </c>
      <c r="O11" s="3">
        <f t="shared" si="6"/>
        <v>-544498.18650000007</v>
      </c>
      <c r="Q11" s="3">
        <f t="shared" si="7"/>
        <v>269754.43599999999</v>
      </c>
      <c r="R11" s="3">
        <f t="shared" si="8"/>
        <v>-615571.56400000001</v>
      </c>
      <c r="S11" s="3"/>
      <c r="T11" s="3"/>
      <c r="U11" s="3"/>
      <c r="V11" s="3"/>
      <c r="W11" s="3"/>
      <c r="X11" s="3"/>
      <c r="Y11" s="3">
        <v>45.082078853046596</v>
      </c>
      <c r="Z11" s="3">
        <f t="shared" si="9"/>
        <v>438960.9108003584</v>
      </c>
      <c r="AA11" s="3">
        <f t="shared" si="10"/>
        <v>-597252.0891996416</v>
      </c>
      <c r="AC11" s="3">
        <f t="shared" si="11"/>
        <v>240813.67831111111</v>
      </c>
      <c r="AD11" s="3">
        <f t="shared" si="12"/>
        <v>-644512.32168888883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U11" s="43">
        <f t="shared" si="3"/>
        <v>-59.318543505283571</v>
      </c>
      <c r="AV11" s="3">
        <f t="shared" si="4"/>
        <v>-577580.32785727025</v>
      </c>
      <c r="AW11" s="45">
        <f t="shared" si="13"/>
        <v>-4229485.310439297</v>
      </c>
    </row>
    <row r="12" spans="1:50">
      <c r="A12" s="1" t="s">
        <v>119</v>
      </c>
      <c r="B12" s="40">
        <f t="shared" si="1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J12" s="3"/>
      <c r="K12" s="8">
        <f t="shared" si="2"/>
        <v>0.57854522262865327</v>
      </c>
      <c r="L12" s="3"/>
      <c r="M12" s="3">
        <v>83.5</v>
      </c>
      <c r="N12" s="3">
        <f t="shared" si="5"/>
        <v>1040899.5605</v>
      </c>
      <c r="O12" s="3">
        <f t="shared" si="6"/>
        <v>-358925.43949999998</v>
      </c>
      <c r="Q12" s="3">
        <f t="shared" si="7"/>
        <v>758267.59149999998</v>
      </c>
      <c r="R12" s="3">
        <f t="shared" si="8"/>
        <v>-665588.40850000002</v>
      </c>
      <c r="S12" s="3"/>
      <c r="T12" s="3"/>
      <c r="U12" s="3"/>
      <c r="V12" s="3"/>
      <c r="W12" s="3"/>
      <c r="X12" s="3"/>
      <c r="Y12" s="3">
        <v>56.71612903225806</v>
      </c>
      <c r="Z12" s="3">
        <f t="shared" si="9"/>
        <v>707015.49440645159</v>
      </c>
      <c r="AA12" s="3">
        <f t="shared" si="10"/>
        <v>-692809.50559354841</v>
      </c>
      <c r="AC12" s="3">
        <f t="shared" si="11"/>
        <v>515041.94683225802</v>
      </c>
      <c r="AD12" s="3">
        <f t="shared" si="12"/>
        <v>-908814.05316774198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U12" s="43">
        <f t="shared" si="3"/>
        <v>-44.501553798309814</v>
      </c>
      <c r="AV12" s="3">
        <f t="shared" si="4"/>
        <v>-554750.27293685975</v>
      </c>
      <c r="AW12" s="45">
        <f t="shared" si="13"/>
        <v>-4852964.7196707958</v>
      </c>
    </row>
    <row r="13" spans="1:50">
      <c r="A13" s="1" t="s">
        <v>120</v>
      </c>
      <c r="B13" s="40">
        <f t="shared" si="1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J13" s="3">
        <f>SUM(H10:H13)+SUM(D10:D13)</f>
        <v>8794741</v>
      </c>
      <c r="K13" s="8">
        <f t="shared" si="2"/>
        <v>0.62473066737981287</v>
      </c>
      <c r="L13" s="3"/>
      <c r="M13" s="3">
        <v>46.5</v>
      </c>
      <c r="N13" s="3">
        <f t="shared" si="5"/>
        <v>530531.98499999999</v>
      </c>
      <c r="O13" s="3">
        <f t="shared" si="6"/>
        <v>-529201.01500000001</v>
      </c>
      <c r="Q13" s="3">
        <f t="shared" si="7"/>
        <v>318685.14600000001</v>
      </c>
      <c r="R13" s="3">
        <f t="shared" si="8"/>
        <v>-835223.85400000005</v>
      </c>
      <c r="S13" s="3"/>
      <c r="T13" s="3"/>
      <c r="U13" s="3"/>
      <c r="V13" s="3"/>
      <c r="W13" s="3"/>
      <c r="X13" s="3"/>
      <c r="Y13" s="3">
        <v>37.380824372759861</v>
      </c>
      <c r="Z13" s="3">
        <f t="shared" si="9"/>
        <v>426488.66570788535</v>
      </c>
      <c r="AA13" s="3">
        <f t="shared" si="10"/>
        <v>-633244.33429211471</v>
      </c>
      <c r="AC13" s="3">
        <f t="shared" si="11"/>
        <v>256187.38651254485</v>
      </c>
      <c r="AD13" s="3">
        <f t="shared" si="12"/>
        <v>-897721.61348745518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U13" s="43">
        <f t="shared" si="3"/>
        <v>-75.485873684551265</v>
      </c>
      <c r="AV13" s="3">
        <f t="shared" si="4"/>
        <v>-861240.2237704139</v>
      </c>
      <c r="AW13" s="45">
        <f t="shared" si="13"/>
        <v>-5793065.6201358605</v>
      </c>
    </row>
    <row r="14" spans="1:50">
      <c r="A14" s="1" t="s">
        <v>117</v>
      </c>
      <c r="B14" s="40">
        <f t="shared" si="1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J14" s="3"/>
      <c r="K14" s="8">
        <f t="shared" si="2"/>
        <v>0.78175380389853311</v>
      </c>
      <c r="L14" s="3"/>
      <c r="M14" s="3">
        <v>41.166666666666664</v>
      </c>
      <c r="N14" s="3">
        <f t="shared" si="5"/>
        <v>515764.36383333331</v>
      </c>
      <c r="O14" s="3">
        <f t="shared" si="6"/>
        <v>-569465.63616666663</v>
      </c>
      <c r="Q14" s="3">
        <f t="shared" si="7"/>
        <v>143988.56766666667</v>
      </c>
      <c r="R14" s="3">
        <f t="shared" si="8"/>
        <v>-335498.4323333333</v>
      </c>
      <c r="S14" s="3"/>
      <c r="T14" s="3"/>
      <c r="U14" s="3"/>
      <c r="V14" s="3"/>
      <c r="W14" s="3"/>
      <c r="X14" s="3"/>
      <c r="Y14" s="3">
        <v>34.660522273425499</v>
      </c>
      <c r="Z14" s="3">
        <f t="shared" si="9"/>
        <v>434250.90414132108</v>
      </c>
      <c r="AA14" s="3">
        <f t="shared" si="10"/>
        <v>-650979.09585867892</v>
      </c>
      <c r="AC14" s="3">
        <f t="shared" si="11"/>
        <v>121232.03943471583</v>
      </c>
      <c r="AD14" s="3">
        <f t="shared" si="12"/>
        <v>-358254.96056528419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U14" s="43">
        <f t="shared" si="3"/>
        <v>-50.466851801364442</v>
      </c>
      <c r="AV14" s="3">
        <f t="shared" si="4"/>
        <v>-632283.49102838489</v>
      </c>
      <c r="AW14" s="45">
        <f t="shared" si="13"/>
        <v>-6519486.4274914544</v>
      </c>
    </row>
    <row r="15" spans="1:50">
      <c r="A15" s="1" t="s">
        <v>118</v>
      </c>
      <c r="B15" s="40">
        <f t="shared" si="1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J15" s="3"/>
      <c r="K15" s="8">
        <f t="shared" si="2"/>
        <v>0.83870976121776752</v>
      </c>
      <c r="L15" s="3"/>
      <c r="M15" s="3">
        <v>37.833333333333336</v>
      </c>
      <c r="N15" s="3">
        <f t="shared" si="5"/>
        <v>525239.37216666667</v>
      </c>
      <c r="O15" s="3">
        <f t="shared" si="6"/>
        <v>-686240.62783333333</v>
      </c>
      <c r="Q15" s="3">
        <f t="shared" si="7"/>
        <v>101007.50900000001</v>
      </c>
      <c r="R15" s="3">
        <f t="shared" si="8"/>
        <v>-212155.49099999998</v>
      </c>
      <c r="S15" s="3"/>
      <c r="T15" s="3"/>
      <c r="U15" s="3"/>
      <c r="V15" s="3"/>
      <c r="W15" s="3"/>
      <c r="X15" s="3"/>
      <c r="Y15" s="3">
        <v>34.971863799283149</v>
      </c>
      <c r="Z15" s="3">
        <f t="shared" si="9"/>
        <v>485513.65071630816</v>
      </c>
      <c r="AA15" s="3">
        <f t="shared" si="10"/>
        <v>-725966.34928369184</v>
      </c>
      <c r="AC15" s="3">
        <f t="shared" si="11"/>
        <v>93367.951915053753</v>
      </c>
      <c r="AD15" s="3">
        <f t="shared" si="12"/>
        <v>-219795.04808494623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U15" s="43">
        <f t="shared" si="3"/>
        <v>-30.03451987967567</v>
      </c>
      <c r="AV15" s="3">
        <f t="shared" si="4"/>
        <v>-416968.60876461992</v>
      </c>
      <c r="AW15" s="45">
        <f t="shared" si="13"/>
        <v>-7042396.6907028109</v>
      </c>
    </row>
    <row r="16" spans="1:50">
      <c r="A16" s="1" t="s">
        <v>119</v>
      </c>
      <c r="B16" s="40">
        <f t="shared" si="1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J16" s="3"/>
      <c r="K16" s="8">
        <f t="shared" si="2"/>
        <v>0.76131943719883011</v>
      </c>
      <c r="L16" s="3"/>
      <c r="M16" s="3">
        <v>68.5</v>
      </c>
      <c r="N16" s="3">
        <f t="shared" si="5"/>
        <v>1256065.4569999999</v>
      </c>
      <c r="O16" s="3">
        <f t="shared" si="6"/>
        <v>-425663.54300000006</v>
      </c>
      <c r="Q16" s="3">
        <f t="shared" si="7"/>
        <v>393787.93650000001</v>
      </c>
      <c r="R16" s="3">
        <f t="shared" si="8"/>
        <v>-296139.06349999999</v>
      </c>
      <c r="S16" s="3"/>
      <c r="T16" s="3"/>
      <c r="U16" s="3"/>
      <c r="V16" s="3"/>
      <c r="W16" s="3"/>
      <c r="X16" s="3"/>
      <c r="Y16" s="3">
        <v>47.482974910394262</v>
      </c>
      <c r="Z16" s="3">
        <f t="shared" si="9"/>
        <v>870682.11066487443</v>
      </c>
      <c r="AA16" s="3">
        <f t="shared" si="10"/>
        <v>-811046.88933512557</v>
      </c>
      <c r="AC16" s="3">
        <f t="shared" si="11"/>
        <v>272966.75487365591</v>
      </c>
      <c r="AD16" s="3">
        <f t="shared" si="12"/>
        <v>-416960.24512634409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U16" s="43">
        <f t="shared" si="3"/>
        <v>-28.300111926184854</v>
      </c>
      <c r="AV16" s="3">
        <f t="shared" si="4"/>
        <v>-518931.28495933622</v>
      </c>
      <c r="AW16" s="45">
        <f t="shared" si="13"/>
        <v>-7675766.9218860678</v>
      </c>
    </row>
    <row r="17" spans="1:49">
      <c r="A17" s="1" t="s">
        <v>120</v>
      </c>
      <c r="B17" s="40">
        <f t="shared" si="1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J17" s="3"/>
      <c r="K17" s="8">
        <f t="shared" si="2"/>
        <v>0.8846320799659334</v>
      </c>
      <c r="L17" s="3"/>
      <c r="M17" s="3">
        <v>36.166666666666664</v>
      </c>
      <c r="N17" s="3">
        <f t="shared" si="5"/>
        <v>713841.68099999998</v>
      </c>
      <c r="O17" s="3">
        <f t="shared" si="6"/>
        <v>-879199.31900000002</v>
      </c>
      <c r="Q17" s="3">
        <f t="shared" si="7"/>
        <v>93094.555166666658</v>
      </c>
      <c r="R17" s="3">
        <f t="shared" si="8"/>
        <v>-171610.44483333334</v>
      </c>
      <c r="S17" s="3"/>
      <c r="T17" s="3"/>
      <c r="U17" s="3"/>
      <c r="V17" s="3"/>
      <c r="W17" s="3"/>
      <c r="X17" s="3"/>
      <c r="Y17" s="3">
        <v>35.095698924731181</v>
      </c>
      <c r="Z17" s="3">
        <f t="shared" si="9"/>
        <v>692703.39307741926</v>
      </c>
      <c r="AA17" s="3">
        <f t="shared" si="10"/>
        <v>-900337.60692258074</v>
      </c>
      <c r="AC17" s="3">
        <f t="shared" si="11"/>
        <v>90337.838147311821</v>
      </c>
      <c r="AD17" s="3">
        <f t="shared" si="12"/>
        <v>-174367.16185268818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U17" s="43">
        <f t="shared" si="3"/>
        <v>-22.125127626336649</v>
      </c>
      <c r="AV17" s="3">
        <f t="shared" si="4"/>
        <v>-436695.98978222191</v>
      </c>
      <c r="AW17" s="45">
        <f t="shared" si="13"/>
        <v>-8237194.1241489388</v>
      </c>
    </row>
    <row r="18" spans="1:49">
      <c r="A18" s="1" t="s">
        <v>117</v>
      </c>
      <c r="B18" s="40">
        <f t="shared" si="1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J18" s="3"/>
      <c r="K18" s="8">
        <f t="shared" si="2"/>
        <v>0.98866770422298667</v>
      </c>
      <c r="L18" s="3"/>
      <c r="M18" s="3">
        <v>35.833333333333336</v>
      </c>
      <c r="N18" s="3">
        <f t="shared" si="5"/>
        <v>766780.69416666671</v>
      </c>
      <c r="O18" s="3">
        <f t="shared" si="6"/>
        <v>-868326.30583333329</v>
      </c>
      <c r="Q18" s="3">
        <f t="shared" si="7"/>
        <v>8788.9850000000006</v>
      </c>
      <c r="R18" s="3">
        <f t="shared" si="8"/>
        <v>-13549.014999999999</v>
      </c>
      <c r="S18" s="3"/>
      <c r="T18" s="3"/>
      <c r="U18" s="3"/>
      <c r="V18" s="3"/>
      <c r="W18" s="3"/>
      <c r="X18" s="3"/>
      <c r="Y18" s="3">
        <v>33.677048572487955</v>
      </c>
      <c r="Z18" s="3">
        <f t="shared" si="9"/>
        <v>720639.36786688922</v>
      </c>
      <c r="AA18" s="3">
        <f t="shared" si="10"/>
        <v>-914467.63213311078</v>
      </c>
      <c r="AC18" s="3">
        <f t="shared" si="11"/>
        <v>8260.1044115684108</v>
      </c>
      <c r="AD18" s="3">
        <f t="shared" si="12"/>
        <v>-14077.895588431589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U18" s="43">
        <f t="shared" si="3"/>
        <v>-14.661541942833395</v>
      </c>
      <c r="AV18" s="3">
        <f t="shared" si="4"/>
        <v>-313735.45977152063</v>
      </c>
      <c r="AW18" s="45">
        <f t="shared" si="13"/>
        <v>-8684783.9884378817</v>
      </c>
    </row>
    <row r="19" spans="1:49">
      <c r="A19" s="1" t="s">
        <v>118</v>
      </c>
      <c r="B19" s="40">
        <f t="shared" si="1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J19" s="3"/>
      <c r="K19" s="8">
        <f t="shared" si="2"/>
        <v>0.95965351338818328</v>
      </c>
      <c r="L19" s="3"/>
      <c r="M19" s="3">
        <v>39.5</v>
      </c>
      <c r="N19" s="3">
        <f t="shared" si="5"/>
        <v>790787.98549999995</v>
      </c>
      <c r="O19" s="3">
        <f t="shared" si="6"/>
        <v>-744216.01450000005</v>
      </c>
      <c r="Q19" s="3">
        <f t="shared" si="7"/>
        <v>33246.913</v>
      </c>
      <c r="R19" s="3">
        <f t="shared" si="8"/>
        <v>-43397.087</v>
      </c>
      <c r="S19" s="3"/>
      <c r="T19" s="3"/>
      <c r="U19" s="3"/>
      <c r="V19" s="3"/>
      <c r="W19" s="3"/>
      <c r="X19" s="3"/>
      <c r="Y19" s="3">
        <v>34.673118279569898</v>
      </c>
      <c r="Z19" s="3">
        <f t="shared" si="9"/>
        <v>694154.05962795706</v>
      </c>
      <c r="AA19" s="3">
        <f t="shared" si="10"/>
        <v>-840849.94037204294</v>
      </c>
      <c r="AC19" s="3">
        <f t="shared" si="11"/>
        <v>29184.155617204306</v>
      </c>
      <c r="AD19" s="3">
        <f t="shared" si="12"/>
        <v>-47459.844382795694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43">
        <f t="shared" si="3"/>
        <v>-14.385499250884479</v>
      </c>
      <c r="AV19" s="3">
        <f t="shared" si="4"/>
        <v>-287996.96134224546</v>
      </c>
      <c r="AW19" s="45">
        <f t="shared" si="13"/>
        <v>-9113908.6895922441</v>
      </c>
    </row>
    <row r="20" spans="1:49">
      <c r="A20" s="1" t="s">
        <v>119</v>
      </c>
      <c r="B20" s="40">
        <f t="shared" si="1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J20" s="3"/>
      <c r="K20" s="8">
        <f t="shared" si="2"/>
        <v>0.81218667127397959</v>
      </c>
      <c r="L20" s="3"/>
      <c r="M20" s="3">
        <v>65.833333333333329</v>
      </c>
      <c r="N20" s="3">
        <f t="shared" si="5"/>
        <v>1409649.4033333333</v>
      </c>
      <c r="O20" s="3">
        <f t="shared" si="6"/>
        <v>-322866.59666666668</v>
      </c>
      <c r="Q20" s="3">
        <f t="shared" si="7"/>
        <v>325973.02583333332</v>
      </c>
      <c r="R20" s="3">
        <f t="shared" si="8"/>
        <v>-95918.974166666681</v>
      </c>
      <c r="S20" s="3"/>
      <c r="T20" s="3"/>
      <c r="U20" s="3"/>
      <c r="V20" s="3"/>
      <c r="W20" s="3"/>
      <c r="X20" s="3"/>
      <c r="Y20" s="3">
        <v>41.063620071684589</v>
      </c>
      <c r="Z20" s="3">
        <f t="shared" si="9"/>
        <v>879270.49416845886</v>
      </c>
      <c r="AA20" s="3">
        <f t="shared" si="10"/>
        <v>-853245.50583154114</v>
      </c>
      <c r="AC20" s="3">
        <f t="shared" si="11"/>
        <v>203326.06308512544</v>
      </c>
      <c r="AD20" s="3">
        <f t="shared" si="12"/>
        <v>-218565.93691487456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43">
        <f t="shared" si="3"/>
        <v>-4.2932534689763031</v>
      </c>
      <c r="AV20" s="3">
        <f t="shared" si="4"/>
        <v>-91928.843406094311</v>
      </c>
      <c r="AW20" s="45">
        <f t="shared" si="13"/>
        <v>-9353938.5492042135</v>
      </c>
    </row>
    <row r="21" spans="1:49">
      <c r="A21" s="1" t="s">
        <v>120</v>
      </c>
      <c r="B21" s="40">
        <f t="shared" si="1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J21" s="3"/>
      <c r="K21" s="8">
        <f t="shared" si="2"/>
        <v>0.94011882559028059</v>
      </c>
      <c r="L21" s="3"/>
      <c r="M21" s="3">
        <v>35.5</v>
      </c>
      <c r="N21" s="3">
        <f t="shared" si="5"/>
        <v>822991.63650000002</v>
      </c>
      <c r="O21" s="3">
        <f t="shared" si="6"/>
        <v>-881618.36349999998</v>
      </c>
      <c r="Q21" s="3">
        <f t="shared" si="7"/>
        <v>52420.72</v>
      </c>
      <c r="R21" s="3">
        <f t="shared" si="8"/>
        <v>-46262.28</v>
      </c>
      <c r="S21" s="3"/>
      <c r="T21" s="3"/>
      <c r="U21" s="3"/>
      <c r="V21" s="3"/>
      <c r="W21" s="3"/>
      <c r="X21" s="3"/>
      <c r="Y21" s="3">
        <v>33.877240143369171</v>
      </c>
      <c r="Z21" s="3">
        <f t="shared" si="9"/>
        <v>785371.41706182784</v>
      </c>
      <c r="AA21" s="3">
        <f t="shared" si="10"/>
        <v>-919238.58293817216</v>
      </c>
      <c r="AC21" s="3">
        <f t="shared" si="11"/>
        <v>50024.487885304654</v>
      </c>
      <c r="AD21" s="3">
        <f t="shared" si="12"/>
        <v>-48658.512114695346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U21" s="43">
        <f t="shared" si="3"/>
        <v>6.699458532281767</v>
      </c>
      <c r="AV21" s="3">
        <f t="shared" si="4"/>
        <v>155312.62932806928</v>
      </c>
      <c r="AW21" s="45">
        <f t="shared" si="13"/>
        <v>-9350627.421300713</v>
      </c>
    </row>
    <row r="22" spans="1:49">
      <c r="A22" s="1" t="s">
        <v>117</v>
      </c>
      <c r="B22" s="40">
        <f t="shared" si="1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J22" s="3"/>
      <c r="K22" s="8">
        <f t="shared" si="2"/>
        <v>0.98178486208389737</v>
      </c>
      <c r="L22" s="3"/>
      <c r="M22" s="3">
        <v>35.833333333333336</v>
      </c>
      <c r="N22" s="3">
        <f t="shared" si="5"/>
        <v>743548.40333333332</v>
      </c>
      <c r="O22" s="3">
        <f t="shared" si="6"/>
        <v>-632997.59666666668</v>
      </c>
      <c r="Q22" s="3">
        <f t="shared" si="7"/>
        <v>13795.116666666669</v>
      </c>
      <c r="R22" s="3">
        <f t="shared" si="8"/>
        <v>-17166.883333333331</v>
      </c>
      <c r="S22" s="3"/>
      <c r="T22" s="3"/>
      <c r="U22" s="3"/>
      <c r="V22" s="3"/>
      <c r="W22" s="3"/>
      <c r="X22" s="3"/>
      <c r="Y22" s="3">
        <v>33.655145929339483</v>
      </c>
      <c r="Z22" s="3">
        <f t="shared" si="9"/>
        <v>698350.60520122899</v>
      </c>
      <c r="AA22" s="3">
        <f t="shared" si="10"/>
        <v>-678195.39479877101</v>
      </c>
      <c r="AC22" s="3">
        <f t="shared" si="11"/>
        <v>12956.558079877113</v>
      </c>
      <c r="AD22" s="3">
        <f t="shared" si="12"/>
        <v>-18005.441920122888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U22" s="43">
        <f t="shared" si="3"/>
        <v>-14.085991922580604</v>
      </c>
      <c r="AV22" s="3">
        <f t="shared" si="4"/>
        <v>-292286.98056002898</v>
      </c>
      <c r="AW22" s="45">
        <f t="shared" si="13"/>
        <v>-9794862.0974568799</v>
      </c>
    </row>
    <row r="23" spans="1:49">
      <c r="A23" s="1" t="s">
        <v>118</v>
      </c>
      <c r="B23" s="40">
        <f t="shared" si="1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J23" s="3"/>
      <c r="K23" s="8">
        <f t="shared" si="2"/>
        <v>0.95481761561619838</v>
      </c>
      <c r="L23" s="3"/>
      <c r="M23" s="3">
        <v>39.5</v>
      </c>
      <c r="N23" s="3">
        <f t="shared" si="5"/>
        <v>771924.91850000003</v>
      </c>
      <c r="O23" s="3">
        <f t="shared" si="6"/>
        <v>-546976.08149999997</v>
      </c>
      <c r="Q23" s="3">
        <f t="shared" si="7"/>
        <v>36527.822500000002</v>
      </c>
      <c r="R23" s="3">
        <f t="shared" si="8"/>
        <v>-36178.177499999998</v>
      </c>
      <c r="S23" s="3"/>
      <c r="T23" s="3"/>
      <c r="U23" s="3"/>
      <c r="V23" s="3"/>
      <c r="W23" s="3"/>
      <c r="X23" s="3"/>
      <c r="Y23" s="3">
        <v>34.673118279569898</v>
      </c>
      <c r="Z23" s="3">
        <f t="shared" si="9"/>
        <v>677596.05068602157</v>
      </c>
      <c r="AA23" s="3">
        <f t="shared" si="10"/>
        <v>-641304.94931397843</v>
      </c>
      <c r="AC23" s="3">
        <f t="shared" si="11"/>
        <v>32064.139494623661</v>
      </c>
      <c r="AD23" s="3">
        <f t="shared" si="12"/>
        <v>-40641.860505376339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U23" s="43">
        <f t="shared" si="3"/>
        <v>-11.132712658006952</v>
      </c>
      <c r="AV23" s="3">
        <f t="shared" si="4"/>
        <v>-217559.95724597303</v>
      </c>
      <c r="AW23" s="45">
        <f t="shared" si="13"/>
        <v>-10171588.563786529</v>
      </c>
    </row>
    <row r="24" spans="1:49">
      <c r="A24" s="1" t="s">
        <v>119</v>
      </c>
      <c r="B24" s="40">
        <f t="shared" si="1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J24" s="3"/>
      <c r="K24" s="8">
        <f t="shared" si="2"/>
        <v>0.75655697125474375</v>
      </c>
      <c r="L24" s="3"/>
      <c r="M24" s="3">
        <v>65.833333333333329</v>
      </c>
      <c r="N24" s="3">
        <f t="shared" si="5"/>
        <v>1348716.835</v>
      </c>
      <c r="O24" s="3">
        <f t="shared" si="6"/>
        <v>-160390.16500000004</v>
      </c>
      <c r="Q24" s="3">
        <f t="shared" si="7"/>
        <v>433986.76333333331</v>
      </c>
      <c r="R24" s="3">
        <f t="shared" si="8"/>
        <v>-31886.236666666693</v>
      </c>
      <c r="S24" s="3"/>
      <c r="T24" s="3"/>
      <c r="U24" s="3"/>
      <c r="V24" s="3"/>
      <c r="W24" s="3"/>
      <c r="X24" s="3"/>
      <c r="Y24" s="3">
        <v>41.101254480286741</v>
      </c>
      <c r="Z24" s="3">
        <f t="shared" si="9"/>
        <v>842034.74213440868</v>
      </c>
      <c r="AA24" s="3">
        <f t="shared" si="10"/>
        <v>-667072.25786559132</v>
      </c>
      <c r="AC24" s="3">
        <f t="shared" si="11"/>
        <v>270947.85418996419</v>
      </c>
      <c r="AD24" s="3">
        <f t="shared" si="12"/>
        <v>-194925.14581003581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U24" s="43">
        <f t="shared" si="3"/>
        <v>2.991975589987419</v>
      </c>
      <c r="AV24" s="3">
        <f t="shared" si="4"/>
        <v>61296.119212026679</v>
      </c>
      <c r="AW24" s="45">
        <f t="shared" si="13"/>
        <v>-10275580.758736035</v>
      </c>
    </row>
    <row r="25" spans="1:49">
      <c r="A25" s="1" t="s">
        <v>120</v>
      </c>
      <c r="B25" s="40">
        <f t="shared" si="1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J25" s="3"/>
      <c r="K25" s="8">
        <f t="shared" si="2"/>
        <v>0.85315998766693379</v>
      </c>
      <c r="L25" s="3"/>
      <c r="M25" s="3">
        <v>35.5</v>
      </c>
      <c r="N25" s="3">
        <f t="shared" si="5"/>
        <v>747634.75699999998</v>
      </c>
      <c r="O25" s="3">
        <f t="shared" si="6"/>
        <v>-624088.24300000002</v>
      </c>
      <c r="Q25" s="3">
        <f t="shared" si="7"/>
        <v>128677.7375</v>
      </c>
      <c r="R25" s="3">
        <f t="shared" si="8"/>
        <v>-116922.2625</v>
      </c>
      <c r="S25" s="3"/>
      <c r="T25" s="3"/>
      <c r="U25" s="3"/>
      <c r="V25" s="3"/>
      <c r="W25" s="3"/>
      <c r="X25" s="3"/>
      <c r="Y25" s="3">
        <v>33.877240143369171</v>
      </c>
      <c r="Z25" s="3">
        <f t="shared" si="9"/>
        <v>713459.21696953394</v>
      </c>
      <c r="AA25" s="3">
        <f t="shared" si="10"/>
        <v>-658263.78303046606</v>
      </c>
      <c r="AC25" s="3">
        <f t="shared" si="11"/>
        <v>122795.67927867381</v>
      </c>
      <c r="AD25" s="3">
        <f t="shared" si="12"/>
        <v>-122804.32072132619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U25" s="43">
        <f t="shared" si="3"/>
        <v>-2.6232331603105195</v>
      </c>
      <c r="AV25" s="3">
        <f t="shared" si="4"/>
        <v>-55245.64186938302</v>
      </c>
      <c r="AW25" s="45">
        <f t="shared" si="13"/>
        <v>-10497804.58793488</v>
      </c>
    </row>
    <row r="26" spans="1:49">
      <c r="A26" s="1" t="s">
        <v>117</v>
      </c>
      <c r="B26" s="40">
        <f t="shared" si="1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J26" s="3"/>
      <c r="K26" s="8">
        <f t="shared" si="2"/>
        <v>0.96364303860548906</v>
      </c>
      <c r="L26" s="3"/>
      <c r="M26" s="3">
        <v>36.083333333333336</v>
      </c>
      <c r="N26" s="3">
        <f t="shared" si="5"/>
        <v>763199.62974999996</v>
      </c>
      <c r="O26" s="3">
        <f t="shared" si="6"/>
        <v>-488799.37025000004</v>
      </c>
      <c r="Q26" s="3">
        <f t="shared" si="7"/>
        <v>28794.500000000004</v>
      </c>
      <c r="R26" s="3">
        <f t="shared" si="8"/>
        <v>-36881.5</v>
      </c>
      <c r="S26" s="3"/>
      <c r="T26" s="3"/>
      <c r="U26" s="3"/>
      <c r="V26" s="3"/>
      <c r="W26" s="3"/>
      <c r="X26" s="3"/>
      <c r="Y26" s="3">
        <v>33.793509984639009</v>
      </c>
      <c r="Z26" s="3">
        <f t="shared" si="9"/>
        <v>714767.50969688932</v>
      </c>
      <c r="AA26" s="3">
        <f t="shared" si="10"/>
        <v>-537231.49030311068</v>
      </c>
      <c r="AC26" s="3">
        <f t="shared" si="11"/>
        <v>26967.220967741931</v>
      </c>
      <c r="AD26" s="3">
        <f t="shared" si="12"/>
        <v>-38708.779032258069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43">
        <f t="shared" si="3"/>
        <v>-23.10746156744068</v>
      </c>
      <c r="AV26" s="3">
        <f t="shared" si="4"/>
        <v>-488746.58972932328</v>
      </c>
      <c r="AW26" s="45">
        <f t="shared" si="13"/>
        <v>-11157140.502218146</v>
      </c>
    </row>
    <row r="27" spans="1:49">
      <c r="A27" s="1" t="s">
        <v>118</v>
      </c>
      <c r="B27" s="40">
        <f t="shared" si="1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J27" s="3"/>
      <c r="K27" s="8">
        <f t="shared" si="2"/>
        <v>0.91087804575020603</v>
      </c>
      <c r="L27" s="3"/>
      <c r="M27" s="3">
        <v>39.75</v>
      </c>
      <c r="N27" s="3">
        <f t="shared" si="5"/>
        <v>778111.37774999999</v>
      </c>
      <c r="O27" s="3">
        <f t="shared" si="6"/>
        <v>-396130.62225000001</v>
      </c>
      <c r="Q27" s="3">
        <f t="shared" si="7"/>
        <v>76131.823499999999</v>
      </c>
      <c r="R27" s="3">
        <f t="shared" si="8"/>
        <v>-74497.176500000001</v>
      </c>
      <c r="S27" s="3"/>
      <c r="T27" s="3"/>
      <c r="U27" s="3"/>
      <c r="V27" s="3"/>
      <c r="W27" s="3"/>
      <c r="X27" s="3"/>
      <c r="Y27" s="3">
        <v>34.821621863799272</v>
      </c>
      <c r="Z27" s="3">
        <f t="shared" si="9"/>
        <v>681637.73997309129</v>
      </c>
      <c r="AA27" s="3">
        <f t="shared" si="10"/>
        <v>-492604.26002690871</v>
      </c>
      <c r="AC27" s="3">
        <f t="shared" si="11"/>
        <v>66692.668420591377</v>
      </c>
      <c r="AD27" s="3">
        <f t="shared" si="12"/>
        <v>-83936.331579408623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U27" s="43">
        <f t="shared" si="3"/>
        <v>-18.660092374572947</v>
      </c>
      <c r="AV27" s="3">
        <f t="shared" si="4"/>
        <v>-365273.71538418176</v>
      </c>
      <c r="AW27" s="45">
        <f t="shared" si="13"/>
        <v>-11703717.750763373</v>
      </c>
    </row>
    <row r="28" spans="1:49">
      <c r="A28" s="1" t="s">
        <v>119</v>
      </c>
      <c r="B28" s="40">
        <f t="shared" si="1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J28" s="3"/>
      <c r="K28" s="8">
        <f t="shared" si="2"/>
        <v>0.69765607580637945</v>
      </c>
      <c r="L28" s="3"/>
      <c r="M28" s="3">
        <v>66.083333333333329</v>
      </c>
      <c r="N28" s="3">
        <f t="shared" si="5"/>
        <v>1305349.7664999999</v>
      </c>
      <c r="O28" s="3">
        <f t="shared" si="6"/>
        <v>-17315.233500000089</v>
      </c>
      <c r="Q28" s="3">
        <f t="shared" si="7"/>
        <v>565700.75791666668</v>
      </c>
      <c r="R28" s="3">
        <f t="shared" si="8"/>
        <v>-43369.242083333316</v>
      </c>
      <c r="S28" s="3"/>
      <c r="T28" s="3"/>
      <c r="U28" s="3"/>
      <c r="V28" s="3"/>
      <c r="W28" s="3"/>
      <c r="X28" s="3"/>
      <c r="Y28" s="3">
        <v>41.239023297491038</v>
      </c>
      <c r="Z28" s="3">
        <f t="shared" si="9"/>
        <v>814597.97375134414</v>
      </c>
      <c r="AA28" s="3">
        <f t="shared" si="10"/>
        <v>-508067.02624865586</v>
      </c>
      <c r="AC28" s="3">
        <f t="shared" si="11"/>
        <v>353023.15362119174</v>
      </c>
      <c r="AD28" s="3">
        <f t="shared" si="12"/>
        <v>-256046.84637880826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U28" s="43">
        <f t="shared" si="3"/>
        <v>-4.1896709101622207</v>
      </c>
      <c r="AV28" s="3">
        <f t="shared" si="4"/>
        <v>-82758.929800132624</v>
      </c>
      <c r="AW28" s="45">
        <f t="shared" si="13"/>
        <v>-11976662.094013412</v>
      </c>
    </row>
    <row r="29" spans="1:49">
      <c r="A29" s="1" t="s">
        <v>120</v>
      </c>
      <c r="B29" s="40">
        <f t="shared" si="14"/>
        <v>2006</v>
      </c>
      <c r="C29" s="3">
        <v>19795707</v>
      </c>
      <c r="D29" s="3">
        <v>1176044</v>
      </c>
      <c r="E29" s="3">
        <f t="shared" si="0"/>
        <v>59.409042576756669</v>
      </c>
      <c r="G29" s="3">
        <v>5384808</v>
      </c>
      <c r="H29" s="3">
        <v>383442</v>
      </c>
      <c r="I29" s="3">
        <f t="shared" si="1"/>
        <v>71.208109927039189</v>
      </c>
      <c r="J29" s="3"/>
      <c r="K29" s="8">
        <f t="shared" si="2"/>
        <v>0.78615179236802746</v>
      </c>
      <c r="L29" s="3"/>
      <c r="M29" s="3">
        <v>35.75</v>
      </c>
      <c r="N29" s="3">
        <f t="shared" si="5"/>
        <v>707696.52524999995</v>
      </c>
      <c r="O29" s="3">
        <f t="shared" si="6"/>
        <v>-468347.47475000005</v>
      </c>
      <c r="Q29" s="3">
        <f t="shared" si="7"/>
        <v>192506.886</v>
      </c>
      <c r="R29" s="3">
        <f t="shared" si="8"/>
        <v>-190935.114</v>
      </c>
      <c r="S29" s="3"/>
      <c r="T29" s="3"/>
      <c r="U29" s="3"/>
      <c r="V29" s="3"/>
      <c r="W29" s="3"/>
      <c r="X29" s="3"/>
      <c r="Y29" s="3">
        <v>34.148611111111109</v>
      </c>
      <c r="Z29" s="3">
        <f t="shared" si="9"/>
        <v>675995.90001249989</v>
      </c>
      <c r="AA29" s="3">
        <f t="shared" si="10"/>
        <v>-500048.09998750011</v>
      </c>
      <c r="AC29" s="3">
        <f t="shared" si="11"/>
        <v>183883.71429999999</v>
      </c>
      <c r="AD29" s="3">
        <f t="shared" si="12"/>
        <v>-199558.28570000001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U29" s="43">
        <f t="shared" si="3"/>
        <v>-11.79906735028252</v>
      </c>
      <c r="AV29" s="3">
        <f t="shared" si="4"/>
        <v>-233570.88013945913</v>
      </c>
      <c r="AW29" s="45">
        <f t="shared" si="13"/>
        <v>-12404853.73318059</v>
      </c>
    </row>
    <row r="30" spans="1:49">
      <c r="A30" s="1" t="s">
        <v>117</v>
      </c>
      <c r="B30" s="40">
        <f t="shared" si="14"/>
        <v>2007</v>
      </c>
      <c r="C30" s="3">
        <v>19395819</v>
      </c>
      <c r="D30" s="3">
        <v>1127605</v>
      </c>
      <c r="E30" s="3">
        <f t="shared" si="0"/>
        <v>58.136498386585274</v>
      </c>
      <c r="G30" s="3">
        <v>2324318</v>
      </c>
      <c r="H30" s="3">
        <v>187660</v>
      </c>
      <c r="I30" s="3">
        <f t="shared" si="1"/>
        <v>80.73766154200932</v>
      </c>
      <c r="J30" s="3"/>
      <c r="K30" s="8">
        <f t="shared" si="2"/>
        <v>0.89298787572104177</v>
      </c>
      <c r="L30" s="3"/>
      <c r="M30" s="3">
        <v>36.933333333333337</v>
      </c>
      <c r="N30" s="3">
        <f t="shared" si="5"/>
        <v>716352.24840000004</v>
      </c>
      <c r="O30" s="3">
        <f t="shared" si="6"/>
        <v>-411252.75159999996</v>
      </c>
      <c r="Q30" s="3">
        <f t="shared" si="7"/>
        <v>85844.811466666666</v>
      </c>
      <c r="R30" s="3">
        <f t="shared" si="8"/>
        <v>-101815.18853333333</v>
      </c>
      <c r="S30" s="3"/>
      <c r="T30" s="3"/>
      <c r="U30" s="3"/>
      <c r="V30" s="3"/>
      <c r="W30" s="3"/>
      <c r="X30" s="3"/>
      <c r="Y30" s="3">
        <v>34.884869431643615</v>
      </c>
      <c r="Z30" s="3">
        <f t="shared" si="9"/>
        <v>676620.61333479243</v>
      </c>
      <c r="AA30" s="3">
        <f t="shared" si="10"/>
        <v>-450984.38666520757</v>
      </c>
      <c r="AC30" s="3">
        <f t="shared" si="11"/>
        <v>81083.529947619027</v>
      </c>
      <c r="AD30" s="3">
        <f t="shared" si="12"/>
        <v>-106576.47005238097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U30" s="43">
        <f t="shared" si="3"/>
        <v>-22.601163155424047</v>
      </c>
      <c r="AV30" s="3">
        <f t="shared" si="4"/>
        <v>-438368.06975207373</v>
      </c>
      <c r="AW30" s="45">
        <f t="shared" si="13"/>
        <v>-13044800.676096849</v>
      </c>
    </row>
    <row r="31" spans="1:49">
      <c r="A31" s="1" t="s">
        <v>118</v>
      </c>
      <c r="B31" s="40">
        <f t="shared" si="14"/>
        <v>2007</v>
      </c>
      <c r="C31" s="3">
        <v>18428604</v>
      </c>
      <c r="D31" s="3">
        <v>1104039</v>
      </c>
      <c r="E31" s="3">
        <f t="shared" si="0"/>
        <v>59.908987137604129</v>
      </c>
      <c r="G31" s="3">
        <v>3625069</v>
      </c>
      <c r="H31" s="3">
        <v>280524</v>
      </c>
      <c r="I31" s="3">
        <f t="shared" si="1"/>
        <v>77.384458061350003</v>
      </c>
      <c r="J31" s="3"/>
      <c r="K31" s="8">
        <f t="shared" si="2"/>
        <v>0.83562515867538256</v>
      </c>
      <c r="L31" s="3"/>
      <c r="M31" s="3">
        <v>40.6</v>
      </c>
      <c r="N31" s="3">
        <f t="shared" si="5"/>
        <v>748201.32239999995</v>
      </c>
      <c r="O31" s="3">
        <f t="shared" si="6"/>
        <v>-355837.67760000005</v>
      </c>
      <c r="Q31" s="3">
        <f t="shared" si="7"/>
        <v>147177.8014</v>
      </c>
      <c r="R31" s="3">
        <f t="shared" si="8"/>
        <v>-133346.1986</v>
      </c>
      <c r="S31" s="3"/>
      <c r="T31" s="3"/>
      <c r="U31" s="3"/>
      <c r="V31" s="3"/>
      <c r="W31" s="3"/>
      <c r="X31" s="3"/>
      <c r="Y31" s="3">
        <v>36.002401433691752</v>
      </c>
      <c r="Z31" s="3">
        <f t="shared" si="9"/>
        <v>663473.99907053751</v>
      </c>
      <c r="AA31" s="3">
        <f t="shared" si="10"/>
        <v>-440565.00092946249</v>
      </c>
      <c r="AC31" s="3">
        <f t="shared" si="11"/>
        <v>130511.18936283152</v>
      </c>
      <c r="AD31" s="3">
        <f t="shared" si="12"/>
        <v>-150012.81063716847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U31" s="43">
        <f t="shared" si="3"/>
        <v>-17.475470923745874</v>
      </c>
      <c r="AV31" s="3">
        <f t="shared" si="4"/>
        <v>-322048.53336722689</v>
      </c>
      <c r="AW31" s="45">
        <f t="shared" si="13"/>
        <v>-13578827.220450653</v>
      </c>
    </row>
    <row r="32" spans="1:49">
      <c r="A32" s="1" t="s">
        <v>119</v>
      </c>
      <c r="B32" s="40">
        <f t="shared" si="14"/>
        <v>2007</v>
      </c>
      <c r="C32" s="3">
        <v>19684263</v>
      </c>
      <c r="D32" s="3">
        <v>1319151</v>
      </c>
      <c r="E32" s="3">
        <f t="shared" si="0"/>
        <v>67.015513865060626</v>
      </c>
      <c r="G32" s="3">
        <v>10048240</v>
      </c>
      <c r="H32" s="3">
        <v>707982</v>
      </c>
      <c r="I32" s="3">
        <f t="shared" si="1"/>
        <v>70.458309116820459</v>
      </c>
      <c r="J32" s="3"/>
      <c r="K32" s="8">
        <f t="shared" si="2"/>
        <v>0.6620452707933806</v>
      </c>
      <c r="L32" s="3"/>
      <c r="M32" s="3">
        <v>66.933333333333323</v>
      </c>
      <c r="N32" s="3">
        <f t="shared" si="5"/>
        <v>1317533.3367999997</v>
      </c>
      <c r="O32" s="3">
        <f t="shared" si="6"/>
        <v>-1617.663200000301</v>
      </c>
      <c r="Q32" s="3">
        <f t="shared" si="7"/>
        <v>672562.1973333332</v>
      </c>
      <c r="R32" s="3">
        <f t="shared" si="8"/>
        <v>-35419.802666666801</v>
      </c>
      <c r="S32" s="3"/>
      <c r="T32" s="3"/>
      <c r="U32" s="3"/>
      <c r="V32" s="3"/>
      <c r="W32" s="3"/>
      <c r="X32" s="3"/>
      <c r="Y32" s="3">
        <v>42.410860215053766</v>
      </c>
      <c r="Z32" s="3">
        <f t="shared" si="9"/>
        <v>834826.52652935497</v>
      </c>
      <c r="AA32" s="3">
        <f t="shared" si="10"/>
        <v>-484324.47347064503</v>
      </c>
      <c r="AC32" s="3">
        <f t="shared" si="11"/>
        <v>426154.50204731186</v>
      </c>
      <c r="AD32" s="3">
        <f t="shared" si="12"/>
        <v>-281827.49795268814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U32" s="43">
        <f t="shared" si="3"/>
        <v>-3.4427952517598328</v>
      </c>
      <c r="AV32" s="3">
        <f t="shared" si="4"/>
        <v>-67768.887190791749</v>
      </c>
      <c r="AW32" s="45">
        <f t="shared" si="13"/>
        <v>-13867252.049973767</v>
      </c>
    </row>
    <row r="33" spans="1:49">
      <c r="A33" s="1" t="s">
        <v>120</v>
      </c>
      <c r="B33" s="40">
        <f t="shared" si="14"/>
        <v>2007</v>
      </c>
      <c r="C33" s="3">
        <v>19591520</v>
      </c>
      <c r="D33" s="3">
        <v>1165055</v>
      </c>
      <c r="E33" s="3">
        <f t="shared" si="0"/>
        <v>59.467310346517266</v>
      </c>
      <c r="G33" s="3">
        <v>6592341</v>
      </c>
      <c r="H33" s="3">
        <v>465106</v>
      </c>
      <c r="I33" s="3">
        <f t="shared" si="1"/>
        <v>70.552479005561153</v>
      </c>
      <c r="J33" s="3"/>
      <c r="K33" s="8">
        <f t="shared" si="2"/>
        <v>0.74822884218641394</v>
      </c>
      <c r="L33" s="3"/>
      <c r="M33" s="3">
        <v>36.6</v>
      </c>
      <c r="N33" s="3">
        <f t="shared" si="5"/>
        <v>717049.63199999998</v>
      </c>
      <c r="O33" s="3">
        <f t="shared" si="6"/>
        <v>-448005.36800000002</v>
      </c>
      <c r="Q33" s="3">
        <f t="shared" si="7"/>
        <v>241279.68060000002</v>
      </c>
      <c r="R33" s="3">
        <f t="shared" si="8"/>
        <v>-223826.31939999998</v>
      </c>
      <c r="S33" s="3"/>
      <c r="T33" s="3"/>
      <c r="U33" s="3"/>
      <c r="V33" s="3"/>
      <c r="W33" s="3"/>
      <c r="X33" s="3"/>
      <c r="Y33" s="3">
        <v>35.2268817204301</v>
      </c>
      <c r="Z33" s="3">
        <f t="shared" si="9"/>
        <v>690148.15776344074</v>
      </c>
      <c r="AA33" s="3">
        <f t="shared" si="10"/>
        <v>-474906.84223655926</v>
      </c>
      <c r="AC33" s="3">
        <f t="shared" si="11"/>
        <v>232227.61666774188</v>
      </c>
      <c r="AD33" s="3">
        <f t="shared" si="12"/>
        <v>-232878.38333225812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U33" s="43">
        <f t="shared" si="3"/>
        <v>-11.085168659043887</v>
      </c>
      <c r="AV33" s="3">
        <f t="shared" si="4"/>
        <v>-217175.30348703149</v>
      </c>
      <c r="AW33" s="45">
        <f t="shared" si="13"/>
        <v>-14309770.199272873</v>
      </c>
    </row>
    <row r="34" spans="1:49">
      <c r="A34" s="1" t="s">
        <v>117</v>
      </c>
      <c r="B34" s="40">
        <f t="shared" si="14"/>
        <v>2008</v>
      </c>
      <c r="C34" s="3">
        <v>19153515</v>
      </c>
      <c r="D34" s="3">
        <v>1112997</v>
      </c>
      <c r="E34" s="3">
        <f t="shared" si="0"/>
        <v>58.109281768907692</v>
      </c>
      <c r="G34" s="3">
        <v>3401340</v>
      </c>
      <c r="H34" s="3">
        <v>268581</v>
      </c>
      <c r="I34" s="3">
        <f t="shared" si="1"/>
        <v>78.963290938277268</v>
      </c>
      <c r="J34" s="3"/>
      <c r="K34" s="8">
        <f t="shared" si="2"/>
        <v>0.84919699106910684</v>
      </c>
      <c r="L34" s="3"/>
      <c r="M34" s="3">
        <v>37.283333333333339</v>
      </c>
      <c r="N34" s="3">
        <f t="shared" si="5"/>
        <v>714106.88425000012</v>
      </c>
      <c r="O34" s="3">
        <f t="shared" si="6"/>
        <v>-398890.11574999988</v>
      </c>
      <c r="Q34" s="3">
        <f t="shared" si="7"/>
        <v>126813.29300000002</v>
      </c>
      <c r="R34" s="3">
        <f t="shared" si="8"/>
        <v>-141767.70699999999</v>
      </c>
      <c r="S34" s="3"/>
      <c r="T34" s="3"/>
      <c r="U34" s="3"/>
      <c r="V34" s="3"/>
      <c r="W34" s="3"/>
      <c r="X34" s="3"/>
      <c r="Y34" s="3">
        <v>35.184760845383757</v>
      </c>
      <c r="Z34" s="3">
        <f t="shared" si="9"/>
        <v>673911.84462347045</v>
      </c>
      <c r="AA34" s="3">
        <f t="shared" si="10"/>
        <v>-439085.15537652955</v>
      </c>
      <c r="AC34" s="3">
        <f t="shared" si="11"/>
        <v>119675.33445383758</v>
      </c>
      <c r="AD34" s="3">
        <f t="shared" si="12"/>
        <v>-148905.6655461624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U34" s="43">
        <f t="shared" si="3"/>
        <v>-20.854009169369576</v>
      </c>
      <c r="AV34" s="3">
        <f t="shared" si="4"/>
        <v>-399427.57743565767</v>
      </c>
      <c r="AW34" s="45">
        <f t="shared" si="13"/>
        <v>-14941731.542446716</v>
      </c>
    </row>
    <row r="35" spans="1:49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G35" s="3">
        <v>4665997</v>
      </c>
      <c r="H35" s="3">
        <v>357049</v>
      </c>
      <c r="I35" s="3">
        <f t="shared" si="1"/>
        <v>76.521480832499464</v>
      </c>
      <c r="J35" s="3"/>
      <c r="K35" s="8">
        <f t="shared" si="2"/>
        <v>0.8008485326206557</v>
      </c>
      <c r="L35" s="3"/>
      <c r="M35" s="3">
        <v>40.950000000000003</v>
      </c>
      <c r="N35" s="3">
        <f t="shared" si="5"/>
        <v>768360.86145000008</v>
      </c>
      <c r="O35" s="3">
        <f t="shared" si="6"/>
        <v>-352783.13854999992</v>
      </c>
      <c r="Q35" s="3">
        <f t="shared" si="7"/>
        <v>191072.57715</v>
      </c>
      <c r="R35" s="3">
        <f t="shared" si="8"/>
        <v>-165976.42285</v>
      </c>
      <c r="S35" s="3"/>
      <c r="T35" s="3"/>
      <c r="U35" s="3"/>
      <c r="V35" s="3"/>
      <c r="W35" s="3"/>
      <c r="X35" s="3"/>
      <c r="Y35" s="3">
        <v>36.027625448028665</v>
      </c>
      <c r="Z35" s="3">
        <f t="shared" si="9"/>
        <v>676000.42308291199</v>
      </c>
      <c r="AA35" s="3">
        <f t="shared" si="10"/>
        <v>-445143.57691708801</v>
      </c>
      <c r="AC35" s="3">
        <f t="shared" si="11"/>
        <v>168104.79225762541</v>
      </c>
      <c r="AD35" s="3">
        <f t="shared" si="12"/>
        <v>-188944.20774237459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U35" s="43">
        <f t="shared" si="3"/>
        <v>-16.769808013870893</v>
      </c>
      <c r="AV35" s="3">
        <f t="shared" si="4"/>
        <v>-314658.46475919301</v>
      </c>
      <c r="AW35" s="45">
        <f t="shared" si="13"/>
        <v>-15499193.144770669</v>
      </c>
    </row>
    <row r="36" spans="1:49">
      <c r="A36" s="1" t="s">
        <v>119</v>
      </c>
      <c r="B36" s="40">
        <f t="shared" si="14"/>
        <v>2008</v>
      </c>
      <c r="C36" s="3">
        <v>19294144</v>
      </c>
      <c r="D36" s="3">
        <v>1288971</v>
      </c>
      <c r="E36" s="3">
        <f t="shared" si="0"/>
        <v>66.80633253281411</v>
      </c>
      <c r="G36" s="3">
        <v>12038851</v>
      </c>
      <c r="H36" s="3">
        <v>856304</v>
      </c>
      <c r="I36" s="3">
        <f t="shared" si="1"/>
        <v>71.128382600631909</v>
      </c>
      <c r="J36" s="3"/>
      <c r="K36" s="8">
        <f t="shared" si="2"/>
        <v>0.61577720227510968</v>
      </c>
      <c r="L36" s="3"/>
      <c r="M36" s="3">
        <v>67.283333333333346</v>
      </c>
      <c r="N36" s="3">
        <f t="shared" si="5"/>
        <v>1298174.3221333337</v>
      </c>
      <c r="O36" s="3">
        <f t="shared" si="6"/>
        <v>9203.3221333336551</v>
      </c>
      <c r="Q36" s="3">
        <f t="shared" si="7"/>
        <v>810014.02478333353</v>
      </c>
      <c r="R36" s="3">
        <f t="shared" si="8"/>
        <v>-46289.975216666469</v>
      </c>
      <c r="S36" s="3"/>
      <c r="T36" s="3"/>
      <c r="U36" s="3"/>
      <c r="V36" s="3"/>
      <c r="W36" s="3"/>
      <c r="X36" s="3"/>
      <c r="Y36" s="3">
        <v>42.560618279569894</v>
      </c>
      <c r="Z36" s="3">
        <f t="shared" si="9"/>
        <v>821170.69781505386</v>
      </c>
      <c r="AA36" s="3">
        <f t="shared" si="10"/>
        <v>-467800.30218494614</v>
      </c>
      <c r="AC36" s="3">
        <f t="shared" si="11"/>
        <v>512380.94193561829</v>
      </c>
      <c r="AD36" s="3">
        <f t="shared" si="12"/>
        <v>-343923.05806438171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U36" s="43">
        <f t="shared" si="3"/>
        <v>-4.3220500678177984</v>
      </c>
      <c r="AV36" s="3">
        <f t="shared" si="4"/>
        <v>-83390.25638368637</v>
      </c>
      <c r="AW36" s="45">
        <f t="shared" si="13"/>
        <v>-15834445.289756881</v>
      </c>
    </row>
    <row r="37" spans="1:49">
      <c r="A37" s="1" t="s">
        <v>120</v>
      </c>
      <c r="B37" s="40">
        <f t="shared" si="14"/>
        <v>2008</v>
      </c>
      <c r="C37" s="3">
        <v>18854006</v>
      </c>
      <c r="D37" s="3">
        <v>1103942</v>
      </c>
      <c r="E37" s="3">
        <f t="shared" si="0"/>
        <v>58.552118844133183</v>
      </c>
      <c r="G37" s="3">
        <v>8245265</v>
      </c>
      <c r="H37" s="3">
        <v>579362</v>
      </c>
      <c r="I37" s="3">
        <f t="shared" si="1"/>
        <v>70.266025409735164</v>
      </c>
      <c r="J37" s="3"/>
      <c r="K37" s="8">
        <f t="shared" si="2"/>
        <v>0.69573849422001055</v>
      </c>
      <c r="L37" s="3"/>
      <c r="M37" s="3">
        <v>36.950000000000003</v>
      </c>
      <c r="N37" s="3">
        <f t="shared" si="5"/>
        <v>696655.52170000004</v>
      </c>
      <c r="O37" s="3">
        <f t="shared" si="6"/>
        <v>-407286.47829999996</v>
      </c>
      <c r="Q37" s="3">
        <f t="shared" si="7"/>
        <v>304662.54174999997</v>
      </c>
      <c r="R37" s="3">
        <f t="shared" si="8"/>
        <v>-274699.45825000003</v>
      </c>
      <c r="S37" s="3"/>
      <c r="T37" s="3"/>
      <c r="U37" s="3"/>
      <c r="V37" s="3"/>
      <c r="W37" s="3"/>
      <c r="X37" s="3"/>
      <c r="Y37" s="3">
        <v>35.410860215053759</v>
      </c>
      <c r="Z37" s="3">
        <f t="shared" si="9"/>
        <v>667636.57095978491</v>
      </c>
      <c r="AA37" s="3">
        <f t="shared" si="10"/>
        <v>-436305.42904021509</v>
      </c>
      <c r="AC37" s="3">
        <f t="shared" si="11"/>
        <v>291971.92635107524</v>
      </c>
      <c r="AD37" s="3">
        <f t="shared" si="12"/>
        <v>-287390.07364892476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U37" s="43">
        <f t="shared" si="3"/>
        <v>-11.713906565601981</v>
      </c>
      <c r="AV37" s="3">
        <f t="shared" si="4"/>
        <v>-220854.06467129913</v>
      </c>
      <c r="AW37" s="45">
        <f t="shared" si="13"/>
        <v>-16312609.09038673</v>
      </c>
    </row>
    <row r="38" spans="1:49">
      <c r="A38" s="1" t="s">
        <v>117</v>
      </c>
      <c r="B38" s="40">
        <f t="shared" si="14"/>
        <v>2009</v>
      </c>
      <c r="C38" s="3">
        <v>18797465</v>
      </c>
      <c r="D38" s="3">
        <v>1091076</v>
      </c>
      <c r="E38" s="3">
        <f t="shared" si="0"/>
        <v>58.043784095355413</v>
      </c>
      <c r="G38" s="3">
        <v>4279061</v>
      </c>
      <c r="H38" s="3">
        <v>327387</v>
      </c>
      <c r="I38" s="3">
        <f t="shared" si="1"/>
        <v>76.509075238703062</v>
      </c>
      <c r="J38" s="3"/>
      <c r="K38" s="8">
        <f t="shared" si="2"/>
        <v>0.8145708327154616</v>
      </c>
      <c r="L38" s="3"/>
      <c r="M38" s="3">
        <v>37.783333333333339</v>
      </c>
      <c r="N38" s="3">
        <f t="shared" si="5"/>
        <v>710230.88591666671</v>
      </c>
      <c r="O38" s="3">
        <f t="shared" si="6"/>
        <v>-380845.11408333329</v>
      </c>
      <c r="Q38" s="3">
        <f t="shared" si="7"/>
        <v>161677.18811666669</v>
      </c>
      <c r="R38" s="3">
        <f t="shared" si="8"/>
        <v>-165709.81188333331</v>
      </c>
      <c r="S38" s="3"/>
      <c r="T38" s="3"/>
      <c r="U38" s="3"/>
      <c r="V38" s="3"/>
      <c r="W38" s="3"/>
      <c r="X38" s="3"/>
      <c r="Y38" s="3">
        <v>36.348809523809514</v>
      </c>
      <c r="Z38" s="3">
        <f t="shared" si="9"/>
        <v>683265.4748154761</v>
      </c>
      <c r="AA38" s="3">
        <f t="shared" si="10"/>
        <v>-407810.5251845239</v>
      </c>
      <c r="AC38" s="3">
        <f t="shared" si="11"/>
        <v>155538.77322976186</v>
      </c>
      <c r="AD38" s="3">
        <f t="shared" si="12"/>
        <v>-171848.22677023814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U38" s="43">
        <f t="shared" si="3"/>
        <v>-18.465291143347649</v>
      </c>
      <c r="AV38" s="3">
        <f t="shared" si="4"/>
        <v>-347100.6639818874</v>
      </c>
      <c r="AW38" s="45">
        <f t="shared" si="13"/>
        <v>-16924789.652087402</v>
      </c>
    </row>
    <row r="39" spans="1:49">
      <c r="A39" s="1" t="s">
        <v>118</v>
      </c>
      <c r="B39" s="40">
        <f t="shared" si="14"/>
        <v>2009</v>
      </c>
      <c r="C39" s="3">
        <v>18709911</v>
      </c>
      <c r="D39" s="3">
        <v>1117245</v>
      </c>
      <c r="E39" s="3">
        <f t="shared" si="0"/>
        <v>59.714073466196609</v>
      </c>
      <c r="G39" s="3">
        <v>5607044</v>
      </c>
      <c r="H39" s="3">
        <v>423239</v>
      </c>
      <c r="I39" s="3">
        <f t="shared" si="1"/>
        <v>75.483445466095873</v>
      </c>
      <c r="J39" s="3"/>
      <c r="K39" s="8">
        <f t="shared" si="2"/>
        <v>0.76941833383332736</v>
      </c>
      <c r="L39" s="3"/>
      <c r="M39" s="3">
        <v>41.45</v>
      </c>
      <c r="N39" s="3">
        <f t="shared" si="5"/>
        <v>775525.81095000007</v>
      </c>
      <c r="O39" s="3">
        <f t="shared" si="6"/>
        <v>-341719.18904999993</v>
      </c>
      <c r="Q39" s="3">
        <f t="shared" si="7"/>
        <v>232411.97380000001</v>
      </c>
      <c r="R39" s="3">
        <f t="shared" si="8"/>
        <v>-190827.02619999999</v>
      </c>
      <c r="S39" s="3"/>
      <c r="T39" s="3"/>
      <c r="U39" s="3"/>
      <c r="V39" s="3"/>
      <c r="W39" s="3"/>
      <c r="X39" s="3"/>
      <c r="Y39" s="3">
        <v>37.319569892473119</v>
      </c>
      <c r="Z39" s="3">
        <f t="shared" si="9"/>
        <v>698245.83124645159</v>
      </c>
      <c r="AA39" s="3">
        <f t="shared" si="10"/>
        <v>-418999.16875354841</v>
      </c>
      <c r="AC39" s="3">
        <f t="shared" si="11"/>
        <v>209252.47044817204</v>
      </c>
      <c r="AD39" s="3">
        <f t="shared" si="12"/>
        <v>-213986.52955182796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U39" s="43">
        <f t="shared" si="3"/>
        <v>-15.769371999899263</v>
      </c>
      <c r="AV39" s="3">
        <f t="shared" si="4"/>
        <v>-295043.54664400721</v>
      </c>
      <c r="AW39" s="45">
        <f t="shared" si="13"/>
        <v>-17494861.030577831</v>
      </c>
    </row>
    <row r="40" spans="1:49">
      <c r="A40" s="1" t="s">
        <v>119</v>
      </c>
      <c r="B40" s="40">
        <f t="shared" si="14"/>
        <v>2009</v>
      </c>
      <c r="C40" s="3">
        <v>19293801</v>
      </c>
      <c r="D40" s="3">
        <v>1288045</v>
      </c>
      <c r="E40" s="3">
        <f t="shared" si="0"/>
        <v>66.75952550770063</v>
      </c>
      <c r="G40" s="3">
        <v>12850943</v>
      </c>
      <c r="H40" s="3">
        <v>910213</v>
      </c>
      <c r="I40" s="3">
        <f t="shared" si="1"/>
        <v>70.828498733517065</v>
      </c>
      <c r="J40" s="3"/>
      <c r="K40" s="8">
        <f t="shared" si="2"/>
        <v>0.60021635263295303</v>
      </c>
      <c r="L40" s="3"/>
      <c r="M40" s="3">
        <v>67.783333333333346</v>
      </c>
      <c r="N40" s="3">
        <f t="shared" si="5"/>
        <v>1307798.1444500003</v>
      </c>
      <c r="O40" s="3">
        <f t="shared" si="6"/>
        <v>19753.144450000254</v>
      </c>
      <c r="Q40" s="3">
        <f t="shared" si="7"/>
        <v>871079.75301666674</v>
      </c>
      <c r="R40" s="3">
        <f t="shared" si="8"/>
        <v>-39133.246983333258</v>
      </c>
      <c r="S40" s="3"/>
      <c r="T40" s="3"/>
      <c r="U40" s="3"/>
      <c r="V40" s="3"/>
      <c r="W40" s="3"/>
      <c r="X40" s="3"/>
      <c r="Y40" s="3">
        <v>43.703539426523314</v>
      </c>
      <c r="Z40" s="3">
        <f t="shared" si="9"/>
        <v>843207.39269099501</v>
      </c>
      <c r="AA40" s="3">
        <f t="shared" si="10"/>
        <v>-444837.60730900499</v>
      </c>
      <c r="AC40" s="3">
        <f t="shared" si="11"/>
        <v>561631.69406850368</v>
      </c>
      <c r="AD40" s="3">
        <f t="shared" si="12"/>
        <v>-348581.30593149632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U40" s="43">
        <f t="shared" si="3"/>
        <v>-4.0689732258164355</v>
      </c>
      <c r="AV40" s="3">
        <f t="shared" si="4"/>
        <v>-78505.959693230368</v>
      </c>
      <c r="AW40" s="45">
        <f t="shared" si="13"/>
        <v>-17857658.482017953</v>
      </c>
    </row>
    <row r="41" spans="1:49">
      <c r="A41" s="1" t="s">
        <v>120</v>
      </c>
      <c r="B41" s="40">
        <f t="shared" si="14"/>
        <v>2009</v>
      </c>
      <c r="C41" s="3">
        <v>18779557</v>
      </c>
      <c r="D41" s="3">
        <v>1110135</v>
      </c>
      <c r="E41" s="3">
        <f t="shared" si="0"/>
        <v>59.114014244318966</v>
      </c>
      <c r="G41" s="3">
        <v>8671910</v>
      </c>
      <c r="H41" s="3">
        <v>606170</v>
      </c>
      <c r="I41" s="3">
        <f t="shared" si="1"/>
        <v>69.900402564141004</v>
      </c>
      <c r="J41" s="3"/>
      <c r="K41" s="8">
        <f t="shared" si="2"/>
        <v>0.68410030691620238</v>
      </c>
      <c r="L41" s="3"/>
      <c r="M41" s="3">
        <v>37.450000000000003</v>
      </c>
      <c r="N41" s="3">
        <f t="shared" si="5"/>
        <v>703294.40965000005</v>
      </c>
      <c r="O41" s="3">
        <f t="shared" si="6"/>
        <v>-406840.59034999995</v>
      </c>
      <c r="Q41" s="3">
        <f t="shared" si="7"/>
        <v>324763.0295</v>
      </c>
      <c r="R41" s="3">
        <f t="shared" si="8"/>
        <v>-281406.9705</v>
      </c>
      <c r="S41" s="3"/>
      <c r="T41" s="3"/>
      <c r="U41" s="3"/>
      <c r="V41" s="3"/>
      <c r="W41" s="3"/>
      <c r="X41" s="3"/>
      <c r="Y41" s="3">
        <v>36.553655913978496</v>
      </c>
      <c r="Z41" s="3">
        <f t="shared" si="9"/>
        <v>686461.46479494637</v>
      </c>
      <c r="AA41" s="3">
        <f t="shared" si="10"/>
        <v>-423673.53520505363</v>
      </c>
      <c r="AC41" s="3">
        <f t="shared" si="11"/>
        <v>316990.01425698923</v>
      </c>
      <c r="AD41" s="3">
        <f t="shared" si="12"/>
        <v>-289179.98574301077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U41" s="43">
        <f t="shared" si="3"/>
        <v>-10.786388319822038</v>
      </c>
      <c r="AV41" s="3">
        <f t="shared" si="4"/>
        <v>-202563.59427623218</v>
      </c>
      <c r="AW41" s="45">
        <f t="shared" si="13"/>
        <v>-18350409.026626978</v>
      </c>
    </row>
    <row r="42" spans="1:49">
      <c r="A42" s="1" t="s">
        <v>117</v>
      </c>
      <c r="B42" s="40">
        <f t="shared" si="14"/>
        <v>2010</v>
      </c>
      <c r="C42" s="3">
        <v>16709260</v>
      </c>
      <c r="D42" s="3">
        <v>1091325</v>
      </c>
      <c r="E42" s="3">
        <f t="shared" si="0"/>
        <v>65.31258715227365</v>
      </c>
      <c r="G42" s="3">
        <v>5072718</v>
      </c>
      <c r="H42" s="3">
        <v>383169</v>
      </c>
      <c r="I42" s="3">
        <f t="shared" si="1"/>
        <v>75.535245602061863</v>
      </c>
      <c r="J42" s="3"/>
      <c r="K42" s="8">
        <f t="shared" si="2"/>
        <v>0.76711398753593452</v>
      </c>
      <c r="L42" s="3"/>
      <c r="M42" s="3">
        <v>38.283333333333339</v>
      </c>
      <c r="N42" s="3">
        <f t="shared" si="5"/>
        <v>639686.17033333343</v>
      </c>
      <c r="O42" s="3">
        <f t="shared" si="6"/>
        <v>-451638.82966666657</v>
      </c>
      <c r="Q42" s="3">
        <f t="shared" si="7"/>
        <v>194200.55410000004</v>
      </c>
      <c r="R42" s="3">
        <f t="shared" si="8"/>
        <v>-188968.44589999996</v>
      </c>
      <c r="S42" s="3"/>
      <c r="T42" s="3"/>
      <c r="U42" s="3"/>
      <c r="V42" s="3"/>
      <c r="W42" s="3"/>
      <c r="X42" s="3"/>
      <c r="Y42" s="3">
        <v>36.511635944700451</v>
      </c>
      <c r="Z42" s="3">
        <f t="shared" si="9"/>
        <v>610082.41802534543</v>
      </c>
      <c r="AA42" s="3">
        <f t="shared" si="10"/>
        <v>-481242.58197465457</v>
      </c>
      <c r="AC42" s="3">
        <f t="shared" si="11"/>
        <v>185213.23286612899</v>
      </c>
      <c r="AD42" s="3">
        <f t="shared" si="12"/>
        <v>-197955.76713387101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U42" s="43">
        <f t="shared" si="3"/>
        <v>-10.222658449788213</v>
      </c>
      <c r="AV42" s="3">
        <f t="shared" si="4"/>
        <v>-170813.05792870821</v>
      </c>
      <c r="AW42" s="45">
        <f t="shared" si="13"/>
        <v>-18819416.231238376</v>
      </c>
    </row>
    <row r="43" spans="1:49">
      <c r="A43" s="1" t="s">
        <v>118</v>
      </c>
      <c r="B43" s="40">
        <f t="shared" si="14"/>
        <v>2010</v>
      </c>
      <c r="C43" s="3">
        <v>18607505</v>
      </c>
      <c r="D43" s="3">
        <v>1118705</v>
      </c>
      <c r="E43" s="3">
        <f t="shared" si="0"/>
        <v>60.121171538043392</v>
      </c>
      <c r="G43" s="3">
        <v>6342724</v>
      </c>
      <c r="H43" s="3">
        <v>470407</v>
      </c>
      <c r="I43" s="3">
        <f t="shared" si="1"/>
        <v>74.164822558887934</v>
      </c>
      <c r="J43" s="3"/>
      <c r="K43" s="8">
        <f t="shared" si="2"/>
        <v>0.74578493848693739</v>
      </c>
      <c r="L43" s="3"/>
      <c r="M43" s="3">
        <v>41.95</v>
      </c>
      <c r="N43" s="3">
        <f t="shared" si="5"/>
        <v>780584.83475000004</v>
      </c>
      <c r="O43" s="3">
        <f t="shared" si="6"/>
        <v>-338120.16524999996</v>
      </c>
      <c r="Q43" s="3">
        <f t="shared" si="7"/>
        <v>266077.27179999999</v>
      </c>
      <c r="R43" s="3">
        <f t="shared" si="8"/>
        <v>-204329.72820000001</v>
      </c>
      <c r="S43" s="3"/>
      <c r="T43" s="3"/>
      <c r="U43" s="3"/>
      <c r="V43" s="3"/>
      <c r="W43" s="3"/>
      <c r="X43" s="3"/>
      <c r="Y43" s="3">
        <v>37.531218637992829</v>
      </c>
      <c r="Z43" s="3">
        <f t="shared" si="9"/>
        <v>698362.33846254484</v>
      </c>
      <c r="AA43" s="3">
        <f t="shared" si="10"/>
        <v>-420342.66153745516</v>
      </c>
      <c r="AC43" s="3">
        <f t="shared" si="11"/>
        <v>238050.16120444445</v>
      </c>
      <c r="AD43" s="3">
        <f t="shared" si="12"/>
        <v>-232356.83879555555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U43" s="43">
        <f t="shared" si="3"/>
        <v>-14.043651020844543</v>
      </c>
      <c r="AV43" s="3">
        <f t="shared" si="4"/>
        <v>-261317.30658861992</v>
      </c>
      <c r="AW43" s="45">
        <f t="shared" si="13"/>
        <v>-19386549.05158462</v>
      </c>
    </row>
    <row r="44" spans="1:49">
      <c r="A44" s="1" t="s">
        <v>119</v>
      </c>
      <c r="B44" s="40">
        <f t="shared" si="14"/>
        <v>2010</v>
      </c>
      <c r="C44" s="3">
        <v>18922185</v>
      </c>
      <c r="D44" s="3">
        <v>1272959</v>
      </c>
      <c r="E44" s="3">
        <f t="shared" si="0"/>
        <v>67.273361929396629</v>
      </c>
      <c r="G44" s="3">
        <v>14446344</v>
      </c>
      <c r="H44" s="3">
        <v>1028263</v>
      </c>
      <c r="I44" s="3">
        <f t="shared" si="1"/>
        <v>71.178077996758205</v>
      </c>
      <c r="J44" s="3"/>
      <c r="K44" s="8">
        <f t="shared" si="2"/>
        <v>0.56706680117664165</v>
      </c>
      <c r="L44" s="3"/>
      <c r="M44" s="3">
        <v>68.283333333333346</v>
      </c>
      <c r="N44" s="3">
        <f t="shared" si="5"/>
        <v>1292069.8657500003</v>
      </c>
      <c r="O44" s="3">
        <f t="shared" si="6"/>
        <v>19110.865750000346</v>
      </c>
      <c r="Q44" s="3">
        <f t="shared" si="7"/>
        <v>986444.52280000015</v>
      </c>
      <c r="R44" s="3">
        <f t="shared" si="8"/>
        <v>-41818.477199999848</v>
      </c>
      <c r="S44" s="3"/>
      <c r="T44" s="3"/>
      <c r="U44" s="3"/>
      <c r="V44" s="3"/>
      <c r="W44" s="3"/>
      <c r="X44" s="3"/>
      <c r="Y44" s="3">
        <v>43.912768817204302</v>
      </c>
      <c r="Z44" s="3">
        <f t="shared" si="9"/>
        <v>830925.53542137099</v>
      </c>
      <c r="AA44" s="3">
        <f t="shared" si="10"/>
        <v>-442033.46457862901</v>
      </c>
      <c r="AC44" s="3">
        <f t="shared" si="11"/>
        <v>634378.96432580648</v>
      </c>
      <c r="AD44" s="3">
        <f t="shared" si="12"/>
        <v>-393884.03567419352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U44" s="43">
        <f t="shared" si="3"/>
        <v>-3.9047160673615764</v>
      </c>
      <c r="AV44" s="3">
        <f t="shared" si="4"/>
        <v>-73885.759799088206</v>
      </c>
      <c r="AW44" s="45">
        <f t="shared" si="13"/>
        <v>-19775466.23347196</v>
      </c>
    </row>
    <row r="45" spans="1:49">
      <c r="A45" s="1" t="s">
        <v>120</v>
      </c>
      <c r="B45" s="40">
        <f t="shared" si="14"/>
        <v>2010</v>
      </c>
      <c r="C45" s="3">
        <v>18490208</v>
      </c>
      <c r="D45" s="3">
        <v>1098610</v>
      </c>
      <c r="E45" s="3">
        <f t="shared" si="0"/>
        <v>59.415772932354251</v>
      </c>
      <c r="G45" s="3">
        <v>9928284</v>
      </c>
      <c r="H45" s="3">
        <v>705548</v>
      </c>
      <c r="I45" s="3">
        <f t="shared" si="1"/>
        <v>71.064445779351203</v>
      </c>
      <c r="J45" s="3"/>
      <c r="K45" s="8">
        <f t="shared" si="2"/>
        <v>0.65064001284797235</v>
      </c>
      <c r="L45" s="3"/>
      <c r="M45" s="3">
        <v>37.950000000000003</v>
      </c>
      <c r="N45" s="3">
        <f t="shared" si="5"/>
        <v>701703.39360000007</v>
      </c>
      <c r="O45" s="3">
        <f t="shared" si="6"/>
        <v>-396906.60639999993</v>
      </c>
      <c r="Q45" s="3">
        <f t="shared" si="7"/>
        <v>376778.37780000002</v>
      </c>
      <c r="R45" s="3">
        <f t="shared" si="8"/>
        <v>-328769.62219999998</v>
      </c>
      <c r="S45" s="3"/>
      <c r="T45" s="3"/>
      <c r="U45" s="3"/>
      <c r="V45" s="3"/>
      <c r="W45" s="3"/>
      <c r="X45" s="3"/>
      <c r="Y45" s="3">
        <v>36.726388888888884</v>
      </c>
      <c r="Z45" s="3">
        <f t="shared" si="9"/>
        <v>679078.56964444439</v>
      </c>
      <c r="AA45" s="3">
        <f t="shared" si="10"/>
        <v>-419531.43035555561</v>
      </c>
      <c r="AC45" s="3">
        <f t="shared" si="11"/>
        <v>364630.01918333326</v>
      </c>
      <c r="AD45" s="3">
        <f t="shared" si="12"/>
        <v>-340917.98081666674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U45" s="43">
        <f t="shared" si="3"/>
        <v>-11.648672846996952</v>
      </c>
      <c r="AV45" s="3">
        <f t="shared" si="4"/>
        <v>-215386.38386492583</v>
      </c>
      <c r="AW45" s="45">
        <f t="shared" si="13"/>
        <v>-20312203.943630807</v>
      </c>
    </row>
    <row r="47" spans="1:49">
      <c r="N47" s="3">
        <f>SUM(N8:N46)</f>
        <v>31723204.136616662</v>
      </c>
      <c r="O47" s="3">
        <f>SUM(O8:O46)</f>
        <v>-15954232.863383336</v>
      </c>
      <c r="Q47" s="3">
        <f>SUM(Q8:Q46)</f>
        <v>12192633.152666666</v>
      </c>
      <c r="R47" s="3">
        <f>SUM(R8:R46)</f>
        <v>-9845302.8473333344</v>
      </c>
      <c r="Z47" s="3">
        <f>SUM(Z8:Z46)</f>
        <v>25867706.730914041</v>
      </c>
      <c r="AA47" s="3">
        <f>SUM(AA8:AA46)</f>
        <v>-21809730.269085959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15">+D7+H7</f>
        <v>4550488</v>
      </c>
    </row>
    <row r="53" spans="1:5">
      <c r="A53" s="1" t="s">
        <v>119</v>
      </c>
      <c r="B53" s="40">
        <v>2001</v>
      </c>
      <c r="C53" s="3">
        <f t="shared" si="15"/>
        <v>3672830</v>
      </c>
    </row>
    <row r="54" spans="1:5">
      <c r="A54" s="1" t="s">
        <v>120</v>
      </c>
      <c r="B54" s="40">
        <v>2001</v>
      </c>
      <c r="C54" s="3">
        <f t="shared" si="15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15"/>
        <v>1835879</v>
      </c>
    </row>
    <row r="56" spans="1:5">
      <c r="A56" s="1" t="s">
        <v>118</v>
      </c>
      <c r="B56" s="40">
        <f t="shared" ref="B56:B62" si="16">+B52+1</f>
        <v>2002</v>
      </c>
      <c r="C56" s="3">
        <f t="shared" si="15"/>
        <v>1921539</v>
      </c>
    </row>
    <row r="57" spans="1:5">
      <c r="A57" s="1" t="s">
        <v>119</v>
      </c>
      <c r="B57" s="40">
        <f t="shared" si="16"/>
        <v>2002</v>
      </c>
      <c r="C57" s="3">
        <f t="shared" si="15"/>
        <v>2823681</v>
      </c>
    </row>
    <row r="58" spans="1:5">
      <c r="A58" s="1" t="s">
        <v>120</v>
      </c>
      <c r="B58" s="40">
        <f t="shared" si="16"/>
        <v>2002</v>
      </c>
      <c r="C58" s="3">
        <f t="shared" si="15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16"/>
        <v>2003</v>
      </c>
      <c r="C59" s="3">
        <f t="shared" si="15"/>
        <v>1564717</v>
      </c>
    </row>
    <row r="60" spans="1:5">
      <c r="A60" s="1" t="s">
        <v>118</v>
      </c>
      <c r="B60" s="40">
        <f t="shared" si="16"/>
        <v>2003</v>
      </c>
      <c r="C60" s="3">
        <f t="shared" si="15"/>
        <v>1524643</v>
      </c>
    </row>
    <row r="61" spans="1:5">
      <c r="A61" s="1" t="s">
        <v>119</v>
      </c>
      <c r="B61" s="40">
        <f t="shared" si="16"/>
        <v>2003</v>
      </c>
      <c r="C61" s="3">
        <f t="shared" si="15"/>
        <v>2371656</v>
      </c>
    </row>
    <row r="62" spans="1:5">
      <c r="A62" s="1" t="s">
        <v>120</v>
      </c>
      <c r="B62" s="40">
        <f t="shared" si="16"/>
        <v>2003</v>
      </c>
      <c r="C62" s="3">
        <f t="shared" si="15"/>
        <v>1857746</v>
      </c>
      <c r="D62" s="3">
        <f>++5155000+3985000+1194000</f>
        <v>10334000</v>
      </c>
      <c r="E62" s="3">
        <f>SUM(D$51:D62)-SUM(C$51:C62)</f>
        <v>-6432379</v>
      </c>
    </row>
    <row r="68" spans="1:25">
      <c r="A68" s="1" t="s">
        <v>388</v>
      </c>
      <c r="B68" s="1" t="s">
        <v>195</v>
      </c>
      <c r="D68" s="3">
        <v>37064</v>
      </c>
    </row>
    <row r="70" spans="1:25">
      <c r="C70" s="3" t="s">
        <v>368</v>
      </c>
    </row>
    <row r="71" spans="1:25">
      <c r="B71" s="1" t="s">
        <v>389</v>
      </c>
      <c r="C71" s="3" t="s">
        <v>390</v>
      </c>
      <c r="D71" s="3" t="s">
        <v>391</v>
      </c>
    </row>
    <row r="72" spans="1:25">
      <c r="B72" s="1" t="s">
        <v>392</v>
      </c>
      <c r="C72" s="3" t="s">
        <v>392</v>
      </c>
      <c r="D72" s="3" t="s">
        <v>392</v>
      </c>
      <c r="H72" s="3" t="s">
        <v>195</v>
      </c>
      <c r="R72" s="3"/>
      <c r="S72" s="3"/>
      <c r="T72" s="3"/>
      <c r="U72" s="3"/>
      <c r="V72" s="3"/>
      <c r="W72" s="3"/>
      <c r="X72" s="3"/>
      <c r="Y72" s="3" t="s">
        <v>195</v>
      </c>
    </row>
    <row r="73" spans="1:25">
      <c r="A73" s="1" t="s">
        <v>393</v>
      </c>
      <c r="R73" s="3"/>
      <c r="S73" s="3"/>
      <c r="T73" s="3"/>
      <c r="U73" s="3"/>
      <c r="V73" s="3"/>
      <c r="W73" s="3"/>
      <c r="X73" s="3"/>
    </row>
    <row r="74" spans="1:25">
      <c r="A74" s="157">
        <v>37103</v>
      </c>
      <c r="B74" s="158">
        <v>76</v>
      </c>
      <c r="C74" s="158">
        <v>86</v>
      </c>
      <c r="D74" s="158">
        <v>96</v>
      </c>
      <c r="F74" s="3" t="s">
        <v>119</v>
      </c>
      <c r="G74" s="159">
        <v>2001</v>
      </c>
      <c r="H74" s="3">
        <f>AVERAGE(D74:D76)</f>
        <v>97.666666666666671</v>
      </c>
      <c r="M74" s="160">
        <v>68.806451612903231</v>
      </c>
      <c r="O74" s="3" t="s">
        <v>119</v>
      </c>
      <c r="R74" s="159">
        <v>2001</v>
      </c>
      <c r="S74" s="159"/>
      <c r="T74" s="159"/>
      <c r="U74" s="159"/>
      <c r="V74" s="159"/>
      <c r="W74" s="159"/>
      <c r="X74" s="159"/>
      <c r="Y74" s="3">
        <f>AVERAGE(M74:M76)</f>
        <v>70.647311827956983</v>
      </c>
    </row>
    <row r="75" spans="1:25">
      <c r="A75" s="157">
        <v>37104</v>
      </c>
      <c r="B75" s="158">
        <v>81</v>
      </c>
      <c r="C75" s="158">
        <v>91</v>
      </c>
      <c r="D75" s="158">
        <v>101</v>
      </c>
      <c r="F75" s="3" t="s">
        <v>120</v>
      </c>
      <c r="G75" s="159">
        <v>2001</v>
      </c>
      <c r="H75" s="3">
        <f>AVERAGE(D77:D79)</f>
        <v>71.666666666666671</v>
      </c>
      <c r="M75" s="160">
        <v>72.935483870967744</v>
      </c>
      <c r="O75" s="3" t="s">
        <v>120</v>
      </c>
      <c r="R75" s="159">
        <v>2001</v>
      </c>
      <c r="S75" s="159"/>
      <c r="T75" s="159"/>
      <c r="U75" s="159"/>
      <c r="V75" s="159"/>
      <c r="W75" s="159"/>
      <c r="X75" s="159"/>
      <c r="Y75" s="3">
        <f>AVERAGE(M77:M79)</f>
        <v>56.223118279569896</v>
      </c>
    </row>
    <row r="76" spans="1:25">
      <c r="A76" s="157">
        <v>37135</v>
      </c>
      <c r="B76" s="158">
        <v>76</v>
      </c>
      <c r="C76" s="158">
        <v>86</v>
      </c>
      <c r="D76" s="158">
        <v>96</v>
      </c>
      <c r="F76" s="3" t="s">
        <v>117</v>
      </c>
      <c r="G76" s="159">
        <v>2002</v>
      </c>
      <c r="H76" s="3">
        <f>AVERAGE(D80:D82)</f>
        <v>51.5</v>
      </c>
      <c r="M76" s="160">
        <v>70.2</v>
      </c>
      <c r="O76" s="3" t="s">
        <v>117</v>
      </c>
      <c r="R76" s="159">
        <v>2002</v>
      </c>
      <c r="S76" s="159"/>
      <c r="T76" s="159"/>
      <c r="U76" s="159"/>
      <c r="V76" s="159"/>
      <c r="W76" s="159"/>
      <c r="X76" s="159"/>
      <c r="Y76" s="3">
        <f>AVERAGE(M80:M82)</f>
        <v>53.208141321044543</v>
      </c>
    </row>
    <row r="77" spans="1:25">
      <c r="A77" s="157">
        <v>37165</v>
      </c>
      <c r="B77" s="158">
        <v>65</v>
      </c>
      <c r="C77" s="158">
        <v>75</v>
      </c>
      <c r="D77" s="158">
        <v>85</v>
      </c>
      <c r="F77" s="3" t="s">
        <v>118</v>
      </c>
      <c r="G77" s="159">
        <v>2002</v>
      </c>
      <c r="H77" s="3">
        <f>AVERAGE(D83:D85)</f>
        <v>50.5</v>
      </c>
      <c r="M77" s="160">
        <v>65.967741935483872</v>
      </c>
      <c r="O77" s="3" t="s">
        <v>118</v>
      </c>
      <c r="R77" s="159">
        <v>2002</v>
      </c>
      <c r="S77" s="159"/>
      <c r="T77" s="159"/>
      <c r="U77" s="159"/>
      <c r="V77" s="159"/>
      <c r="W77" s="159"/>
      <c r="X77" s="159"/>
      <c r="Y77" s="3">
        <f>AVERAGE(M83:M85)</f>
        <v>45.082078853046596</v>
      </c>
    </row>
    <row r="78" spans="1:25">
      <c r="A78" s="157">
        <v>37196</v>
      </c>
      <c r="B78" s="158">
        <v>45</v>
      </c>
      <c r="C78" s="158">
        <v>55</v>
      </c>
      <c r="D78" s="158">
        <v>65</v>
      </c>
      <c r="F78" s="3" t="s">
        <v>119</v>
      </c>
      <c r="G78" s="159">
        <v>2002</v>
      </c>
      <c r="H78" s="3">
        <f>AVERAGE(D86:D88)</f>
        <v>83.5</v>
      </c>
      <c r="M78" s="160">
        <v>51.25</v>
      </c>
      <c r="O78" s="3" t="s">
        <v>119</v>
      </c>
      <c r="R78" s="159">
        <v>2002</v>
      </c>
      <c r="S78" s="159"/>
      <c r="T78" s="159"/>
      <c r="U78" s="159"/>
      <c r="V78" s="159"/>
      <c r="W78" s="159"/>
      <c r="X78" s="159"/>
      <c r="Y78" s="3">
        <f>AVERAGE(M86:M88)</f>
        <v>56.71612903225806</v>
      </c>
    </row>
    <row r="79" spans="1:25">
      <c r="A79" s="157">
        <v>37226</v>
      </c>
      <c r="B79" s="158">
        <v>45</v>
      </c>
      <c r="C79" s="158">
        <v>55</v>
      </c>
      <c r="D79" s="158">
        <v>65</v>
      </c>
      <c r="F79" s="3" t="s">
        <v>120</v>
      </c>
      <c r="G79" s="159">
        <v>2002</v>
      </c>
      <c r="H79" s="3">
        <f>AVERAGE(D89:D91)</f>
        <v>46.5</v>
      </c>
      <c r="I79" s="23">
        <v>89</v>
      </c>
      <c r="J79" s="23">
        <v>91</v>
      </c>
      <c r="M79" s="160">
        <v>51.451612903225808</v>
      </c>
      <c r="O79" s="3" t="s">
        <v>120</v>
      </c>
      <c r="R79" s="159">
        <v>2002</v>
      </c>
      <c r="S79" s="159"/>
      <c r="T79" s="159"/>
      <c r="U79" s="159"/>
      <c r="V79" s="159"/>
      <c r="W79" s="159"/>
      <c r="X79" s="159"/>
      <c r="Y79" s="3">
        <f>AVERAGE(M89:M91)</f>
        <v>37.380824372759861</v>
      </c>
    </row>
    <row r="80" spans="1:25">
      <c r="A80" s="157">
        <v>37257</v>
      </c>
      <c r="B80" s="158">
        <v>57.75</v>
      </c>
      <c r="C80" s="158">
        <v>59</v>
      </c>
      <c r="D80" s="158">
        <v>63.5</v>
      </c>
      <c r="F80" s="3" t="s">
        <v>117</v>
      </c>
      <c r="G80" s="159">
        <v>2003</v>
      </c>
      <c r="H80" s="3">
        <f>AVERAGE(D92:D94)</f>
        <v>41.166666666666664</v>
      </c>
      <c r="I80" s="23">
        <f>+I79+3</f>
        <v>92</v>
      </c>
      <c r="J80" s="23">
        <f>+J79+3</f>
        <v>94</v>
      </c>
      <c r="M80" s="160">
        <v>64.112903225806463</v>
      </c>
      <c r="O80" s="3" t="s">
        <v>117</v>
      </c>
      <c r="R80" s="159">
        <v>2003</v>
      </c>
      <c r="S80" s="159"/>
      <c r="T80" s="159"/>
      <c r="U80" s="159"/>
      <c r="V80" s="159"/>
      <c r="W80" s="159"/>
      <c r="X80" s="159"/>
      <c r="Y80" s="3">
        <f>AVERAGE(M92:M94)</f>
        <v>34.660522273425499</v>
      </c>
    </row>
    <row r="81" spans="1:25">
      <c r="A81" s="157">
        <v>37288</v>
      </c>
      <c r="B81" s="158">
        <v>40.75</v>
      </c>
      <c r="C81" s="158">
        <v>42</v>
      </c>
      <c r="D81" s="158">
        <v>46.5</v>
      </c>
      <c r="F81" s="3" t="s">
        <v>118</v>
      </c>
      <c r="G81" s="159">
        <v>2003</v>
      </c>
      <c r="H81" s="3">
        <f>AVERAGE(D95:D97)</f>
        <v>37.833333333333336</v>
      </c>
      <c r="I81" s="23">
        <f t="shared" ref="I81:I111" si="17">+I80+3</f>
        <v>95</v>
      </c>
      <c r="J81" s="23">
        <f t="shared" ref="J81:J111" si="18">+J80+3</f>
        <v>97</v>
      </c>
      <c r="M81" s="160">
        <v>49.285714285714278</v>
      </c>
      <c r="O81" s="3" t="s">
        <v>118</v>
      </c>
      <c r="R81" s="159">
        <v>2003</v>
      </c>
      <c r="S81" s="159"/>
      <c r="T81" s="159"/>
      <c r="U81" s="159"/>
      <c r="V81" s="159"/>
      <c r="W81" s="159"/>
      <c r="X81" s="159"/>
      <c r="Y81" s="3">
        <f>AVERAGE(M95:M97)</f>
        <v>34.971863799283149</v>
      </c>
    </row>
    <row r="82" spans="1:25">
      <c r="A82" s="157">
        <v>37316</v>
      </c>
      <c r="B82" s="158">
        <v>38.75</v>
      </c>
      <c r="C82" s="158">
        <v>40</v>
      </c>
      <c r="D82" s="158">
        <v>44.5</v>
      </c>
      <c r="F82" s="3" t="s">
        <v>119</v>
      </c>
      <c r="G82" s="159">
        <v>2003</v>
      </c>
      <c r="H82" s="3">
        <f>AVERAGE(D98:D100)</f>
        <v>68.5</v>
      </c>
      <c r="I82" s="23">
        <f t="shared" si="17"/>
        <v>98</v>
      </c>
      <c r="J82" s="23">
        <f t="shared" si="18"/>
        <v>100</v>
      </c>
      <c r="M82" s="160">
        <v>46.225806451612897</v>
      </c>
      <c r="O82" s="3" t="s">
        <v>119</v>
      </c>
      <c r="R82" s="159">
        <v>2003</v>
      </c>
      <c r="S82" s="159"/>
      <c r="T82" s="159"/>
      <c r="U82" s="159"/>
      <c r="V82" s="159"/>
      <c r="W82" s="159"/>
      <c r="X82" s="159"/>
      <c r="Y82" s="3">
        <f>AVERAGE(M98:M100)</f>
        <v>47.482974910394262</v>
      </c>
    </row>
    <row r="83" spans="1:25">
      <c r="A83" s="157">
        <v>37347</v>
      </c>
      <c r="B83" s="158">
        <v>38.75</v>
      </c>
      <c r="C83" s="158">
        <v>40</v>
      </c>
      <c r="D83" s="158">
        <v>44.5</v>
      </c>
      <c r="F83" s="3" t="s">
        <v>120</v>
      </c>
      <c r="G83" s="159">
        <v>2003</v>
      </c>
      <c r="H83" s="3">
        <f>AVERAGE(D101:D103)</f>
        <v>36.166666666666664</v>
      </c>
      <c r="I83" s="23">
        <f t="shared" si="17"/>
        <v>101</v>
      </c>
      <c r="J83" s="23">
        <f t="shared" si="18"/>
        <v>103</v>
      </c>
      <c r="M83" s="160">
        <v>43.133333333333333</v>
      </c>
      <c r="O83" s="3" t="s">
        <v>120</v>
      </c>
      <c r="R83" s="159">
        <v>2003</v>
      </c>
      <c r="S83" s="159"/>
      <c r="T83" s="159"/>
      <c r="U83" s="159"/>
      <c r="V83" s="159"/>
      <c r="W83" s="159"/>
      <c r="X83" s="159"/>
      <c r="Y83" s="3">
        <f>AVERAGE(M101:M103)</f>
        <v>35.095698924731181</v>
      </c>
    </row>
    <row r="84" spans="1:25">
      <c r="A84" s="157">
        <v>37377</v>
      </c>
      <c r="B84" s="158">
        <v>42.75</v>
      </c>
      <c r="C84" s="158">
        <v>44</v>
      </c>
      <c r="D84" s="158">
        <v>48.5</v>
      </c>
      <c r="F84" s="3" t="s">
        <v>117</v>
      </c>
      <c r="G84" s="159">
        <v>2004</v>
      </c>
      <c r="H84" s="3">
        <f>AVERAGE(D104:D106)</f>
        <v>35.833333333333336</v>
      </c>
      <c r="I84" s="23">
        <f t="shared" si="17"/>
        <v>104</v>
      </c>
      <c r="J84" s="23">
        <f t="shared" si="18"/>
        <v>106</v>
      </c>
      <c r="M84" s="160">
        <v>42.612903225806448</v>
      </c>
      <c r="O84" s="3" t="s">
        <v>117</v>
      </c>
      <c r="R84" s="159">
        <v>2004</v>
      </c>
      <c r="S84" s="159"/>
      <c r="T84" s="159"/>
      <c r="U84" s="159"/>
      <c r="V84" s="159"/>
      <c r="W84" s="159"/>
      <c r="X84" s="159"/>
      <c r="Y84" s="3">
        <f>AVERAGE(M104:M106)</f>
        <v>33.677048572487955</v>
      </c>
    </row>
    <row r="85" spans="1:25">
      <c r="A85" s="157">
        <v>37408</v>
      </c>
      <c r="B85" s="158">
        <v>52.75</v>
      </c>
      <c r="C85" s="158">
        <v>54</v>
      </c>
      <c r="D85" s="158">
        <v>58.5</v>
      </c>
      <c r="F85" s="3" t="s">
        <v>118</v>
      </c>
      <c r="G85" s="159">
        <v>2004</v>
      </c>
      <c r="H85" s="3">
        <f>AVERAGE(D107:D109)</f>
        <v>39.5</v>
      </c>
      <c r="I85" s="23">
        <f t="shared" si="17"/>
        <v>107</v>
      </c>
      <c r="J85" s="23">
        <f t="shared" si="18"/>
        <v>109</v>
      </c>
      <c r="M85" s="160">
        <v>49.5</v>
      </c>
      <c r="O85" s="3" t="s">
        <v>118</v>
      </c>
      <c r="R85" s="159">
        <v>2004</v>
      </c>
      <c r="S85" s="159"/>
      <c r="T85" s="159"/>
      <c r="U85" s="159"/>
      <c r="V85" s="159"/>
      <c r="W85" s="159"/>
      <c r="X85" s="159"/>
      <c r="Y85" s="3">
        <f>AVERAGE(M107:M109)</f>
        <v>34.673118279569898</v>
      </c>
    </row>
    <row r="86" spans="1:25">
      <c r="A86" s="157">
        <v>37438</v>
      </c>
      <c r="B86" s="158">
        <v>80.75</v>
      </c>
      <c r="C86" s="158">
        <v>82</v>
      </c>
      <c r="D86" s="158">
        <v>86.5</v>
      </c>
      <c r="F86" s="3" t="s">
        <v>119</v>
      </c>
      <c r="G86" s="159">
        <v>2004</v>
      </c>
      <c r="H86" s="3">
        <f>AVERAGE(D110:D112)</f>
        <v>65.833333333333329</v>
      </c>
      <c r="I86" s="23">
        <f t="shared" si="17"/>
        <v>110</v>
      </c>
      <c r="J86" s="23">
        <f t="shared" si="18"/>
        <v>112</v>
      </c>
      <c r="M86" s="160">
        <v>55.903225806451601</v>
      </c>
      <c r="O86" s="3" t="s">
        <v>119</v>
      </c>
      <c r="R86" s="159">
        <v>2004</v>
      </c>
      <c r="S86" s="159"/>
      <c r="T86" s="159"/>
      <c r="U86" s="159"/>
      <c r="V86" s="159"/>
      <c r="W86" s="159"/>
      <c r="X86" s="159"/>
      <c r="Y86" s="3">
        <f>AVERAGE(M110:M112)</f>
        <v>41.063620071684589</v>
      </c>
    </row>
    <row r="87" spans="1:25">
      <c r="A87" s="157">
        <v>37469</v>
      </c>
      <c r="B87" s="158">
        <v>85.75</v>
      </c>
      <c r="C87" s="158">
        <v>87</v>
      </c>
      <c r="D87" s="158">
        <v>91.5</v>
      </c>
      <c r="F87" s="3" t="s">
        <v>120</v>
      </c>
      <c r="G87" s="159">
        <v>2004</v>
      </c>
      <c r="H87" s="3">
        <f>AVERAGE(D113:D115)</f>
        <v>35.5</v>
      </c>
      <c r="I87" s="23">
        <f t="shared" si="17"/>
        <v>113</v>
      </c>
      <c r="J87" s="23">
        <f t="shared" si="18"/>
        <v>115</v>
      </c>
      <c r="M87" s="160">
        <v>61.645161290322577</v>
      </c>
      <c r="O87" s="3" t="s">
        <v>120</v>
      </c>
      <c r="R87" s="159">
        <v>2004</v>
      </c>
      <c r="S87" s="159"/>
      <c r="T87" s="159"/>
      <c r="U87" s="159"/>
      <c r="V87" s="159"/>
      <c r="W87" s="159"/>
      <c r="X87" s="159"/>
      <c r="Y87" s="3">
        <f>AVERAGE(M113:M115)</f>
        <v>33.877240143369171</v>
      </c>
    </row>
    <row r="88" spans="1:25">
      <c r="A88" s="157">
        <v>37500</v>
      </c>
      <c r="B88" s="158">
        <v>66.75</v>
      </c>
      <c r="C88" s="158">
        <v>68</v>
      </c>
      <c r="D88" s="158">
        <v>72.5</v>
      </c>
      <c r="F88" s="3" t="s">
        <v>117</v>
      </c>
      <c r="G88" s="159">
        <v>2005</v>
      </c>
      <c r="H88" s="3">
        <f>AVERAGE(D116:D118)</f>
        <v>35.833333333333336</v>
      </c>
      <c r="I88" s="23">
        <f t="shared" si="17"/>
        <v>116</v>
      </c>
      <c r="J88" s="23">
        <f t="shared" si="18"/>
        <v>118</v>
      </c>
      <c r="M88" s="160">
        <v>52.6</v>
      </c>
      <c r="O88" s="3" t="s">
        <v>117</v>
      </c>
      <c r="R88" s="159">
        <v>2005</v>
      </c>
      <c r="S88" s="159"/>
      <c r="T88" s="159"/>
      <c r="U88" s="159"/>
      <c r="V88" s="159"/>
      <c r="W88" s="159"/>
      <c r="X88" s="159"/>
      <c r="Y88" s="3">
        <f>AVERAGE(M116:M118)</f>
        <v>33.655145929339483</v>
      </c>
    </row>
    <row r="89" spans="1:25">
      <c r="A89" s="157">
        <v>37530</v>
      </c>
      <c r="B89" s="158">
        <v>45.75</v>
      </c>
      <c r="C89" s="158">
        <v>47</v>
      </c>
      <c r="D89" s="158">
        <v>51.5</v>
      </c>
      <c r="F89" s="3" t="s">
        <v>118</v>
      </c>
      <c r="G89" s="159">
        <v>2005</v>
      </c>
      <c r="H89" s="3">
        <f>AVERAGE(D119:D121)</f>
        <v>39.5</v>
      </c>
      <c r="I89" s="23">
        <f t="shared" si="17"/>
        <v>119</v>
      </c>
      <c r="J89" s="23">
        <f t="shared" si="18"/>
        <v>121</v>
      </c>
      <c r="M89" s="160">
        <v>40.451612903225808</v>
      </c>
      <c r="O89" s="3" t="s">
        <v>118</v>
      </c>
      <c r="R89" s="159">
        <v>2005</v>
      </c>
      <c r="S89" s="159"/>
      <c r="T89" s="159"/>
      <c r="U89" s="159"/>
      <c r="V89" s="159"/>
      <c r="W89" s="159"/>
      <c r="X89" s="159"/>
      <c r="Y89" s="3">
        <f>AVERAGE(M119:M121)</f>
        <v>34.673118279569898</v>
      </c>
    </row>
    <row r="90" spans="1:25">
      <c r="A90" s="157">
        <v>37561</v>
      </c>
      <c r="B90" s="158">
        <v>37.75</v>
      </c>
      <c r="C90" s="158">
        <v>39</v>
      </c>
      <c r="D90" s="158">
        <v>43.5</v>
      </c>
      <c r="F90" s="3" t="s">
        <v>119</v>
      </c>
      <c r="G90" s="159">
        <v>2005</v>
      </c>
      <c r="H90" s="3">
        <f>AVERAGE(D122:D124)</f>
        <v>65.833333333333329</v>
      </c>
      <c r="I90" s="23">
        <f t="shared" si="17"/>
        <v>122</v>
      </c>
      <c r="J90" s="23">
        <f t="shared" si="18"/>
        <v>124</v>
      </c>
      <c r="M90" s="160">
        <v>35.916666666666664</v>
      </c>
      <c r="O90" s="3" t="s">
        <v>119</v>
      </c>
      <c r="R90" s="159">
        <v>2005</v>
      </c>
      <c r="S90" s="159"/>
      <c r="T90" s="159"/>
      <c r="U90" s="159"/>
      <c r="V90" s="159"/>
      <c r="W90" s="159"/>
      <c r="X90" s="159"/>
      <c r="Y90" s="3">
        <f>AVERAGE(M122:M124)</f>
        <v>41.101254480286741</v>
      </c>
    </row>
    <row r="91" spans="1:25">
      <c r="A91" s="157">
        <v>37591</v>
      </c>
      <c r="B91" s="158">
        <v>38.75</v>
      </c>
      <c r="C91" s="158">
        <v>40</v>
      </c>
      <c r="D91" s="158">
        <v>44.5</v>
      </c>
      <c r="F91" s="3" t="s">
        <v>120</v>
      </c>
      <c r="G91" s="159">
        <v>2005</v>
      </c>
      <c r="H91" s="3">
        <f>AVERAGE(D125:D127)</f>
        <v>35.5</v>
      </c>
      <c r="I91" s="23">
        <f t="shared" si="17"/>
        <v>125</v>
      </c>
      <c r="J91" s="23">
        <f t="shared" si="18"/>
        <v>127</v>
      </c>
      <c r="M91" s="160">
        <v>35.774193548387103</v>
      </c>
      <c r="O91" s="3" t="s">
        <v>120</v>
      </c>
      <c r="R91" s="159">
        <v>2005</v>
      </c>
      <c r="S91" s="159"/>
      <c r="T91" s="159"/>
      <c r="U91" s="159"/>
      <c r="V91" s="159"/>
      <c r="W91" s="159"/>
      <c r="X91" s="159"/>
      <c r="Y91" s="3">
        <f>AVERAGE(M125:M127)</f>
        <v>33.877240143369171</v>
      </c>
    </row>
    <row r="92" spans="1:25">
      <c r="A92" s="157">
        <v>37622</v>
      </c>
      <c r="B92" s="158">
        <v>36.5</v>
      </c>
      <c r="C92" s="158">
        <v>38</v>
      </c>
      <c r="D92" s="158">
        <v>42.5</v>
      </c>
      <c r="F92" s="3" t="s">
        <v>117</v>
      </c>
      <c r="G92" s="159">
        <v>2006</v>
      </c>
      <c r="H92" s="3">
        <f>AVERAGE(D128:D130)</f>
        <v>36.083333333333336</v>
      </c>
      <c r="I92" s="23">
        <f t="shared" si="17"/>
        <v>128</v>
      </c>
      <c r="J92" s="23">
        <f t="shared" si="18"/>
        <v>130</v>
      </c>
      <c r="M92" s="160">
        <v>38.774193548387096</v>
      </c>
      <c r="O92" s="3" t="s">
        <v>117</v>
      </c>
      <c r="R92" s="159">
        <v>2006</v>
      </c>
      <c r="S92" s="159"/>
      <c r="T92" s="159"/>
      <c r="U92" s="159"/>
      <c r="V92" s="159"/>
      <c r="W92" s="159"/>
      <c r="X92" s="159"/>
      <c r="Y92" s="3">
        <f>AVERAGE(M128:M130)</f>
        <v>33.793509984639009</v>
      </c>
    </row>
    <row r="93" spans="1:25">
      <c r="A93" s="157">
        <v>37653</v>
      </c>
      <c r="B93" s="158">
        <v>35.5</v>
      </c>
      <c r="C93" s="158">
        <v>37</v>
      </c>
      <c r="D93" s="158">
        <v>41.5</v>
      </c>
      <c r="F93" s="3" t="s">
        <v>118</v>
      </c>
      <c r="G93" s="159">
        <v>2006</v>
      </c>
      <c r="H93" s="3">
        <f>AVERAGE(D131:D133)</f>
        <v>39.75</v>
      </c>
      <c r="I93" s="23">
        <f t="shared" si="17"/>
        <v>131</v>
      </c>
      <c r="J93" s="23">
        <f t="shared" si="18"/>
        <v>133</v>
      </c>
      <c r="M93" s="160">
        <v>33.642857142857139</v>
      </c>
      <c r="O93" s="3" t="s">
        <v>118</v>
      </c>
      <c r="R93" s="159">
        <v>2006</v>
      </c>
      <c r="S93" s="159"/>
      <c r="T93" s="159"/>
      <c r="U93" s="159"/>
      <c r="V93" s="159"/>
      <c r="W93" s="159"/>
      <c r="X93" s="159"/>
      <c r="Y93" s="3">
        <f>AVERAGE(M131:M133)</f>
        <v>34.821621863799272</v>
      </c>
    </row>
    <row r="94" spans="1:25">
      <c r="A94" s="157">
        <v>37681</v>
      </c>
      <c r="B94" s="158">
        <v>33.5</v>
      </c>
      <c r="C94" s="158">
        <v>35</v>
      </c>
      <c r="D94" s="158">
        <v>39.5</v>
      </c>
      <c r="F94" s="3" t="s">
        <v>119</v>
      </c>
      <c r="G94" s="159">
        <v>2006</v>
      </c>
      <c r="H94" s="3">
        <f>AVERAGE(D134:D136)</f>
        <v>66.083333333333329</v>
      </c>
      <c r="I94" s="23">
        <f t="shared" si="17"/>
        <v>134</v>
      </c>
      <c r="J94" s="23">
        <f t="shared" si="18"/>
        <v>136</v>
      </c>
      <c r="M94" s="160">
        <v>31.564516129032256</v>
      </c>
      <c r="O94" s="3" t="s">
        <v>119</v>
      </c>
      <c r="R94" s="159">
        <v>2006</v>
      </c>
      <c r="S94" s="159"/>
      <c r="T94" s="159"/>
      <c r="U94" s="159"/>
      <c r="V94" s="159"/>
      <c r="W94" s="159"/>
      <c r="X94" s="159"/>
      <c r="Y94" s="3">
        <f>AVERAGE(M134:M136)</f>
        <v>41.239023297491038</v>
      </c>
    </row>
    <row r="95" spans="1:25">
      <c r="A95" s="157">
        <v>37712</v>
      </c>
      <c r="B95" s="158">
        <v>28.5</v>
      </c>
      <c r="C95" s="158">
        <v>30</v>
      </c>
      <c r="D95" s="158">
        <v>34.5</v>
      </c>
      <c r="F95" s="3" t="s">
        <v>120</v>
      </c>
      <c r="G95" s="159">
        <v>2006</v>
      </c>
      <c r="H95" s="3">
        <f>AVERAGE(D137:D139)</f>
        <v>35.75</v>
      </c>
      <c r="I95" s="23">
        <f t="shared" si="17"/>
        <v>137</v>
      </c>
      <c r="J95" s="23">
        <f t="shared" si="18"/>
        <v>139</v>
      </c>
      <c r="M95" s="160">
        <v>32.466666666666669</v>
      </c>
      <c r="O95" s="3" t="s">
        <v>120</v>
      </c>
      <c r="R95" s="159">
        <v>2006</v>
      </c>
      <c r="S95" s="159"/>
      <c r="T95" s="159"/>
      <c r="U95" s="159"/>
      <c r="V95" s="159"/>
      <c r="W95" s="159"/>
      <c r="X95" s="159"/>
      <c r="Y95" s="3">
        <f>AVERAGE(M137:M139)</f>
        <v>34.148611111111109</v>
      </c>
    </row>
    <row r="96" spans="1:25">
      <c r="A96" s="157">
        <v>37742</v>
      </c>
      <c r="B96" s="158">
        <v>29.5</v>
      </c>
      <c r="C96" s="158">
        <v>31</v>
      </c>
      <c r="D96" s="158">
        <v>35.5</v>
      </c>
      <c r="F96" s="3" t="s">
        <v>117</v>
      </c>
      <c r="G96" s="159">
        <v>2007</v>
      </c>
      <c r="H96" s="3">
        <f>AVERAGE(D140:D142)</f>
        <v>36.933333333333337</v>
      </c>
      <c r="I96" s="23">
        <f t="shared" si="17"/>
        <v>140</v>
      </c>
      <c r="J96" s="23">
        <f t="shared" si="18"/>
        <v>142</v>
      </c>
      <c r="M96" s="160">
        <v>32.532258064516128</v>
      </c>
      <c r="O96" s="3" t="s">
        <v>117</v>
      </c>
      <c r="R96" s="159">
        <v>2007</v>
      </c>
      <c r="S96" s="159"/>
      <c r="T96" s="159"/>
      <c r="U96" s="159"/>
      <c r="V96" s="159"/>
      <c r="W96" s="159"/>
      <c r="X96" s="159"/>
      <c r="Y96" s="3">
        <f>AVERAGE(M140:M142)</f>
        <v>34.884869431643615</v>
      </c>
    </row>
    <row r="97" spans="1:25">
      <c r="A97" s="157">
        <v>37773</v>
      </c>
      <c r="B97" s="158">
        <v>37.5</v>
      </c>
      <c r="C97" s="158">
        <v>39</v>
      </c>
      <c r="D97" s="158">
        <v>43.5</v>
      </c>
      <c r="F97" s="3" t="s">
        <v>118</v>
      </c>
      <c r="G97" s="159">
        <v>2007</v>
      </c>
      <c r="H97" s="3">
        <f>AVERAGE(D143:D145)</f>
        <v>40.6</v>
      </c>
      <c r="I97" s="23">
        <f t="shared" si="17"/>
        <v>143</v>
      </c>
      <c r="J97" s="23">
        <f t="shared" si="18"/>
        <v>145</v>
      </c>
      <c r="M97" s="160">
        <v>39.916666666666664</v>
      </c>
      <c r="O97" s="3" t="s">
        <v>118</v>
      </c>
      <c r="R97" s="159">
        <v>2007</v>
      </c>
      <c r="S97" s="159"/>
      <c r="T97" s="159"/>
      <c r="U97" s="159"/>
      <c r="V97" s="159"/>
      <c r="W97" s="159"/>
      <c r="X97" s="159"/>
      <c r="Y97" s="3">
        <f>AVERAGE(M143:M145)</f>
        <v>36.002401433691752</v>
      </c>
    </row>
    <row r="98" spans="1:25">
      <c r="A98" s="157">
        <v>37803</v>
      </c>
      <c r="B98" s="158">
        <v>60.5</v>
      </c>
      <c r="C98" s="158">
        <v>62</v>
      </c>
      <c r="D98" s="158">
        <v>66.5</v>
      </c>
      <c r="F98" s="3" t="s">
        <v>119</v>
      </c>
      <c r="G98" s="159">
        <v>2007</v>
      </c>
      <c r="H98" s="3">
        <f>AVERAGE(D146:D148)</f>
        <v>66.933333333333323</v>
      </c>
      <c r="I98" s="23">
        <f t="shared" si="17"/>
        <v>146</v>
      </c>
      <c r="J98" s="23">
        <f t="shared" si="18"/>
        <v>148</v>
      </c>
      <c r="M98" s="160">
        <v>46.193548387096769</v>
      </c>
      <c r="O98" s="3" t="s">
        <v>119</v>
      </c>
      <c r="R98" s="159">
        <v>2007</v>
      </c>
      <c r="S98" s="159"/>
      <c r="T98" s="159"/>
      <c r="U98" s="159"/>
      <c r="V98" s="159"/>
      <c r="W98" s="159"/>
      <c r="X98" s="159"/>
      <c r="Y98" s="3">
        <f>AVERAGE(M146:M148)</f>
        <v>42.410860215053766</v>
      </c>
    </row>
    <row r="99" spans="1:25">
      <c r="A99" s="157">
        <v>37834</v>
      </c>
      <c r="B99" s="158">
        <v>73.5</v>
      </c>
      <c r="C99" s="158">
        <v>75</v>
      </c>
      <c r="D99" s="158">
        <v>79.5</v>
      </c>
      <c r="F99" s="3" t="s">
        <v>120</v>
      </c>
      <c r="G99" s="159">
        <v>2007</v>
      </c>
      <c r="H99" s="3">
        <f>AVERAGE(D149:D151)</f>
        <v>36.6</v>
      </c>
      <c r="I99" s="23">
        <f t="shared" si="17"/>
        <v>149</v>
      </c>
      <c r="J99" s="23">
        <f t="shared" si="18"/>
        <v>151</v>
      </c>
      <c r="M99" s="160">
        <v>48.338709677419359</v>
      </c>
      <c r="O99" s="3" t="s">
        <v>120</v>
      </c>
      <c r="R99" s="159">
        <v>2007</v>
      </c>
      <c r="S99" s="159"/>
      <c r="T99" s="159"/>
      <c r="U99" s="159"/>
      <c r="V99" s="159"/>
      <c r="W99" s="159"/>
      <c r="X99" s="159"/>
      <c r="Y99" s="3">
        <f>AVERAGE(M149:M151)</f>
        <v>35.2268817204301</v>
      </c>
    </row>
    <row r="100" spans="1:25">
      <c r="A100" s="157">
        <v>37865</v>
      </c>
      <c r="B100" s="158">
        <v>53.5</v>
      </c>
      <c r="C100" s="158">
        <v>55</v>
      </c>
      <c r="D100" s="158">
        <v>59.5</v>
      </c>
      <c r="F100" s="3" t="s">
        <v>117</v>
      </c>
      <c r="G100" s="159">
        <v>2008</v>
      </c>
      <c r="H100" s="3">
        <f>AVERAGE(D152:D154)</f>
        <v>37.283333333333339</v>
      </c>
      <c r="I100" s="23">
        <f t="shared" si="17"/>
        <v>152</v>
      </c>
      <c r="J100" s="23">
        <f t="shared" si="18"/>
        <v>154</v>
      </c>
      <c r="M100" s="160">
        <v>47.916666666666664</v>
      </c>
      <c r="O100" s="3" t="s">
        <v>117</v>
      </c>
      <c r="R100" s="159">
        <v>2008</v>
      </c>
      <c r="S100" s="159"/>
      <c r="T100" s="159"/>
      <c r="U100" s="159"/>
      <c r="V100" s="159"/>
      <c r="W100" s="159"/>
      <c r="X100" s="159"/>
      <c r="Y100" s="3">
        <f>AVERAGE(M152:M154)</f>
        <v>35.184760845383757</v>
      </c>
    </row>
    <row r="101" spans="1:25">
      <c r="A101" s="157">
        <v>37895</v>
      </c>
      <c r="B101" s="158">
        <v>34.5</v>
      </c>
      <c r="C101" s="158">
        <v>36</v>
      </c>
      <c r="D101" s="158">
        <v>40.5</v>
      </c>
      <c r="F101" s="3" t="s">
        <v>118</v>
      </c>
      <c r="G101" s="159">
        <v>2008</v>
      </c>
      <c r="H101" s="3">
        <f>AVERAGE(D155:D157)</f>
        <v>40.950000000000003</v>
      </c>
      <c r="I101" s="23">
        <f t="shared" si="17"/>
        <v>155</v>
      </c>
      <c r="J101" s="23">
        <f t="shared" si="18"/>
        <v>157</v>
      </c>
      <c r="M101" s="160">
        <v>36.29032258064516</v>
      </c>
      <c r="O101" s="3" t="s">
        <v>118</v>
      </c>
      <c r="R101" s="159">
        <v>2008</v>
      </c>
      <c r="S101" s="159"/>
      <c r="T101" s="159"/>
      <c r="U101" s="159"/>
      <c r="V101" s="159"/>
      <c r="W101" s="159"/>
      <c r="X101" s="159"/>
      <c r="Y101" s="3">
        <f>AVERAGE(M155:M157)</f>
        <v>36.027625448028665</v>
      </c>
    </row>
    <row r="102" spans="1:25">
      <c r="A102" s="157">
        <v>37926</v>
      </c>
      <c r="B102" s="158">
        <v>27.5</v>
      </c>
      <c r="C102" s="158">
        <v>29</v>
      </c>
      <c r="D102" s="158">
        <v>33.5</v>
      </c>
      <c r="F102" s="3" t="s">
        <v>119</v>
      </c>
      <c r="G102" s="159">
        <v>2008</v>
      </c>
      <c r="H102" s="3">
        <f>AVERAGE(D158:D160)</f>
        <v>67.283333333333346</v>
      </c>
      <c r="I102" s="23">
        <f t="shared" si="17"/>
        <v>158</v>
      </c>
      <c r="J102" s="23">
        <f t="shared" si="18"/>
        <v>160</v>
      </c>
      <c r="M102" s="160">
        <v>34.9</v>
      </c>
      <c r="O102" s="3" t="s">
        <v>119</v>
      </c>
      <c r="R102" s="159">
        <v>2008</v>
      </c>
      <c r="S102" s="159"/>
      <c r="T102" s="159"/>
      <c r="U102" s="159"/>
      <c r="V102" s="159"/>
      <c r="W102" s="159"/>
      <c r="X102" s="159"/>
      <c r="Y102" s="3">
        <f>AVERAGE(M158:M160)</f>
        <v>42.560618279569894</v>
      </c>
    </row>
    <row r="103" spans="1:25">
      <c r="A103" s="157">
        <v>37956</v>
      </c>
      <c r="B103" s="158">
        <v>28.5</v>
      </c>
      <c r="C103" s="158">
        <v>30</v>
      </c>
      <c r="D103" s="158">
        <v>34.5</v>
      </c>
      <c r="F103" s="3" t="s">
        <v>120</v>
      </c>
      <c r="G103" s="159">
        <v>2008</v>
      </c>
      <c r="H103" s="3">
        <f>AVERAGE(D161:D163)</f>
        <v>36.950000000000003</v>
      </c>
      <c r="I103" s="23">
        <f t="shared" si="17"/>
        <v>161</v>
      </c>
      <c r="J103" s="23">
        <f t="shared" si="18"/>
        <v>163</v>
      </c>
      <c r="M103" s="160">
        <v>34.096774193548384</v>
      </c>
      <c r="O103" s="3" t="s">
        <v>120</v>
      </c>
      <c r="R103" s="159">
        <v>2008</v>
      </c>
      <c r="S103" s="159"/>
      <c r="T103" s="159"/>
      <c r="U103" s="159"/>
      <c r="V103" s="159"/>
      <c r="W103" s="159"/>
      <c r="X103" s="159"/>
      <c r="Y103" s="3">
        <f>AVERAGE(M161:M163)</f>
        <v>35.410860215053759</v>
      </c>
    </row>
    <row r="104" spans="1:25">
      <c r="A104" s="157">
        <v>37987</v>
      </c>
      <c r="B104" s="158">
        <v>31.25</v>
      </c>
      <c r="C104" s="158">
        <v>33</v>
      </c>
      <c r="D104" s="158">
        <v>37.5</v>
      </c>
      <c r="F104" s="3" t="s">
        <v>117</v>
      </c>
      <c r="G104" s="159">
        <v>2009</v>
      </c>
      <c r="H104" s="3">
        <f>AVERAGE(D164:D166)</f>
        <v>37.783333333333339</v>
      </c>
      <c r="I104" s="23">
        <f t="shared" si="17"/>
        <v>164</v>
      </c>
      <c r="J104" s="23">
        <f t="shared" si="18"/>
        <v>166</v>
      </c>
      <c r="M104" s="160">
        <v>33.37096774193548</v>
      </c>
      <c r="O104" s="3" t="s">
        <v>117</v>
      </c>
      <c r="R104" s="159">
        <v>2009</v>
      </c>
      <c r="S104" s="159"/>
      <c r="T104" s="159"/>
      <c r="U104" s="159"/>
      <c r="V104" s="159"/>
      <c r="W104" s="159"/>
      <c r="X104" s="159"/>
      <c r="Y104" s="3">
        <f>AVERAGE(M164:M166)</f>
        <v>36.348809523809514</v>
      </c>
    </row>
    <row r="105" spans="1:25">
      <c r="A105" s="157">
        <v>38018</v>
      </c>
      <c r="B105" s="158">
        <v>29.25</v>
      </c>
      <c r="C105" s="158">
        <v>31</v>
      </c>
      <c r="D105" s="158">
        <v>35.5</v>
      </c>
      <c r="F105" s="3" t="s">
        <v>118</v>
      </c>
      <c r="G105" s="159">
        <v>2009</v>
      </c>
      <c r="H105" s="3">
        <f>AVERAGE(D167:D169)</f>
        <v>41.45</v>
      </c>
      <c r="I105" s="23">
        <f t="shared" si="17"/>
        <v>167</v>
      </c>
      <c r="J105" s="23">
        <f t="shared" si="18"/>
        <v>169</v>
      </c>
      <c r="M105" s="160">
        <v>33.982758620689651</v>
      </c>
      <c r="O105" s="3" t="s">
        <v>118</v>
      </c>
      <c r="R105" s="159">
        <v>2009</v>
      </c>
      <c r="S105" s="159"/>
      <c r="T105" s="159"/>
      <c r="U105" s="159"/>
      <c r="V105" s="159"/>
      <c r="W105" s="159"/>
      <c r="X105" s="159"/>
      <c r="Y105" s="3">
        <f>AVERAGE(M167:M169)</f>
        <v>37.319569892473119</v>
      </c>
    </row>
    <row r="106" spans="1:25">
      <c r="A106" s="157">
        <v>38047</v>
      </c>
      <c r="B106" s="158">
        <v>28.25</v>
      </c>
      <c r="C106" s="158">
        <v>30</v>
      </c>
      <c r="D106" s="158">
        <v>34.5</v>
      </c>
      <c r="F106" s="3" t="s">
        <v>119</v>
      </c>
      <c r="G106" s="159">
        <v>2009</v>
      </c>
      <c r="H106" s="3">
        <f>AVERAGE(D170:D172)</f>
        <v>67.783333333333346</v>
      </c>
      <c r="I106" s="23">
        <f t="shared" si="17"/>
        <v>170</v>
      </c>
      <c r="J106" s="23">
        <f t="shared" si="18"/>
        <v>172</v>
      </c>
      <c r="M106" s="160">
        <v>33.677419354838712</v>
      </c>
      <c r="O106" s="3" t="s">
        <v>119</v>
      </c>
      <c r="R106" s="159">
        <v>2009</v>
      </c>
      <c r="S106" s="159"/>
      <c r="T106" s="159"/>
      <c r="U106" s="159"/>
      <c r="V106" s="159"/>
      <c r="W106" s="159"/>
      <c r="X106" s="159"/>
      <c r="Y106" s="3">
        <f>AVERAGE(M170:M172)</f>
        <v>43.703539426523314</v>
      </c>
    </row>
    <row r="107" spans="1:25">
      <c r="A107" s="157">
        <v>38078</v>
      </c>
      <c r="B107" s="158">
        <v>28.25</v>
      </c>
      <c r="C107" s="158">
        <v>30</v>
      </c>
      <c r="D107" s="158">
        <v>34.5</v>
      </c>
      <c r="F107" s="3" t="s">
        <v>120</v>
      </c>
      <c r="G107" s="159">
        <v>2009</v>
      </c>
      <c r="H107" s="3">
        <f>AVERAGE(D173:D175)</f>
        <v>37.450000000000003</v>
      </c>
      <c r="I107" s="23">
        <f t="shared" si="17"/>
        <v>173</v>
      </c>
      <c r="J107" s="23">
        <f t="shared" si="18"/>
        <v>175</v>
      </c>
      <c r="M107" s="160">
        <v>33.733333333333334</v>
      </c>
      <c r="O107" s="3" t="s">
        <v>120</v>
      </c>
      <c r="R107" s="159">
        <v>2009</v>
      </c>
      <c r="S107" s="159"/>
      <c r="T107" s="159"/>
      <c r="U107" s="159"/>
      <c r="V107" s="159"/>
      <c r="W107" s="159"/>
      <c r="X107" s="159"/>
      <c r="Y107" s="3">
        <f>AVERAGE(M173:M175)</f>
        <v>36.553655913978496</v>
      </c>
    </row>
    <row r="108" spans="1:25">
      <c r="A108" s="157">
        <v>38108</v>
      </c>
      <c r="B108" s="158">
        <v>31.25</v>
      </c>
      <c r="C108" s="158">
        <v>33</v>
      </c>
      <c r="D108" s="158">
        <v>37.5</v>
      </c>
      <c r="F108" s="3" t="s">
        <v>117</v>
      </c>
      <c r="G108" s="159">
        <v>2010</v>
      </c>
      <c r="H108" s="3">
        <f>AVERAGE(D176:D178)</f>
        <v>38.283333333333339</v>
      </c>
      <c r="I108" s="23">
        <f t="shared" si="17"/>
        <v>176</v>
      </c>
      <c r="J108" s="23">
        <f t="shared" si="18"/>
        <v>178</v>
      </c>
      <c r="M108" s="160">
        <v>36.41935483870968</v>
      </c>
      <c r="O108" s="3" t="s">
        <v>117</v>
      </c>
      <c r="R108" s="159">
        <v>2010</v>
      </c>
      <c r="S108" s="159"/>
      <c r="T108" s="159"/>
      <c r="U108" s="159"/>
      <c r="V108" s="159"/>
      <c r="W108" s="159"/>
      <c r="X108" s="159"/>
      <c r="Y108" s="3">
        <f>AVERAGE(M176:M178)</f>
        <v>36.511635944700451</v>
      </c>
    </row>
    <row r="109" spans="1:25">
      <c r="A109" s="157">
        <v>38139</v>
      </c>
      <c r="B109" s="158">
        <v>40.25</v>
      </c>
      <c r="C109" s="158">
        <v>42</v>
      </c>
      <c r="D109" s="158">
        <v>46.5</v>
      </c>
      <c r="F109" s="3" t="s">
        <v>118</v>
      </c>
      <c r="G109" s="159">
        <v>2010</v>
      </c>
      <c r="H109" s="3">
        <f>AVERAGE(D179:D181)</f>
        <v>41.95</v>
      </c>
      <c r="I109" s="23">
        <f t="shared" si="17"/>
        <v>179</v>
      </c>
      <c r="J109" s="23">
        <f t="shared" si="18"/>
        <v>181</v>
      </c>
      <c r="M109" s="160">
        <v>33.866666666666667</v>
      </c>
      <c r="O109" s="3" t="s">
        <v>118</v>
      </c>
      <c r="R109" s="159">
        <v>2010</v>
      </c>
      <c r="S109" s="159"/>
      <c r="T109" s="159"/>
      <c r="U109" s="159"/>
      <c r="V109" s="159"/>
      <c r="W109" s="159"/>
      <c r="X109" s="159"/>
      <c r="Y109" s="3">
        <f>AVERAGE(M179:M181)</f>
        <v>37.531218637992829</v>
      </c>
    </row>
    <row r="110" spans="1:25">
      <c r="A110" s="157">
        <v>38169</v>
      </c>
      <c r="B110" s="158">
        <v>62.25</v>
      </c>
      <c r="C110" s="158">
        <v>64</v>
      </c>
      <c r="D110" s="158">
        <v>68.5</v>
      </c>
      <c r="F110" s="3" t="s">
        <v>119</v>
      </c>
      <c r="G110" s="159">
        <v>2010</v>
      </c>
      <c r="H110" s="3">
        <f>AVERAGE(D182:D184)</f>
        <v>68.283333333333346</v>
      </c>
      <c r="I110" s="23">
        <f t="shared" si="17"/>
        <v>182</v>
      </c>
      <c r="J110" s="23">
        <f t="shared" si="18"/>
        <v>184</v>
      </c>
      <c r="M110" s="160">
        <v>40.419354838709673</v>
      </c>
      <c r="O110" s="3" t="s">
        <v>119</v>
      </c>
      <c r="R110" s="159">
        <v>2010</v>
      </c>
      <c r="S110" s="159"/>
      <c r="T110" s="159"/>
      <c r="U110" s="159"/>
      <c r="V110" s="159"/>
      <c r="W110" s="159"/>
      <c r="X110" s="159"/>
      <c r="Y110" s="3">
        <f>AVERAGE(M182:M184)</f>
        <v>43.912768817204302</v>
      </c>
    </row>
    <row r="111" spans="1:25">
      <c r="A111" s="157">
        <v>38200</v>
      </c>
      <c r="B111" s="158">
        <v>67.25</v>
      </c>
      <c r="C111" s="158">
        <v>69</v>
      </c>
      <c r="D111" s="158">
        <v>73.5</v>
      </c>
      <c r="F111" s="3" t="s">
        <v>120</v>
      </c>
      <c r="G111" s="159">
        <v>2010</v>
      </c>
      <c r="H111" s="3">
        <f>AVERAGE(D185:D187)</f>
        <v>37.950000000000003</v>
      </c>
      <c r="I111" s="23">
        <f t="shared" si="17"/>
        <v>185</v>
      </c>
      <c r="J111" s="23">
        <f t="shared" si="18"/>
        <v>187</v>
      </c>
      <c r="M111" s="160">
        <v>41.854838709677416</v>
      </c>
      <c r="O111" s="3" t="s">
        <v>120</v>
      </c>
      <c r="R111" s="159">
        <v>2010</v>
      </c>
      <c r="S111" s="159"/>
      <c r="T111" s="159"/>
      <c r="U111" s="159"/>
      <c r="V111" s="159"/>
      <c r="W111" s="159"/>
      <c r="X111" s="159"/>
      <c r="Y111" s="3">
        <f>AVERAGE(M185:M187)</f>
        <v>36.726388888888884</v>
      </c>
    </row>
    <row r="112" spans="1:25">
      <c r="A112" s="157">
        <v>38231</v>
      </c>
      <c r="B112" s="158">
        <v>49.25</v>
      </c>
      <c r="C112" s="158">
        <v>51</v>
      </c>
      <c r="D112" s="158">
        <v>55.5</v>
      </c>
      <c r="G112" s="159"/>
      <c r="M112" s="160">
        <v>40.916666666666664</v>
      </c>
    </row>
    <row r="113" spans="1:13">
      <c r="A113" s="157">
        <v>38261</v>
      </c>
      <c r="B113" s="158">
        <v>33.25</v>
      </c>
      <c r="C113" s="158">
        <v>35</v>
      </c>
      <c r="D113" s="158">
        <v>39.5</v>
      </c>
      <c r="G113" s="159"/>
      <c r="M113" s="160">
        <v>35.532258064516128</v>
      </c>
    </row>
    <row r="114" spans="1:13">
      <c r="A114" s="157">
        <v>38292</v>
      </c>
      <c r="B114" s="158">
        <v>27.25</v>
      </c>
      <c r="C114" s="158">
        <v>29</v>
      </c>
      <c r="D114" s="158">
        <v>33.5</v>
      </c>
      <c r="G114" s="159"/>
      <c r="M114" s="160">
        <v>33.083333333333329</v>
      </c>
    </row>
    <row r="115" spans="1:13">
      <c r="A115" s="157">
        <v>38322</v>
      </c>
      <c r="B115" s="158">
        <v>27.25</v>
      </c>
      <c r="C115" s="158">
        <v>29</v>
      </c>
      <c r="D115" s="158">
        <v>33.5</v>
      </c>
      <c r="G115" s="159"/>
      <c r="M115" s="160">
        <v>33.016129032258064</v>
      </c>
    </row>
    <row r="116" spans="1:13">
      <c r="A116" s="157">
        <v>38353</v>
      </c>
      <c r="B116" s="158">
        <v>31</v>
      </c>
      <c r="C116" s="158">
        <v>33</v>
      </c>
      <c r="D116" s="158">
        <v>37.5</v>
      </c>
      <c r="G116" s="159"/>
      <c r="M116" s="160">
        <v>33.645161290322584</v>
      </c>
    </row>
    <row r="117" spans="1:13">
      <c r="A117" s="157">
        <v>38384</v>
      </c>
      <c r="B117" s="158">
        <v>29</v>
      </c>
      <c r="C117" s="158">
        <v>31</v>
      </c>
      <c r="D117" s="158">
        <v>35.5</v>
      </c>
      <c r="G117" s="159"/>
      <c r="M117" s="160">
        <v>33.642857142857139</v>
      </c>
    </row>
    <row r="118" spans="1:13">
      <c r="A118" s="157">
        <v>38412</v>
      </c>
      <c r="B118" s="158">
        <v>28</v>
      </c>
      <c r="C118" s="158">
        <v>30</v>
      </c>
      <c r="D118" s="158">
        <v>34.5</v>
      </c>
      <c r="G118" s="159"/>
      <c r="M118" s="160">
        <v>33.677419354838712</v>
      </c>
    </row>
    <row r="119" spans="1:13">
      <c r="A119" s="157">
        <v>38443</v>
      </c>
      <c r="B119" s="158">
        <v>28</v>
      </c>
      <c r="C119" s="158">
        <v>30</v>
      </c>
      <c r="D119" s="158">
        <v>34.5</v>
      </c>
      <c r="G119" s="159"/>
      <c r="M119" s="160">
        <v>33.733333333333334</v>
      </c>
    </row>
    <row r="120" spans="1:13">
      <c r="A120" s="157">
        <v>38473</v>
      </c>
      <c r="B120" s="158">
        <v>31</v>
      </c>
      <c r="C120" s="158">
        <v>33</v>
      </c>
      <c r="D120" s="158">
        <v>37.5</v>
      </c>
      <c r="G120" s="159"/>
      <c r="M120" s="160">
        <v>36.41935483870968</v>
      </c>
    </row>
    <row r="121" spans="1:13">
      <c r="A121" s="157">
        <v>38504</v>
      </c>
      <c r="B121" s="158">
        <v>40</v>
      </c>
      <c r="C121" s="158">
        <v>42</v>
      </c>
      <c r="D121" s="158">
        <v>46.5</v>
      </c>
      <c r="G121" s="159"/>
      <c r="M121" s="160">
        <v>33.866666666666667</v>
      </c>
    </row>
    <row r="122" spans="1:13">
      <c r="A122" s="157">
        <v>38534</v>
      </c>
      <c r="B122" s="158">
        <v>62</v>
      </c>
      <c r="C122" s="158">
        <v>64</v>
      </c>
      <c r="D122" s="158">
        <v>68.5</v>
      </c>
      <c r="G122" s="159"/>
      <c r="M122" s="160">
        <v>39.903225806451616</v>
      </c>
    </row>
    <row r="123" spans="1:13">
      <c r="A123" s="157">
        <v>38565</v>
      </c>
      <c r="B123" s="158">
        <v>67</v>
      </c>
      <c r="C123" s="158">
        <v>69</v>
      </c>
      <c r="D123" s="158">
        <v>73.5</v>
      </c>
      <c r="G123" s="159"/>
      <c r="M123" s="160">
        <v>42.483870967741936</v>
      </c>
    </row>
    <row r="124" spans="1:13">
      <c r="A124" s="157">
        <v>38596</v>
      </c>
      <c r="B124" s="158">
        <v>49</v>
      </c>
      <c r="C124" s="158">
        <v>51</v>
      </c>
      <c r="D124" s="158">
        <v>55.5</v>
      </c>
      <c r="G124" s="159"/>
      <c r="M124" s="160">
        <v>40.916666666666664</v>
      </c>
    </row>
    <row r="125" spans="1:13">
      <c r="A125" s="157">
        <v>38626</v>
      </c>
      <c r="B125" s="158">
        <v>33</v>
      </c>
      <c r="C125" s="158">
        <v>35</v>
      </c>
      <c r="D125" s="158">
        <v>39.5</v>
      </c>
      <c r="G125" s="159"/>
      <c r="M125" s="160">
        <v>35.532258064516128</v>
      </c>
    </row>
    <row r="126" spans="1:13">
      <c r="A126" s="157">
        <v>38657</v>
      </c>
      <c r="B126" s="158">
        <v>27</v>
      </c>
      <c r="C126" s="158">
        <v>29</v>
      </c>
      <c r="D126" s="158">
        <v>33.5</v>
      </c>
      <c r="G126" s="159"/>
      <c r="M126" s="160">
        <v>33.083333333333329</v>
      </c>
    </row>
    <row r="127" spans="1:13">
      <c r="A127" s="157">
        <v>38687</v>
      </c>
      <c r="B127" s="158">
        <v>27</v>
      </c>
      <c r="C127" s="158">
        <v>29</v>
      </c>
      <c r="D127" s="158">
        <v>33.5</v>
      </c>
      <c r="G127" s="159"/>
      <c r="M127" s="160">
        <v>33.016129032258064</v>
      </c>
    </row>
    <row r="128" spans="1:13">
      <c r="A128" s="157">
        <v>38718</v>
      </c>
      <c r="B128" s="158">
        <v>30.25</v>
      </c>
      <c r="C128" s="158">
        <v>33.25</v>
      </c>
      <c r="D128" s="158">
        <v>37.75</v>
      </c>
      <c r="G128" s="159"/>
      <c r="M128" s="160">
        <v>33.780645161290323</v>
      </c>
    </row>
    <row r="129" spans="1:13">
      <c r="A129" s="157">
        <v>38749</v>
      </c>
      <c r="B129" s="158">
        <v>28.25</v>
      </c>
      <c r="C129" s="158">
        <v>31.25</v>
      </c>
      <c r="D129" s="158">
        <v>35.75</v>
      </c>
      <c r="G129" s="159"/>
      <c r="M129" s="160">
        <v>33.782142857142851</v>
      </c>
    </row>
    <row r="130" spans="1:13">
      <c r="A130" s="157">
        <v>38777</v>
      </c>
      <c r="B130" s="158">
        <v>27.25</v>
      </c>
      <c r="C130" s="158">
        <v>30.25</v>
      </c>
      <c r="D130" s="158">
        <v>34.75</v>
      </c>
      <c r="G130" s="159"/>
      <c r="M130" s="160">
        <v>33.817741935483866</v>
      </c>
    </row>
    <row r="131" spans="1:13">
      <c r="A131" s="157">
        <v>38808</v>
      </c>
      <c r="B131" s="158">
        <v>27.25</v>
      </c>
      <c r="C131" s="158">
        <v>30.25</v>
      </c>
      <c r="D131" s="158">
        <v>34.75</v>
      </c>
      <c r="M131" s="160">
        <v>34.30416666666666</v>
      </c>
    </row>
    <row r="132" spans="1:13">
      <c r="A132" s="157">
        <v>38838</v>
      </c>
      <c r="B132" s="158">
        <v>30.25</v>
      </c>
      <c r="C132" s="158">
        <v>33.25</v>
      </c>
      <c r="D132" s="158">
        <v>37.75</v>
      </c>
      <c r="M132" s="160">
        <v>36.154032258064511</v>
      </c>
    </row>
    <row r="133" spans="1:13">
      <c r="A133" s="157">
        <v>38869</v>
      </c>
      <c r="B133" s="158">
        <v>39.25</v>
      </c>
      <c r="C133" s="158">
        <v>42.25</v>
      </c>
      <c r="D133" s="158">
        <v>46.75</v>
      </c>
      <c r="M133" s="160">
        <v>34.006666666666661</v>
      </c>
    </row>
    <row r="134" spans="1:13">
      <c r="A134" s="157">
        <v>38899</v>
      </c>
      <c r="B134" s="158">
        <v>61.25</v>
      </c>
      <c r="C134" s="158">
        <v>64.25</v>
      </c>
      <c r="D134" s="158">
        <v>68.75</v>
      </c>
      <c r="M134" s="160">
        <v>40.038709677419362</v>
      </c>
    </row>
    <row r="135" spans="1:13">
      <c r="A135" s="157">
        <v>38930</v>
      </c>
      <c r="B135" s="158">
        <v>66.25</v>
      </c>
      <c r="C135" s="158">
        <v>69.25</v>
      </c>
      <c r="D135" s="158">
        <v>73.75</v>
      </c>
      <c r="M135" s="160">
        <v>42.624193548387098</v>
      </c>
    </row>
    <row r="136" spans="1:13">
      <c r="A136" s="157">
        <v>38961</v>
      </c>
      <c r="B136" s="158">
        <v>48.25</v>
      </c>
      <c r="C136" s="158">
        <v>51.25</v>
      </c>
      <c r="D136" s="158">
        <v>55.75</v>
      </c>
      <c r="M136" s="160">
        <v>41.05416666666666</v>
      </c>
    </row>
    <row r="137" spans="1:13">
      <c r="A137" s="157">
        <v>38991</v>
      </c>
      <c r="B137" s="158">
        <v>32.25</v>
      </c>
      <c r="C137" s="158">
        <v>35.25</v>
      </c>
      <c r="D137" s="158">
        <v>39.75</v>
      </c>
      <c r="M137" s="160">
        <v>35.670161290322582</v>
      </c>
    </row>
    <row r="138" spans="1:13">
      <c r="A138" s="157">
        <v>39022</v>
      </c>
      <c r="B138" s="158">
        <v>26.25</v>
      </c>
      <c r="C138" s="158">
        <v>29.25</v>
      </c>
      <c r="D138" s="158">
        <v>33.75</v>
      </c>
      <c r="M138" s="160">
        <v>33.220833333333331</v>
      </c>
    </row>
    <row r="139" spans="1:13">
      <c r="A139" s="157">
        <v>39052</v>
      </c>
      <c r="B139" s="158">
        <v>26.25</v>
      </c>
      <c r="C139" s="158">
        <v>29.25</v>
      </c>
      <c r="D139" s="158">
        <v>33.75</v>
      </c>
      <c r="M139" s="160">
        <v>33.554838709677419</v>
      </c>
    </row>
    <row r="140" spans="1:13">
      <c r="A140" s="157">
        <v>39083</v>
      </c>
      <c r="B140" s="158">
        <v>30.6</v>
      </c>
      <c r="C140" s="158">
        <v>33.6</v>
      </c>
      <c r="D140" s="158">
        <v>38.6</v>
      </c>
      <c r="M140" s="160">
        <v>34.688709677419347</v>
      </c>
    </row>
    <row r="141" spans="1:13">
      <c r="A141" s="157">
        <v>39114</v>
      </c>
      <c r="B141" s="158">
        <v>28.6</v>
      </c>
      <c r="C141" s="158">
        <v>31.6</v>
      </c>
      <c r="D141" s="158">
        <v>36.6</v>
      </c>
      <c r="M141" s="160">
        <v>34.964285714285708</v>
      </c>
    </row>
    <row r="142" spans="1:13">
      <c r="A142" s="157">
        <v>39142</v>
      </c>
      <c r="B142" s="158">
        <v>27.6</v>
      </c>
      <c r="C142" s="158">
        <v>30.6</v>
      </c>
      <c r="D142" s="158">
        <v>35.6</v>
      </c>
      <c r="M142" s="160">
        <v>35.001612903225805</v>
      </c>
    </row>
    <row r="143" spans="1:13">
      <c r="A143" s="157">
        <v>39173</v>
      </c>
      <c r="B143" s="158">
        <v>27.6</v>
      </c>
      <c r="C143" s="158">
        <v>30.6</v>
      </c>
      <c r="D143" s="158">
        <v>35.6</v>
      </c>
      <c r="M143" s="160">
        <v>35.48333333333332</v>
      </c>
    </row>
    <row r="144" spans="1:13">
      <c r="A144" s="157">
        <v>39203</v>
      </c>
      <c r="B144" s="158">
        <v>30.6</v>
      </c>
      <c r="C144" s="158">
        <v>33.6</v>
      </c>
      <c r="D144" s="158">
        <v>38.6</v>
      </c>
      <c r="M144" s="160">
        <v>37.33387096774193</v>
      </c>
    </row>
    <row r="145" spans="1:13">
      <c r="A145" s="157">
        <v>39234</v>
      </c>
      <c r="B145" s="158">
        <v>39.6</v>
      </c>
      <c r="C145" s="158">
        <v>42.6</v>
      </c>
      <c r="D145" s="158">
        <v>47.6</v>
      </c>
      <c r="M145" s="160">
        <v>35.19</v>
      </c>
    </row>
    <row r="146" spans="1:13">
      <c r="A146" s="157">
        <v>39264</v>
      </c>
      <c r="B146" s="158">
        <v>61.6</v>
      </c>
      <c r="C146" s="158">
        <v>64.599999999999994</v>
      </c>
      <c r="D146" s="158">
        <v>69.599999999999994</v>
      </c>
      <c r="M146" s="160">
        <v>41.214516129032262</v>
      </c>
    </row>
    <row r="147" spans="1:13">
      <c r="A147" s="157">
        <v>39295</v>
      </c>
      <c r="B147" s="158">
        <v>66.599999999999994</v>
      </c>
      <c r="C147" s="158">
        <v>69.599999999999994</v>
      </c>
      <c r="D147" s="158">
        <v>74.599999999999994</v>
      </c>
      <c r="M147" s="160">
        <v>43.808064516129036</v>
      </c>
    </row>
    <row r="148" spans="1:13">
      <c r="A148" s="157">
        <v>39326</v>
      </c>
      <c r="B148" s="158">
        <v>48.6</v>
      </c>
      <c r="C148" s="158">
        <v>51.6</v>
      </c>
      <c r="D148" s="158">
        <v>56.6</v>
      </c>
      <c r="M148" s="160">
        <v>42.21</v>
      </c>
    </row>
    <row r="149" spans="1:13">
      <c r="A149" s="157">
        <v>39356</v>
      </c>
      <c r="B149" s="158">
        <v>32.6</v>
      </c>
      <c r="C149" s="158">
        <v>35.6</v>
      </c>
      <c r="D149" s="158">
        <v>40.6</v>
      </c>
      <c r="M149" s="160">
        <v>36.549999999999997</v>
      </c>
    </row>
    <row r="150" spans="1:13">
      <c r="A150" s="157">
        <v>39387</v>
      </c>
      <c r="B150" s="158">
        <v>26.6</v>
      </c>
      <c r="C150" s="158">
        <v>29.6</v>
      </c>
      <c r="D150" s="158">
        <v>34.6</v>
      </c>
      <c r="M150" s="160">
        <v>34.4</v>
      </c>
    </row>
    <row r="151" spans="1:13">
      <c r="A151" s="157">
        <v>39417</v>
      </c>
      <c r="B151" s="158">
        <v>26.6</v>
      </c>
      <c r="C151" s="158">
        <v>29.6</v>
      </c>
      <c r="D151" s="158">
        <v>34.6</v>
      </c>
      <c r="M151" s="160">
        <v>34.730645161290319</v>
      </c>
    </row>
    <row r="152" spans="1:13">
      <c r="A152" s="157">
        <v>39448</v>
      </c>
      <c r="B152" s="158">
        <v>30.7</v>
      </c>
      <c r="C152" s="158">
        <v>33.950000000000003</v>
      </c>
      <c r="D152" s="158">
        <v>38.950000000000003</v>
      </c>
      <c r="M152" s="160">
        <v>34.868548387096766</v>
      </c>
    </row>
    <row r="153" spans="1:13">
      <c r="A153" s="157">
        <v>39479</v>
      </c>
      <c r="B153" s="158">
        <v>28.7</v>
      </c>
      <c r="C153" s="158">
        <v>31.95</v>
      </c>
      <c r="D153" s="158">
        <v>36.950000000000003</v>
      </c>
      <c r="M153" s="160">
        <v>35.09137931034482</v>
      </c>
    </row>
    <row r="154" spans="1:13">
      <c r="A154" s="157">
        <v>39508</v>
      </c>
      <c r="B154" s="158">
        <v>27.7</v>
      </c>
      <c r="C154" s="158">
        <v>30.95</v>
      </c>
      <c r="D154" s="158">
        <v>35.950000000000003</v>
      </c>
      <c r="M154" s="160">
        <v>35.594354838709677</v>
      </c>
    </row>
    <row r="155" spans="1:13">
      <c r="A155" s="157">
        <v>39539</v>
      </c>
      <c r="B155" s="158">
        <v>27.7</v>
      </c>
      <c r="C155" s="158">
        <v>30.95</v>
      </c>
      <c r="D155" s="158">
        <v>35.950000000000003</v>
      </c>
      <c r="M155" s="160">
        <v>35.24</v>
      </c>
    </row>
    <row r="156" spans="1:13">
      <c r="A156" s="157">
        <v>39569</v>
      </c>
      <c r="B156" s="158">
        <v>30.7</v>
      </c>
      <c r="C156" s="158">
        <v>33.950000000000003</v>
      </c>
      <c r="D156" s="158">
        <v>38.950000000000003</v>
      </c>
      <c r="M156" s="160">
        <v>37.513709677419342</v>
      </c>
    </row>
    <row r="157" spans="1:13">
      <c r="A157" s="157">
        <v>39600</v>
      </c>
      <c r="B157" s="158">
        <v>39.700000000000003</v>
      </c>
      <c r="C157" s="158">
        <v>42.95</v>
      </c>
      <c r="D157" s="158">
        <v>47.95</v>
      </c>
      <c r="M157" s="160">
        <v>35.329166666666659</v>
      </c>
    </row>
    <row r="158" spans="1:13">
      <c r="A158" s="157">
        <v>39630</v>
      </c>
      <c r="B158" s="158">
        <v>61.7</v>
      </c>
      <c r="C158" s="158">
        <v>64.95</v>
      </c>
      <c r="D158" s="158">
        <v>69.95</v>
      </c>
      <c r="M158" s="160">
        <v>41.916935483870972</v>
      </c>
    </row>
    <row r="159" spans="1:13">
      <c r="A159" s="157">
        <v>39661</v>
      </c>
      <c r="B159" s="158">
        <v>66.7</v>
      </c>
      <c r="C159" s="158">
        <v>69.95</v>
      </c>
      <c r="D159" s="158">
        <v>74.95</v>
      </c>
      <c r="M159" s="160">
        <v>43.352419354838716</v>
      </c>
    </row>
    <row r="160" spans="1:13">
      <c r="A160" s="157">
        <v>39692</v>
      </c>
      <c r="B160" s="158">
        <v>48.7</v>
      </c>
      <c r="C160" s="158">
        <v>51.95</v>
      </c>
      <c r="D160" s="158">
        <v>56.95</v>
      </c>
      <c r="M160" s="160">
        <v>42.412500000000001</v>
      </c>
    </row>
    <row r="161" spans="1:13">
      <c r="A161" s="157">
        <v>39722</v>
      </c>
      <c r="B161" s="158">
        <v>32.700000000000003</v>
      </c>
      <c r="C161" s="158">
        <v>35.950000000000003</v>
      </c>
      <c r="D161" s="158">
        <v>40.950000000000003</v>
      </c>
      <c r="M161" s="160">
        <v>36.733870967741929</v>
      </c>
    </row>
    <row r="162" spans="1:13">
      <c r="A162" s="157">
        <v>39753</v>
      </c>
      <c r="B162" s="158">
        <v>26.7</v>
      </c>
      <c r="C162" s="158">
        <v>29.95</v>
      </c>
      <c r="D162" s="158">
        <v>34.950000000000003</v>
      </c>
      <c r="M162" s="160">
        <v>34.984999999999999</v>
      </c>
    </row>
    <row r="163" spans="1:13">
      <c r="A163" s="157">
        <v>39783</v>
      </c>
      <c r="B163" s="158">
        <v>26.7</v>
      </c>
      <c r="C163" s="158">
        <v>29.95</v>
      </c>
      <c r="D163" s="158">
        <v>34.950000000000003</v>
      </c>
      <c r="M163" s="160">
        <v>34.513709677419342</v>
      </c>
    </row>
    <row r="164" spans="1:13">
      <c r="A164" s="157">
        <v>39814</v>
      </c>
      <c r="B164" s="158">
        <v>31.2</v>
      </c>
      <c r="C164" s="158">
        <v>34.450000000000003</v>
      </c>
      <c r="D164" s="158">
        <v>39.450000000000003</v>
      </c>
      <c r="M164" s="160">
        <v>36.012096774193537</v>
      </c>
    </row>
    <row r="165" spans="1:13">
      <c r="A165" s="157">
        <v>39845</v>
      </c>
      <c r="B165" s="158">
        <v>29.2</v>
      </c>
      <c r="C165" s="158">
        <v>32.450000000000003</v>
      </c>
      <c r="D165" s="158">
        <v>37.450000000000003</v>
      </c>
      <c r="M165" s="160">
        <v>36.296428571428564</v>
      </c>
    </row>
    <row r="166" spans="1:13">
      <c r="A166" s="157">
        <v>39873</v>
      </c>
      <c r="B166" s="158">
        <v>28.2</v>
      </c>
      <c r="C166" s="158">
        <v>31.45</v>
      </c>
      <c r="D166" s="158">
        <v>36.450000000000003</v>
      </c>
      <c r="M166" s="160">
        <v>36.737903225806441</v>
      </c>
    </row>
    <row r="167" spans="1:13">
      <c r="A167" s="157">
        <v>39904</v>
      </c>
      <c r="B167" s="158">
        <v>28.2</v>
      </c>
      <c r="C167" s="158">
        <v>31.45</v>
      </c>
      <c r="D167" s="158">
        <v>36.450000000000003</v>
      </c>
      <c r="M167" s="160">
        <v>36.393333333333331</v>
      </c>
    </row>
    <row r="168" spans="1:13">
      <c r="A168" s="157">
        <v>39934</v>
      </c>
      <c r="B168" s="158">
        <v>31.2</v>
      </c>
      <c r="C168" s="158">
        <v>34.450000000000003</v>
      </c>
      <c r="D168" s="158">
        <v>39.450000000000003</v>
      </c>
      <c r="M168" s="160">
        <v>39.038709677419355</v>
      </c>
    </row>
    <row r="169" spans="1:13">
      <c r="A169" s="157">
        <v>39965</v>
      </c>
      <c r="B169" s="158">
        <v>40.200000000000003</v>
      </c>
      <c r="C169" s="158">
        <v>43.45</v>
      </c>
      <c r="D169" s="158">
        <v>48.45</v>
      </c>
      <c r="M169" s="160">
        <v>36.526666666666657</v>
      </c>
    </row>
    <row r="170" spans="1:13">
      <c r="A170" s="157">
        <v>39995</v>
      </c>
      <c r="B170" s="158">
        <v>62.2</v>
      </c>
      <c r="C170" s="158">
        <v>65.45</v>
      </c>
      <c r="D170" s="158">
        <v>70.45</v>
      </c>
      <c r="M170" s="160">
        <v>43.060483870967758</v>
      </c>
    </row>
    <row r="171" spans="1:13">
      <c r="A171" s="157">
        <v>40026</v>
      </c>
      <c r="B171" s="158">
        <v>67.2</v>
      </c>
      <c r="C171" s="158">
        <v>70.45</v>
      </c>
      <c r="D171" s="158">
        <v>75.45</v>
      </c>
      <c r="M171" s="160">
        <v>44.495967741935495</v>
      </c>
    </row>
    <row r="172" spans="1:13">
      <c r="A172" s="157">
        <v>40057</v>
      </c>
      <c r="B172" s="158">
        <v>49.2</v>
      </c>
      <c r="C172" s="158">
        <v>52.45</v>
      </c>
      <c r="D172" s="158">
        <v>57.45</v>
      </c>
      <c r="M172" s="160">
        <v>43.554166666666667</v>
      </c>
    </row>
    <row r="173" spans="1:13">
      <c r="A173" s="157">
        <v>40087</v>
      </c>
      <c r="B173" s="158">
        <v>33.200000000000003</v>
      </c>
      <c r="C173" s="158">
        <v>36.450000000000003</v>
      </c>
      <c r="D173" s="158">
        <v>41.45</v>
      </c>
      <c r="M173" s="160">
        <v>37.888709677419349</v>
      </c>
    </row>
    <row r="174" spans="1:13">
      <c r="A174" s="157">
        <v>40118</v>
      </c>
      <c r="B174" s="158">
        <v>27.2</v>
      </c>
      <c r="C174" s="158">
        <v>30.45</v>
      </c>
      <c r="D174" s="158">
        <v>35.450000000000003</v>
      </c>
      <c r="M174" s="160">
        <v>36.115000000000002</v>
      </c>
    </row>
    <row r="175" spans="1:13">
      <c r="A175" s="157">
        <v>40148</v>
      </c>
      <c r="B175" s="158">
        <v>27.2</v>
      </c>
      <c r="C175" s="158">
        <v>30.45</v>
      </c>
      <c r="D175" s="158">
        <v>35.450000000000003</v>
      </c>
      <c r="M175" s="160">
        <v>35.657258064516121</v>
      </c>
    </row>
    <row r="176" spans="1:13">
      <c r="A176" s="157">
        <v>40179</v>
      </c>
      <c r="B176" s="158">
        <v>31.2</v>
      </c>
      <c r="C176" s="158">
        <v>34.950000000000003</v>
      </c>
      <c r="D176" s="158">
        <v>39.950000000000003</v>
      </c>
      <c r="M176" s="160">
        <v>36.46612903225806</v>
      </c>
    </row>
    <row r="177" spans="1:13">
      <c r="A177" s="157">
        <v>40210</v>
      </c>
      <c r="B177" s="158">
        <v>29.2</v>
      </c>
      <c r="C177" s="158">
        <v>32.950000000000003</v>
      </c>
      <c r="D177" s="158">
        <v>37.950000000000003</v>
      </c>
      <c r="M177" s="160">
        <v>36.510714285714272</v>
      </c>
    </row>
    <row r="178" spans="1:13">
      <c r="A178" s="157">
        <v>40238</v>
      </c>
      <c r="B178" s="158">
        <v>28.2</v>
      </c>
      <c r="C178" s="158">
        <v>31.95</v>
      </c>
      <c r="D178" s="158">
        <v>36.950000000000003</v>
      </c>
      <c r="M178" s="160">
        <v>36.558064516129022</v>
      </c>
    </row>
    <row r="179" spans="1:13">
      <c r="A179" s="157">
        <v>40269</v>
      </c>
      <c r="B179" s="158">
        <v>28.2</v>
      </c>
      <c r="C179" s="158">
        <v>31.95</v>
      </c>
      <c r="D179" s="158">
        <v>36.950000000000003</v>
      </c>
      <c r="M179" s="160">
        <v>36.61</v>
      </c>
    </row>
    <row r="180" spans="1:13">
      <c r="A180" s="157">
        <v>40299</v>
      </c>
      <c r="B180" s="158">
        <v>31.2</v>
      </c>
      <c r="C180" s="158">
        <v>34.950000000000003</v>
      </c>
      <c r="D180" s="158">
        <v>39.950000000000003</v>
      </c>
      <c r="M180" s="160">
        <v>39.240322580645156</v>
      </c>
    </row>
    <row r="181" spans="1:13">
      <c r="A181" s="157">
        <v>40330</v>
      </c>
      <c r="B181" s="158">
        <v>40.200000000000003</v>
      </c>
      <c r="C181" s="158">
        <v>43.95</v>
      </c>
      <c r="D181" s="158">
        <v>48.95</v>
      </c>
      <c r="M181" s="160">
        <v>36.743333333333325</v>
      </c>
    </row>
    <row r="182" spans="1:13">
      <c r="A182" s="157">
        <v>40360</v>
      </c>
      <c r="B182" s="158">
        <v>62.2</v>
      </c>
      <c r="C182" s="158">
        <v>65.95</v>
      </c>
      <c r="D182" s="158">
        <v>70.95</v>
      </c>
      <c r="M182" s="160">
        <v>43.270161290322591</v>
      </c>
    </row>
    <row r="183" spans="1:13">
      <c r="A183" s="157">
        <v>40391</v>
      </c>
      <c r="B183" s="158">
        <v>67.2</v>
      </c>
      <c r="C183" s="158">
        <v>70.95</v>
      </c>
      <c r="D183" s="158">
        <v>75.95</v>
      </c>
      <c r="M183" s="160">
        <v>44.705645161290334</v>
      </c>
    </row>
    <row r="184" spans="1:13">
      <c r="A184" s="157">
        <v>40422</v>
      </c>
      <c r="B184" s="158">
        <v>49.2</v>
      </c>
      <c r="C184" s="158">
        <v>52.95</v>
      </c>
      <c r="D184" s="158">
        <v>57.95</v>
      </c>
      <c r="M184" s="160">
        <v>43.762500000000003</v>
      </c>
    </row>
    <row r="185" spans="1:13">
      <c r="A185" s="157">
        <v>40452</v>
      </c>
      <c r="B185" s="158">
        <v>33.200000000000003</v>
      </c>
      <c r="C185" s="158">
        <v>36.950000000000003</v>
      </c>
      <c r="D185" s="158">
        <v>41.95</v>
      </c>
      <c r="M185" s="160">
        <v>38.383064516129025</v>
      </c>
    </row>
    <row r="186" spans="1:13">
      <c r="A186" s="157">
        <v>40483</v>
      </c>
      <c r="B186" s="158">
        <v>27.2</v>
      </c>
      <c r="C186" s="158">
        <v>30.95</v>
      </c>
      <c r="D186" s="158">
        <v>35.950000000000003</v>
      </c>
      <c r="M186" s="160">
        <v>35.92916666666666</v>
      </c>
    </row>
    <row r="187" spans="1:13">
      <c r="A187" s="157">
        <v>40513</v>
      </c>
      <c r="B187" s="158">
        <v>27.2</v>
      </c>
      <c r="C187" s="158">
        <v>30.95</v>
      </c>
      <c r="D187" s="158">
        <v>35.950000000000003</v>
      </c>
      <c r="M187" s="160">
        <v>35.866935483870961</v>
      </c>
    </row>
    <row r="188" spans="1:13">
      <c r="A188" s="157">
        <v>40544</v>
      </c>
      <c r="B188" s="158">
        <v>31.7</v>
      </c>
      <c r="C188" s="158">
        <v>35.450000000000003</v>
      </c>
      <c r="D188" s="158">
        <v>40.450000000000003</v>
      </c>
      <c r="M188" s="160">
        <v>36.667741935483875</v>
      </c>
    </row>
    <row r="189" spans="1:13">
      <c r="A189" s="157">
        <v>40575</v>
      </c>
      <c r="B189" s="158">
        <v>29.7</v>
      </c>
      <c r="C189" s="158">
        <v>33.450000000000003</v>
      </c>
      <c r="D189" s="158">
        <v>38.450000000000003</v>
      </c>
      <c r="M189" s="160">
        <v>36.725000000000001</v>
      </c>
    </row>
    <row r="190" spans="1:13">
      <c r="A190" s="157">
        <v>40603</v>
      </c>
      <c r="B190" s="158">
        <v>28.7</v>
      </c>
      <c r="C190" s="158">
        <v>32.450000000000003</v>
      </c>
      <c r="D190" s="158">
        <v>37.450000000000003</v>
      </c>
      <c r="M190" s="160">
        <v>36.775806451612901</v>
      </c>
    </row>
    <row r="191" spans="1:13">
      <c r="A191" s="157">
        <v>40634</v>
      </c>
      <c r="B191" s="158">
        <v>28.7</v>
      </c>
      <c r="C191" s="158">
        <v>32.450000000000003</v>
      </c>
      <c r="D191" s="158">
        <v>37.450000000000003</v>
      </c>
      <c r="M191" s="160">
        <v>36.826666666666661</v>
      </c>
    </row>
    <row r="192" spans="1:13">
      <c r="A192" s="157">
        <v>40664</v>
      </c>
      <c r="B192" s="158">
        <v>31.7</v>
      </c>
      <c r="C192" s="158">
        <v>35.450000000000003</v>
      </c>
      <c r="D192" s="158">
        <v>40.450000000000003</v>
      </c>
      <c r="M192" s="160">
        <v>39.441935483870964</v>
      </c>
    </row>
    <row r="193" spans="1:13">
      <c r="A193" s="157">
        <v>40695</v>
      </c>
      <c r="B193" s="158">
        <v>40.700000000000003</v>
      </c>
      <c r="C193" s="158">
        <v>44.45</v>
      </c>
      <c r="D193" s="158">
        <v>49.45</v>
      </c>
      <c r="M193" s="160">
        <v>36.96</v>
      </c>
    </row>
    <row r="194" spans="1:13">
      <c r="A194" s="157">
        <v>40725</v>
      </c>
      <c r="B194" s="158">
        <v>62.7</v>
      </c>
      <c r="C194" s="158">
        <v>66.45</v>
      </c>
      <c r="D194" s="158">
        <v>71.45</v>
      </c>
      <c r="M194" s="160">
        <v>42.925806451612921</v>
      </c>
    </row>
    <row r="195" spans="1:13">
      <c r="A195" s="157">
        <v>40756</v>
      </c>
      <c r="B195" s="158">
        <v>67.7</v>
      </c>
      <c r="C195" s="158">
        <v>71.45</v>
      </c>
      <c r="D195" s="158">
        <v>76.45</v>
      </c>
      <c r="M195" s="160">
        <v>45.582258064516139</v>
      </c>
    </row>
    <row r="196" spans="1:13">
      <c r="A196" s="157">
        <v>40787</v>
      </c>
      <c r="B196" s="158">
        <v>49.7</v>
      </c>
      <c r="C196" s="158">
        <v>53.45</v>
      </c>
      <c r="D196" s="158">
        <v>58.45</v>
      </c>
      <c r="M196" s="160">
        <v>43.970833333333339</v>
      </c>
    </row>
    <row r="197" spans="1:13">
      <c r="A197" s="157">
        <v>40817</v>
      </c>
      <c r="B197" s="158">
        <v>33.700000000000003</v>
      </c>
      <c r="C197" s="158">
        <v>37.450000000000003</v>
      </c>
      <c r="D197" s="158">
        <v>42.45</v>
      </c>
      <c r="M197" s="160">
        <v>38.592741935483865</v>
      </c>
    </row>
    <row r="198" spans="1:13">
      <c r="A198" s="157">
        <v>40848</v>
      </c>
      <c r="B198" s="158">
        <v>27.7</v>
      </c>
      <c r="C198" s="158">
        <v>31.45</v>
      </c>
      <c r="D198" s="158">
        <v>36.450000000000003</v>
      </c>
      <c r="M198" s="160">
        <v>36.137500000000003</v>
      </c>
    </row>
    <row r="199" spans="1:13">
      <c r="A199" s="157">
        <v>40878</v>
      </c>
      <c r="B199" s="158">
        <v>27.7</v>
      </c>
      <c r="C199" s="158">
        <v>31.45</v>
      </c>
      <c r="D199" s="158">
        <v>36.450000000000003</v>
      </c>
      <c r="M199" s="160">
        <v>36.076612903225801</v>
      </c>
    </row>
    <row r="200" spans="1:13">
      <c r="A200" s="157">
        <v>40909</v>
      </c>
      <c r="B200" s="158">
        <v>31.95</v>
      </c>
      <c r="C200" s="158">
        <v>35.700000000000003</v>
      </c>
      <c r="D200" s="158">
        <v>40.700000000000003</v>
      </c>
      <c r="M200" s="160">
        <v>36.941935483870964</v>
      </c>
    </row>
    <row r="201" spans="1:13">
      <c r="A201" s="157">
        <v>40940</v>
      </c>
      <c r="B201" s="158">
        <v>29.95</v>
      </c>
      <c r="C201" s="158">
        <v>33.700000000000003</v>
      </c>
      <c r="D201" s="158">
        <v>38.700000000000003</v>
      </c>
      <c r="M201" s="160">
        <v>36.941379310344828</v>
      </c>
    </row>
    <row r="202" spans="1:13">
      <c r="A202" s="157">
        <v>40969</v>
      </c>
      <c r="B202" s="158">
        <v>28.95</v>
      </c>
      <c r="C202" s="158">
        <v>32.700000000000003</v>
      </c>
      <c r="D202" s="158">
        <v>37.700000000000003</v>
      </c>
      <c r="M202" s="160">
        <v>37.041935483870965</v>
      </c>
    </row>
    <row r="203" spans="1:13">
      <c r="A203" s="157">
        <v>41000</v>
      </c>
      <c r="B203" s="158">
        <v>28.95</v>
      </c>
      <c r="C203" s="158">
        <v>32.700000000000003</v>
      </c>
      <c r="D203" s="158">
        <v>37.700000000000003</v>
      </c>
      <c r="M203" s="160">
        <v>37.49166666666666</v>
      </c>
    </row>
    <row r="204" spans="1:13">
      <c r="A204" s="157">
        <v>41030</v>
      </c>
      <c r="B204" s="158">
        <v>31.95</v>
      </c>
      <c r="C204" s="158">
        <v>35.700000000000003</v>
      </c>
      <c r="D204" s="158">
        <v>40.700000000000003</v>
      </c>
      <c r="M204" s="160">
        <v>39.346774193548384</v>
      </c>
    </row>
    <row r="205" spans="1:13">
      <c r="A205" s="157">
        <v>41061</v>
      </c>
      <c r="B205" s="158">
        <v>40.950000000000003</v>
      </c>
      <c r="C205" s="158">
        <v>44.7</v>
      </c>
      <c r="D205" s="158">
        <v>49.7</v>
      </c>
      <c r="M205" s="160">
        <v>37.226666666666659</v>
      </c>
    </row>
    <row r="206" spans="1:13">
      <c r="A206" s="157">
        <v>41091</v>
      </c>
      <c r="B206" s="158">
        <v>62.95</v>
      </c>
      <c r="C206" s="158">
        <v>66.7</v>
      </c>
      <c r="D206" s="158">
        <v>71.7</v>
      </c>
      <c r="M206" s="160">
        <v>43.2</v>
      </c>
    </row>
    <row r="207" spans="1:13">
      <c r="A207" s="157">
        <v>41122</v>
      </c>
      <c r="B207" s="158">
        <v>67.95</v>
      </c>
      <c r="C207" s="158">
        <v>71.7</v>
      </c>
      <c r="D207" s="158">
        <v>76.7</v>
      </c>
      <c r="M207" s="160">
        <v>45.848387096774204</v>
      </c>
    </row>
    <row r="208" spans="1:13">
      <c r="A208" s="157">
        <v>41153</v>
      </c>
      <c r="B208" s="158">
        <v>49.95</v>
      </c>
      <c r="C208" s="158">
        <v>53.7</v>
      </c>
      <c r="D208" s="158">
        <v>58.7</v>
      </c>
      <c r="M208" s="160">
        <v>44.19</v>
      </c>
    </row>
    <row r="209" spans="1:13">
      <c r="A209" s="157">
        <v>41183</v>
      </c>
      <c r="B209" s="158">
        <v>33.950000000000003</v>
      </c>
      <c r="C209" s="158">
        <v>37.700000000000003</v>
      </c>
      <c r="D209" s="158">
        <v>42.7</v>
      </c>
      <c r="M209" s="160">
        <v>38.590322580645164</v>
      </c>
    </row>
    <row r="210" spans="1:13">
      <c r="A210" s="157">
        <v>41214</v>
      </c>
      <c r="B210" s="158">
        <v>27.95</v>
      </c>
      <c r="C210" s="158">
        <v>31.7</v>
      </c>
      <c r="D210" s="158">
        <v>36.700000000000003</v>
      </c>
      <c r="M210" s="160">
        <v>36.408333333333331</v>
      </c>
    </row>
    <row r="211" spans="1:13">
      <c r="A211" s="157">
        <v>41244</v>
      </c>
      <c r="B211" s="158">
        <v>27.95</v>
      </c>
      <c r="C211" s="158">
        <v>31.7</v>
      </c>
      <c r="D211" s="158">
        <v>36.700000000000003</v>
      </c>
      <c r="M211" s="160">
        <v>36.71612903225806</v>
      </c>
    </row>
    <row r="212" spans="1:13">
      <c r="A212" s="157">
        <v>41275</v>
      </c>
      <c r="B212" s="158">
        <v>32.200000000000003</v>
      </c>
      <c r="C212" s="158">
        <v>35.950000000000003</v>
      </c>
      <c r="D212" s="158">
        <v>40.950000000000003</v>
      </c>
      <c r="M212" s="160">
        <v>36.971774193548384</v>
      </c>
    </row>
    <row r="213" spans="1:13">
      <c r="A213" s="157">
        <v>41306</v>
      </c>
      <c r="B213" s="158">
        <v>30.2</v>
      </c>
      <c r="C213" s="158">
        <v>33.950000000000003</v>
      </c>
      <c r="D213" s="158">
        <v>38.950000000000003</v>
      </c>
      <c r="M213" s="160">
        <v>37.260714285714279</v>
      </c>
    </row>
    <row r="214" spans="1:13">
      <c r="A214" s="157">
        <v>41334</v>
      </c>
      <c r="B214" s="158">
        <v>29.2</v>
      </c>
      <c r="C214" s="158">
        <v>32.950000000000003</v>
      </c>
      <c r="D214" s="158">
        <v>37.950000000000003</v>
      </c>
      <c r="M214" s="160">
        <v>37.697580645161281</v>
      </c>
    </row>
    <row r="215" spans="1:13">
      <c r="A215" s="157">
        <v>41365</v>
      </c>
      <c r="B215" s="158">
        <v>29.2</v>
      </c>
      <c r="C215" s="158">
        <v>32.950000000000003</v>
      </c>
      <c r="D215" s="158">
        <v>37.950000000000003</v>
      </c>
      <c r="M215" s="160">
        <v>37.36</v>
      </c>
    </row>
    <row r="216" spans="1:13">
      <c r="A216" s="157">
        <v>41395</v>
      </c>
      <c r="B216" s="158">
        <v>32.200000000000003</v>
      </c>
      <c r="C216" s="158">
        <v>35.950000000000003</v>
      </c>
      <c r="D216" s="158">
        <v>40.950000000000003</v>
      </c>
      <c r="M216" s="160">
        <v>39.616935483870968</v>
      </c>
    </row>
    <row r="217" spans="1:13">
      <c r="A217" s="157">
        <v>41426</v>
      </c>
      <c r="B217" s="158">
        <v>41.2</v>
      </c>
      <c r="C217" s="158">
        <v>44.95</v>
      </c>
      <c r="D217" s="158">
        <v>49.95</v>
      </c>
      <c r="M217" s="160">
        <v>37.42916666666666</v>
      </c>
    </row>
    <row r="218" spans="1:13">
      <c r="A218" s="157">
        <v>41456</v>
      </c>
      <c r="B218" s="158">
        <v>63.2</v>
      </c>
      <c r="C218" s="158">
        <v>66.95</v>
      </c>
      <c r="D218" s="158">
        <v>71.95</v>
      </c>
      <c r="M218" s="160">
        <v>44.020161290322591</v>
      </c>
    </row>
    <row r="219" spans="1:13">
      <c r="A219" s="157">
        <v>41487</v>
      </c>
      <c r="B219" s="158">
        <v>68.2</v>
      </c>
      <c r="C219" s="158">
        <v>71.95</v>
      </c>
      <c r="D219" s="158">
        <v>76.95</v>
      </c>
      <c r="M219" s="160">
        <v>46.114516129032268</v>
      </c>
    </row>
    <row r="220" spans="1:13">
      <c r="A220" s="157">
        <v>41518</v>
      </c>
      <c r="B220" s="158">
        <v>50.2</v>
      </c>
      <c r="C220" s="158">
        <v>53.95</v>
      </c>
      <c r="D220" s="158">
        <v>58.95</v>
      </c>
      <c r="M220" s="160">
        <v>44.465000000000003</v>
      </c>
    </row>
    <row r="221" spans="1:13">
      <c r="A221" s="157">
        <v>41548</v>
      </c>
      <c r="B221" s="158">
        <v>34.200000000000003</v>
      </c>
      <c r="C221" s="158">
        <v>37.950000000000003</v>
      </c>
      <c r="D221" s="158">
        <v>42.95</v>
      </c>
      <c r="M221" s="160">
        <v>38.856451612903228</v>
      </c>
    </row>
    <row r="222" spans="1:13">
      <c r="A222" s="157">
        <v>41579</v>
      </c>
      <c r="B222" s="158">
        <v>28.2</v>
      </c>
      <c r="C222" s="158">
        <v>31.95</v>
      </c>
      <c r="D222" s="158">
        <v>36.950000000000003</v>
      </c>
      <c r="M222" s="160">
        <v>36.67916666666666</v>
      </c>
    </row>
    <row r="223" spans="1:13">
      <c r="A223" s="157">
        <v>41609</v>
      </c>
      <c r="B223" s="158">
        <v>28.2</v>
      </c>
      <c r="C223" s="158">
        <v>31.95</v>
      </c>
      <c r="D223" s="158">
        <v>36.950000000000003</v>
      </c>
      <c r="M223" s="160">
        <v>36.990322580645163</v>
      </c>
    </row>
    <row r="224" spans="1:13">
      <c r="A224" s="157">
        <v>41640</v>
      </c>
      <c r="B224" s="158">
        <v>32.450000000000003</v>
      </c>
      <c r="C224" s="158">
        <v>36.200000000000003</v>
      </c>
      <c r="D224" s="158">
        <v>41.2</v>
      </c>
      <c r="M224" s="160">
        <v>37.241935483870961</v>
      </c>
    </row>
    <row r="225" spans="1:13">
      <c r="A225" s="157">
        <v>41671</v>
      </c>
      <c r="B225" s="158">
        <v>30.45</v>
      </c>
      <c r="C225" s="158">
        <v>34.200000000000003</v>
      </c>
      <c r="D225" s="158">
        <v>39.200000000000003</v>
      </c>
      <c r="M225" s="160">
        <v>37.528571428571418</v>
      </c>
    </row>
    <row r="226" spans="1:13">
      <c r="A226" s="157">
        <v>41699</v>
      </c>
      <c r="B226" s="158">
        <v>29.45</v>
      </c>
      <c r="C226" s="158">
        <v>33.200000000000003</v>
      </c>
      <c r="D226" s="158">
        <v>38.200000000000003</v>
      </c>
      <c r="M226" s="160">
        <v>37.967741935483865</v>
      </c>
    </row>
    <row r="227" spans="1:13">
      <c r="A227" s="157">
        <v>41730</v>
      </c>
      <c r="B227" s="158">
        <v>29.45</v>
      </c>
      <c r="C227" s="158">
        <v>33.200000000000003</v>
      </c>
      <c r="D227" s="158">
        <v>38.200000000000003</v>
      </c>
      <c r="M227" s="160">
        <v>37.626666666666658</v>
      </c>
    </row>
    <row r="228" spans="1:13">
      <c r="A228" s="157">
        <v>41760</v>
      </c>
      <c r="B228" s="158">
        <v>32.450000000000003</v>
      </c>
      <c r="C228" s="158">
        <v>36.200000000000003</v>
      </c>
      <c r="D228" s="158">
        <v>41.2</v>
      </c>
      <c r="M228" s="160">
        <v>39.887096774193544</v>
      </c>
    </row>
    <row r="229" spans="1:13">
      <c r="A229" s="157">
        <v>41791</v>
      </c>
      <c r="B229" s="158">
        <v>41.45</v>
      </c>
      <c r="C229" s="158">
        <v>45.2</v>
      </c>
      <c r="D229" s="158">
        <v>50.2</v>
      </c>
      <c r="M229" s="160">
        <v>37.700000000000003</v>
      </c>
    </row>
    <row r="230" spans="1:13">
      <c r="A230" s="157">
        <v>41821</v>
      </c>
      <c r="B230" s="158">
        <v>63.45</v>
      </c>
      <c r="C230" s="158">
        <v>67.2</v>
      </c>
      <c r="D230" s="158">
        <v>72.2</v>
      </c>
      <c r="M230" s="160">
        <v>44.290322580645167</v>
      </c>
    </row>
    <row r="231" spans="1:13">
      <c r="A231" s="157">
        <v>41852</v>
      </c>
      <c r="B231" s="158">
        <v>68.45</v>
      </c>
      <c r="C231" s="158">
        <v>72.2</v>
      </c>
      <c r="D231" s="158">
        <v>77.2</v>
      </c>
      <c r="M231" s="160">
        <v>45.725806451612911</v>
      </c>
    </row>
    <row r="232" spans="1:13">
      <c r="A232" s="157">
        <v>41883</v>
      </c>
      <c r="B232" s="158">
        <v>50.45</v>
      </c>
      <c r="C232" s="158">
        <v>54.2</v>
      </c>
      <c r="D232" s="158">
        <v>59.2</v>
      </c>
      <c r="M232" s="160">
        <v>44.783333333333339</v>
      </c>
    </row>
    <row r="233" spans="1:13">
      <c r="A233" s="157">
        <v>41913</v>
      </c>
      <c r="B233" s="158">
        <v>34.450000000000003</v>
      </c>
      <c r="C233" s="158">
        <v>38.200000000000003</v>
      </c>
      <c r="D233" s="158">
        <v>43.2</v>
      </c>
      <c r="M233" s="160">
        <v>39.122580645161293</v>
      </c>
    </row>
    <row r="234" spans="1:13">
      <c r="A234" s="157">
        <v>41944</v>
      </c>
      <c r="B234" s="158">
        <v>28.45</v>
      </c>
      <c r="C234" s="158">
        <v>32.200000000000003</v>
      </c>
      <c r="D234" s="158">
        <v>37.200000000000003</v>
      </c>
      <c r="M234" s="160">
        <v>37.340000000000003</v>
      </c>
    </row>
    <row r="235" spans="1:13">
      <c r="A235" s="157">
        <v>41974</v>
      </c>
      <c r="B235" s="158">
        <v>28.45</v>
      </c>
      <c r="C235" s="158">
        <v>32.200000000000003</v>
      </c>
      <c r="D235" s="158">
        <v>37.200000000000003</v>
      </c>
      <c r="M235" s="160">
        <v>36.887096774193544</v>
      </c>
    </row>
    <row r="236" spans="1:13">
      <c r="A236" s="157">
        <v>42005</v>
      </c>
      <c r="B236" s="158">
        <v>31.45</v>
      </c>
      <c r="C236" s="158">
        <v>36.450000000000003</v>
      </c>
      <c r="D236" s="158">
        <v>41.45</v>
      </c>
      <c r="M236" s="160">
        <v>37.764516129032259</v>
      </c>
    </row>
    <row r="237" spans="1:13">
      <c r="A237" s="157">
        <v>42036</v>
      </c>
      <c r="B237" s="158">
        <v>29.45</v>
      </c>
      <c r="C237" s="158">
        <v>34.450000000000003</v>
      </c>
      <c r="D237" s="158">
        <v>39.450000000000003</v>
      </c>
      <c r="M237" s="160">
        <v>38.183035714285715</v>
      </c>
    </row>
    <row r="238" spans="1:13">
      <c r="A238" s="157">
        <v>42064</v>
      </c>
      <c r="B238" s="158">
        <v>28.45</v>
      </c>
      <c r="C238" s="158">
        <v>33.450000000000003</v>
      </c>
      <c r="D238" s="158">
        <v>38.450000000000003</v>
      </c>
      <c r="M238" s="160">
        <v>38.237903225806441</v>
      </c>
    </row>
    <row r="239" spans="1:13">
      <c r="A239" s="157">
        <v>42095</v>
      </c>
      <c r="B239" s="158">
        <v>28.45</v>
      </c>
      <c r="C239" s="158">
        <v>33.450000000000003</v>
      </c>
      <c r="D239" s="158">
        <v>38.450000000000003</v>
      </c>
      <c r="M239" s="160">
        <v>38.30416666666666</v>
      </c>
    </row>
    <row r="240" spans="1:13">
      <c r="A240" s="157">
        <v>42125</v>
      </c>
      <c r="B240" s="158">
        <v>31.45</v>
      </c>
      <c r="C240" s="158">
        <v>36.450000000000003</v>
      </c>
      <c r="D240" s="158">
        <v>41.45</v>
      </c>
      <c r="M240" s="160">
        <v>40.538709677419362</v>
      </c>
    </row>
    <row r="241" spans="1:13">
      <c r="A241" s="157">
        <v>42156</v>
      </c>
      <c r="B241" s="158">
        <v>40.450000000000003</v>
      </c>
      <c r="C241" s="158">
        <v>45.45</v>
      </c>
      <c r="D241" s="158">
        <v>50.45</v>
      </c>
      <c r="M241" s="160">
        <v>38.026666666666664</v>
      </c>
    </row>
    <row r="242" spans="1:13">
      <c r="A242" s="157">
        <v>42186</v>
      </c>
      <c r="B242" s="158">
        <v>62.45</v>
      </c>
      <c r="C242" s="158">
        <v>67.45</v>
      </c>
      <c r="D242" s="158">
        <v>72.45</v>
      </c>
      <c r="M242" s="160">
        <v>44.560483870967744</v>
      </c>
    </row>
    <row r="243" spans="1:13">
      <c r="A243" s="157">
        <v>42217</v>
      </c>
      <c r="B243" s="158">
        <v>67.45</v>
      </c>
      <c r="C243" s="158">
        <v>72.45</v>
      </c>
      <c r="D243" s="158">
        <v>77.45</v>
      </c>
      <c r="M243" s="160">
        <v>45.995967741935495</v>
      </c>
    </row>
    <row r="244" spans="1:13">
      <c r="A244" s="157">
        <v>42248</v>
      </c>
      <c r="B244" s="158">
        <v>49.45</v>
      </c>
      <c r="C244" s="158">
        <v>54.45</v>
      </c>
      <c r="D244" s="158">
        <v>59.45</v>
      </c>
      <c r="M244" s="160">
        <v>45.054166666666667</v>
      </c>
    </row>
    <row r="245" spans="1:13">
      <c r="A245" s="157">
        <v>42278</v>
      </c>
      <c r="B245" s="158">
        <v>33.450000000000003</v>
      </c>
      <c r="C245" s="158">
        <v>38.450000000000003</v>
      </c>
      <c r="D245" s="158">
        <v>43.45</v>
      </c>
      <c r="M245" s="160">
        <v>39.673387096774192</v>
      </c>
    </row>
    <row r="246" spans="1:13">
      <c r="A246" s="157">
        <v>42309</v>
      </c>
      <c r="B246" s="158">
        <v>27.45</v>
      </c>
      <c r="C246" s="158">
        <v>32.450000000000003</v>
      </c>
      <c r="D246" s="158">
        <v>37.450000000000003</v>
      </c>
      <c r="M246" s="160">
        <v>38.009166666666665</v>
      </c>
    </row>
    <row r="247" spans="1:13">
      <c r="A247" s="157">
        <v>42339</v>
      </c>
      <c r="B247" s="158">
        <v>27.45</v>
      </c>
      <c r="C247" s="158">
        <v>32.450000000000003</v>
      </c>
      <c r="D247" s="158">
        <v>37.450000000000003</v>
      </c>
      <c r="M247" s="160">
        <v>37.157258064516121</v>
      </c>
    </row>
    <row r="248" spans="1:13">
      <c r="A248" s="157">
        <v>42370</v>
      </c>
      <c r="B248" s="158">
        <v>31.7</v>
      </c>
      <c r="C248" s="158">
        <v>36.700000000000003</v>
      </c>
      <c r="D248" s="158">
        <v>41.7</v>
      </c>
      <c r="M248" s="160">
        <v>38.295161290322575</v>
      </c>
    </row>
    <row r="249" spans="1:13">
      <c r="A249" s="157">
        <v>42401</v>
      </c>
      <c r="B249" s="158">
        <v>29.7</v>
      </c>
      <c r="C249" s="158">
        <v>34.700000000000003</v>
      </c>
      <c r="D249" s="158">
        <v>39.700000000000003</v>
      </c>
      <c r="M249" s="160">
        <v>38.387931034482754</v>
      </c>
    </row>
    <row r="250" spans="1:13">
      <c r="A250" s="157">
        <v>42430</v>
      </c>
      <c r="B250" s="158">
        <v>28.7</v>
      </c>
      <c r="C250" s="158">
        <v>33.700000000000003</v>
      </c>
      <c r="D250" s="158">
        <v>38.700000000000003</v>
      </c>
      <c r="M250" s="160">
        <v>38.508064516129025</v>
      </c>
    </row>
    <row r="251" spans="1:13">
      <c r="A251" s="157">
        <v>42461</v>
      </c>
      <c r="B251" s="158">
        <v>28.7</v>
      </c>
      <c r="C251" s="158">
        <v>33.700000000000003</v>
      </c>
      <c r="D251" s="158">
        <v>38.700000000000003</v>
      </c>
      <c r="M251" s="160">
        <v>38.159999999999997</v>
      </c>
    </row>
    <row r="252" spans="1:13">
      <c r="A252" s="157">
        <v>42491</v>
      </c>
      <c r="B252" s="158">
        <v>31.7</v>
      </c>
      <c r="C252" s="158">
        <v>36.700000000000003</v>
      </c>
      <c r="D252" s="158">
        <v>41.7</v>
      </c>
      <c r="M252" s="160">
        <v>40.812903225806451</v>
      </c>
    </row>
    <row r="253" spans="1:13">
      <c r="A253" s="157">
        <v>42522</v>
      </c>
      <c r="B253" s="158">
        <v>40.700000000000003</v>
      </c>
      <c r="C253" s="158">
        <v>45.7</v>
      </c>
      <c r="D253" s="158">
        <v>50.7</v>
      </c>
      <c r="M253" s="160">
        <v>38.293333333333329</v>
      </c>
    </row>
    <row r="254" spans="1:13">
      <c r="A254" s="157">
        <v>42552</v>
      </c>
      <c r="B254" s="158">
        <v>62.7</v>
      </c>
      <c r="C254" s="158">
        <v>67.7</v>
      </c>
      <c r="D254" s="158">
        <v>72.7</v>
      </c>
      <c r="M254" s="160">
        <v>44.296774193548401</v>
      </c>
    </row>
    <row r="255" spans="1:13">
      <c r="A255" s="157">
        <v>42583</v>
      </c>
      <c r="B255" s="158">
        <v>67.7</v>
      </c>
      <c r="C255" s="158">
        <v>72.7</v>
      </c>
      <c r="D255" s="158">
        <v>77.7</v>
      </c>
      <c r="M255" s="160">
        <v>46.91290322580646</v>
      </c>
    </row>
    <row r="256" spans="1:13">
      <c r="A256" s="157">
        <v>42614</v>
      </c>
      <c r="B256" s="158">
        <v>49.7</v>
      </c>
      <c r="C256" s="158">
        <v>54.7</v>
      </c>
      <c r="D256" s="158">
        <v>59.7</v>
      </c>
      <c r="M256" s="160">
        <v>45.325000000000003</v>
      </c>
    </row>
    <row r="257" spans="1:13">
      <c r="A257" s="157">
        <v>42644</v>
      </c>
      <c r="B257" s="158">
        <v>33.700000000000003</v>
      </c>
      <c r="C257" s="158">
        <v>38.700000000000003</v>
      </c>
      <c r="D257" s="158">
        <v>43.7</v>
      </c>
      <c r="M257" s="160">
        <v>40.232258064516131</v>
      </c>
    </row>
    <row r="258" spans="1:13">
      <c r="A258" s="157">
        <v>42675</v>
      </c>
      <c r="B258" s="158">
        <v>27.7</v>
      </c>
      <c r="C258" s="158">
        <v>32.700000000000003</v>
      </c>
      <c r="D258" s="158">
        <v>37.700000000000003</v>
      </c>
      <c r="M258" s="160">
        <v>37.89</v>
      </c>
    </row>
    <row r="259" spans="1:13">
      <c r="A259" s="157">
        <v>42705</v>
      </c>
      <c r="B259" s="158">
        <v>27.7</v>
      </c>
      <c r="C259" s="158">
        <v>32.700000000000003</v>
      </c>
      <c r="D259" s="158">
        <v>37.700000000000003</v>
      </c>
      <c r="M259" s="160">
        <v>37.427419354838698</v>
      </c>
    </row>
    <row r="260" spans="1:13">
      <c r="A260" s="157">
        <v>42736</v>
      </c>
      <c r="B260" s="158">
        <v>31.95</v>
      </c>
      <c r="C260" s="158">
        <v>36.950000000000003</v>
      </c>
      <c r="D260" s="158">
        <v>41.95</v>
      </c>
      <c r="M260" s="160">
        <v>38.573387096774191</v>
      </c>
    </row>
    <row r="261" spans="1:13">
      <c r="A261" s="157">
        <v>42767</v>
      </c>
      <c r="B261" s="158">
        <v>29.95</v>
      </c>
      <c r="C261" s="158">
        <v>34.950000000000003</v>
      </c>
      <c r="D261" s="158">
        <v>39.950000000000003</v>
      </c>
      <c r="M261" s="160">
        <v>38.727678571428569</v>
      </c>
    </row>
    <row r="262" spans="1:13">
      <c r="A262" s="157">
        <v>42795</v>
      </c>
      <c r="B262" s="158">
        <v>28.95</v>
      </c>
      <c r="C262" s="158">
        <v>33.950000000000003</v>
      </c>
      <c r="D262" s="158">
        <v>38.950000000000003</v>
      </c>
      <c r="M262" s="160">
        <v>38.372580645161285</v>
      </c>
    </row>
    <row r="263" spans="1:13">
      <c r="A263" s="157">
        <v>42826</v>
      </c>
      <c r="B263" s="158">
        <v>28.95</v>
      </c>
      <c r="C263" s="158">
        <v>33.950000000000003</v>
      </c>
      <c r="D263" s="158">
        <v>38.950000000000003</v>
      </c>
      <c r="M263" s="160">
        <v>39.265000000000001</v>
      </c>
    </row>
    <row r="264" spans="1:13">
      <c r="A264" s="157">
        <v>42856</v>
      </c>
      <c r="B264" s="158">
        <v>31.95</v>
      </c>
      <c r="C264" s="158">
        <v>36.950000000000003</v>
      </c>
      <c r="D264" s="158">
        <v>41.95</v>
      </c>
      <c r="M264" s="160">
        <v>40.697580645161288</v>
      </c>
    </row>
    <row r="265" spans="1:13">
      <c r="A265" s="157">
        <v>42887</v>
      </c>
      <c r="B265" s="158">
        <v>40.950000000000003</v>
      </c>
      <c r="C265" s="158">
        <v>45.95</v>
      </c>
      <c r="D265" s="158">
        <v>50.95</v>
      </c>
      <c r="M265" s="160">
        <v>38.56</v>
      </c>
    </row>
    <row r="266" spans="1:13">
      <c r="A266" s="157">
        <v>42917</v>
      </c>
      <c r="B266" s="158">
        <v>62.95</v>
      </c>
      <c r="C266" s="158">
        <v>67.95</v>
      </c>
      <c r="D266" s="158">
        <v>72.95</v>
      </c>
      <c r="M266" s="160">
        <v>44.570967741935497</v>
      </c>
    </row>
    <row r="267" spans="1:13">
      <c r="A267" s="157">
        <v>42948</v>
      </c>
      <c r="B267" s="158">
        <v>67.95</v>
      </c>
      <c r="C267" s="158">
        <v>72.95</v>
      </c>
      <c r="D267" s="158">
        <v>77.95</v>
      </c>
      <c r="M267" s="160">
        <v>47.179032258064524</v>
      </c>
    </row>
    <row r="268" spans="1:13">
      <c r="A268" s="157">
        <v>42979</v>
      </c>
      <c r="B268" s="158">
        <v>49.95</v>
      </c>
      <c r="C268" s="158">
        <v>54.95</v>
      </c>
      <c r="D268" s="158">
        <v>59.95</v>
      </c>
      <c r="M268" s="160">
        <v>45.595833333333339</v>
      </c>
    </row>
    <row r="269" spans="1:13">
      <c r="A269" s="157">
        <v>43009</v>
      </c>
      <c r="B269" s="158">
        <v>33.950000000000003</v>
      </c>
      <c r="C269" s="158">
        <v>38.950000000000003</v>
      </c>
      <c r="D269" s="158">
        <v>43.95</v>
      </c>
      <c r="M269" s="160">
        <v>40.506451612903234</v>
      </c>
    </row>
    <row r="270" spans="1:13">
      <c r="A270" s="157">
        <v>43040</v>
      </c>
      <c r="B270" s="158">
        <v>27.95</v>
      </c>
      <c r="C270" s="158">
        <v>32.950000000000003</v>
      </c>
      <c r="D270" s="158">
        <v>37.950000000000003</v>
      </c>
      <c r="M270" s="160">
        <v>38.164999999999999</v>
      </c>
    </row>
    <row r="271" spans="1:13">
      <c r="A271" s="157">
        <v>43070</v>
      </c>
      <c r="B271" s="158">
        <v>27.95</v>
      </c>
      <c r="C271" s="158">
        <v>32.950000000000003</v>
      </c>
      <c r="D271" s="158">
        <v>37.950000000000003</v>
      </c>
      <c r="M271" s="160">
        <v>38.08709677419354</v>
      </c>
    </row>
    <row r="272" spans="1:13">
      <c r="A272" s="157">
        <v>43101</v>
      </c>
      <c r="B272" s="158">
        <v>32.200000000000003</v>
      </c>
      <c r="C272" s="158">
        <v>37.200000000000003</v>
      </c>
      <c r="D272" s="158">
        <v>42.2</v>
      </c>
      <c r="M272" s="160">
        <v>38.58709677419354</v>
      </c>
    </row>
    <row r="273" spans="1:13">
      <c r="A273" s="157">
        <v>43132</v>
      </c>
      <c r="B273" s="158">
        <v>30.2</v>
      </c>
      <c r="C273" s="158">
        <v>35.200000000000003</v>
      </c>
      <c r="D273" s="158">
        <v>40.200000000000003</v>
      </c>
      <c r="M273" s="160">
        <v>39</v>
      </c>
    </row>
    <row r="274" spans="1:13">
      <c r="A274" s="157">
        <v>43160</v>
      </c>
      <c r="B274" s="158">
        <v>29.2</v>
      </c>
      <c r="C274" s="158">
        <v>34.200000000000003</v>
      </c>
      <c r="D274" s="158">
        <v>39.200000000000003</v>
      </c>
      <c r="M274" s="160">
        <v>39.048387096774185</v>
      </c>
    </row>
    <row r="275" spans="1:13">
      <c r="A275" s="157">
        <v>43191</v>
      </c>
      <c r="B275" s="158">
        <v>29.2</v>
      </c>
      <c r="C275" s="158">
        <v>34.200000000000003</v>
      </c>
      <c r="D275" s="158">
        <v>39.200000000000003</v>
      </c>
      <c r="M275" s="160">
        <v>39.11666666666666</v>
      </c>
    </row>
    <row r="276" spans="1:13">
      <c r="A276" s="157">
        <v>43221</v>
      </c>
      <c r="B276" s="158">
        <v>32.200000000000003</v>
      </c>
      <c r="C276" s="158">
        <v>37.200000000000003</v>
      </c>
      <c r="D276" s="158">
        <v>42.2</v>
      </c>
      <c r="M276" s="160">
        <v>40.967741935483872</v>
      </c>
    </row>
    <row r="277" spans="1:13">
      <c r="A277" s="157">
        <v>43252</v>
      </c>
      <c r="B277" s="158">
        <v>41.2</v>
      </c>
      <c r="C277" s="158">
        <v>46.2</v>
      </c>
      <c r="D277" s="158">
        <v>51.2</v>
      </c>
      <c r="M277" s="160">
        <v>38.826666666666661</v>
      </c>
    </row>
    <row r="278" spans="1:13">
      <c r="A278" s="157">
        <v>43282</v>
      </c>
      <c r="B278" s="158">
        <v>63.2</v>
      </c>
      <c r="C278" s="158">
        <v>68.2</v>
      </c>
      <c r="D278" s="158">
        <v>73.2</v>
      </c>
      <c r="M278" s="160">
        <v>44.845161290322601</v>
      </c>
    </row>
    <row r="279" spans="1:13">
      <c r="A279" s="157">
        <v>43313</v>
      </c>
      <c r="B279" s="158">
        <v>68.2</v>
      </c>
      <c r="C279" s="158">
        <v>73.2</v>
      </c>
      <c r="D279" s="158">
        <v>78.2</v>
      </c>
      <c r="M279" s="160">
        <v>47.445161290322595</v>
      </c>
    </row>
    <row r="280" spans="1:13">
      <c r="A280" s="157">
        <v>43344</v>
      </c>
      <c r="B280" s="158">
        <v>50.2</v>
      </c>
      <c r="C280" s="158">
        <v>55.2</v>
      </c>
      <c r="D280" s="158">
        <v>60.2</v>
      </c>
      <c r="M280" s="160">
        <v>45.84</v>
      </c>
    </row>
    <row r="281" spans="1:13">
      <c r="A281" s="157">
        <v>43374</v>
      </c>
      <c r="B281" s="158">
        <v>34.200000000000003</v>
      </c>
      <c r="C281" s="158">
        <v>39.200000000000003</v>
      </c>
      <c r="D281" s="158">
        <v>44.2</v>
      </c>
      <c r="M281" s="160">
        <v>40.483870967741936</v>
      </c>
    </row>
    <row r="282" spans="1:13">
      <c r="A282" s="157">
        <v>43405</v>
      </c>
      <c r="B282" s="158">
        <v>28.2</v>
      </c>
      <c r="C282" s="158">
        <v>33.200000000000003</v>
      </c>
      <c r="D282" s="158">
        <v>38.200000000000003</v>
      </c>
      <c r="M282" s="160">
        <v>38.033333333333331</v>
      </c>
    </row>
    <row r="283" spans="1:13">
      <c r="A283" s="157">
        <v>43435</v>
      </c>
      <c r="B283" s="158">
        <v>28.2</v>
      </c>
      <c r="C283" s="158">
        <v>33.200000000000003</v>
      </c>
      <c r="D283" s="158">
        <v>38.200000000000003</v>
      </c>
      <c r="M283" s="160">
        <v>38.361290322580643</v>
      </c>
    </row>
    <row r="284" spans="1:13">
      <c r="A284" s="157">
        <v>43466</v>
      </c>
      <c r="B284" s="158">
        <v>32.450000000000003</v>
      </c>
      <c r="C284" s="158">
        <v>37.450000000000003</v>
      </c>
      <c r="D284" s="158">
        <v>42.45</v>
      </c>
      <c r="M284" s="160">
        <v>38.861290322580643</v>
      </c>
    </row>
    <row r="285" spans="1:13">
      <c r="A285" s="157">
        <v>43497</v>
      </c>
      <c r="B285" s="158">
        <v>30.45</v>
      </c>
      <c r="C285" s="158">
        <v>35.450000000000003</v>
      </c>
      <c r="D285" s="158">
        <v>40.450000000000003</v>
      </c>
      <c r="M285" s="160">
        <v>39.272321428571431</v>
      </c>
    </row>
    <row r="286" spans="1:13">
      <c r="A286" s="157">
        <v>43525</v>
      </c>
      <c r="B286" s="158">
        <v>29.45</v>
      </c>
      <c r="C286" s="158">
        <v>34.450000000000003</v>
      </c>
      <c r="D286" s="158">
        <v>39.450000000000003</v>
      </c>
      <c r="M286" s="160">
        <v>39.318548387096769</v>
      </c>
    </row>
    <row r="287" spans="1:13">
      <c r="A287" s="157">
        <v>43556</v>
      </c>
      <c r="B287" s="158">
        <v>29.45</v>
      </c>
      <c r="C287" s="158">
        <v>34.450000000000003</v>
      </c>
      <c r="D287" s="158">
        <v>39.450000000000003</v>
      </c>
      <c r="M287" s="160">
        <v>39.387500000000003</v>
      </c>
    </row>
    <row r="288" spans="1:13">
      <c r="A288" s="157">
        <v>43586</v>
      </c>
      <c r="B288" s="158">
        <v>32.450000000000003</v>
      </c>
      <c r="C288" s="158">
        <v>37.450000000000003</v>
      </c>
      <c r="D288" s="158">
        <v>42.45</v>
      </c>
      <c r="M288" s="160">
        <v>41.237903225806448</v>
      </c>
    </row>
    <row r="289" spans="1:13">
      <c r="A289" s="157">
        <v>43617</v>
      </c>
      <c r="B289" s="158">
        <v>41.45</v>
      </c>
      <c r="C289" s="158">
        <v>46.45</v>
      </c>
      <c r="D289" s="158">
        <v>51.45</v>
      </c>
      <c r="M289" s="160">
        <v>39.05416666666666</v>
      </c>
    </row>
    <row r="290" spans="1:13">
      <c r="A290" s="157">
        <v>43647</v>
      </c>
      <c r="B290" s="158">
        <v>63.45</v>
      </c>
      <c r="C290" s="158">
        <v>68.45</v>
      </c>
      <c r="D290" s="158">
        <v>73.45</v>
      </c>
      <c r="M290" s="160">
        <v>45.641129032258078</v>
      </c>
    </row>
    <row r="291" spans="1:13">
      <c r="A291" s="157">
        <v>43678</v>
      </c>
      <c r="B291" s="158">
        <v>68.45</v>
      </c>
      <c r="C291" s="158">
        <v>73.45</v>
      </c>
      <c r="D291" s="158">
        <v>78.45</v>
      </c>
      <c r="M291" s="160">
        <v>47.711290322580659</v>
      </c>
    </row>
    <row r="292" spans="1:13">
      <c r="A292" s="157">
        <v>43709</v>
      </c>
      <c r="B292" s="158">
        <v>50.45</v>
      </c>
      <c r="C292" s="158">
        <v>55.45</v>
      </c>
      <c r="D292" s="158">
        <v>60.45</v>
      </c>
      <c r="M292" s="160">
        <v>46.115000000000002</v>
      </c>
    </row>
    <row r="293" spans="1:13">
      <c r="A293" s="157">
        <v>43739</v>
      </c>
      <c r="B293" s="158">
        <v>34.450000000000003</v>
      </c>
      <c r="C293" s="158">
        <v>39.450000000000003</v>
      </c>
      <c r="D293" s="158">
        <v>44.45</v>
      </c>
      <c r="M293" s="160">
        <v>40.754032258064512</v>
      </c>
    </row>
    <row r="294" spans="1:13">
      <c r="A294" s="157">
        <v>43770</v>
      </c>
      <c r="B294" s="158">
        <v>28.45</v>
      </c>
      <c r="C294" s="158">
        <v>33.450000000000003</v>
      </c>
      <c r="D294" s="158">
        <v>38.450000000000003</v>
      </c>
      <c r="M294" s="160">
        <v>38.715000000000003</v>
      </c>
    </row>
    <row r="295" spans="1:13">
      <c r="A295" s="157">
        <v>43800</v>
      </c>
      <c r="B295" s="158">
        <v>28.45</v>
      </c>
      <c r="C295" s="158">
        <v>33.450000000000003</v>
      </c>
      <c r="D295" s="158">
        <v>38.450000000000003</v>
      </c>
      <c r="M295" s="160">
        <v>38.63548387096774</v>
      </c>
    </row>
    <row r="296" spans="1:13">
      <c r="A296" s="157">
        <v>43831</v>
      </c>
      <c r="B296" s="158">
        <v>32.700000000000003</v>
      </c>
      <c r="C296" s="158">
        <v>37.700000000000003</v>
      </c>
      <c r="D296" s="158">
        <v>42.7</v>
      </c>
      <c r="M296" s="160">
        <v>39.135483870967747</v>
      </c>
    </row>
    <row r="297" spans="1:13">
      <c r="A297" s="157">
        <v>43862</v>
      </c>
      <c r="B297" s="158">
        <v>30.7</v>
      </c>
      <c r="C297" s="158">
        <v>35.700000000000003</v>
      </c>
      <c r="D297" s="158">
        <v>40.700000000000003</v>
      </c>
      <c r="M297" s="160">
        <v>39.474137931034477</v>
      </c>
    </row>
    <row r="298" spans="1:13">
      <c r="A298" s="157">
        <v>43891</v>
      </c>
      <c r="B298" s="158">
        <v>29.7</v>
      </c>
      <c r="C298" s="158">
        <v>34.700000000000003</v>
      </c>
      <c r="D298" s="158">
        <v>39.700000000000003</v>
      </c>
      <c r="M298" s="160">
        <v>39.588709677419359</v>
      </c>
    </row>
    <row r="299" spans="1:13">
      <c r="A299" s="157">
        <v>43922</v>
      </c>
      <c r="B299" s="158">
        <v>29.7</v>
      </c>
      <c r="C299" s="158">
        <v>34.700000000000003</v>
      </c>
      <c r="D299" s="158">
        <v>39.700000000000003</v>
      </c>
      <c r="M299" s="160">
        <v>39.658333333333331</v>
      </c>
    </row>
    <row r="300" spans="1:13">
      <c r="A300" s="157">
        <v>43952</v>
      </c>
      <c r="B300" s="158">
        <v>32.700000000000003</v>
      </c>
      <c r="C300" s="158">
        <v>37.700000000000003</v>
      </c>
      <c r="D300" s="158">
        <v>42.7</v>
      </c>
      <c r="M300" s="160">
        <v>41.909677419354843</v>
      </c>
    </row>
    <row r="301" spans="1:13">
      <c r="A301" s="157">
        <v>43983</v>
      </c>
      <c r="B301" s="158">
        <v>41.7</v>
      </c>
      <c r="C301" s="158">
        <v>46.7</v>
      </c>
      <c r="D301" s="158">
        <v>51.7</v>
      </c>
      <c r="M301" s="160">
        <v>39.36</v>
      </c>
    </row>
    <row r="302" spans="1:13">
      <c r="A302" s="157">
        <v>44013</v>
      </c>
      <c r="B302" s="158">
        <v>63.7</v>
      </c>
      <c r="C302" s="158">
        <v>68.7</v>
      </c>
      <c r="D302" s="158">
        <v>73.7</v>
      </c>
      <c r="M302" s="160">
        <v>45.911290322580655</v>
      </c>
    </row>
    <row r="303" spans="1:13">
      <c r="A303" s="157">
        <v>44044</v>
      </c>
      <c r="B303" s="158">
        <v>68.7</v>
      </c>
      <c r="C303" s="158">
        <v>73.7</v>
      </c>
      <c r="D303" s="158">
        <v>78.7</v>
      </c>
      <c r="M303" s="160">
        <v>47.346774193548399</v>
      </c>
    </row>
    <row r="304" spans="1:13">
      <c r="A304" s="157">
        <v>44075</v>
      </c>
      <c r="B304" s="158">
        <v>50.7</v>
      </c>
      <c r="C304" s="158">
        <v>55.7</v>
      </c>
      <c r="D304" s="158">
        <v>60.7</v>
      </c>
      <c r="M304" s="160">
        <v>46.408333333333339</v>
      </c>
    </row>
    <row r="305" spans="1:13">
      <c r="A305" s="157">
        <v>44105</v>
      </c>
      <c r="B305" s="158">
        <v>34.700000000000003</v>
      </c>
      <c r="C305" s="158">
        <v>39.700000000000003</v>
      </c>
      <c r="D305" s="158">
        <v>44.7</v>
      </c>
      <c r="M305" s="160">
        <v>41.024193548387089</v>
      </c>
    </row>
    <row r="306" spans="1:13">
      <c r="A306" s="157">
        <v>44136</v>
      </c>
      <c r="B306" s="158">
        <v>28.7</v>
      </c>
      <c r="C306" s="158">
        <v>33.700000000000003</v>
      </c>
      <c r="D306" s="158">
        <v>38.700000000000003</v>
      </c>
      <c r="M306" s="160">
        <v>39.405000000000001</v>
      </c>
    </row>
    <row r="307" spans="1:13">
      <c r="A307" s="157">
        <v>44166</v>
      </c>
      <c r="B307" s="158">
        <v>28.7</v>
      </c>
      <c r="C307" s="158">
        <v>33.700000000000003</v>
      </c>
      <c r="D307" s="158">
        <v>38.700000000000003</v>
      </c>
      <c r="M307" s="160">
        <v>38.508064516129025</v>
      </c>
    </row>
    <row r="308" spans="1:13">
      <c r="A308" s="157">
        <v>44197</v>
      </c>
      <c r="B308" s="158">
        <v>32.950000000000003</v>
      </c>
      <c r="C308" s="158">
        <v>37.950000000000003</v>
      </c>
      <c r="D308" s="158">
        <v>42.95</v>
      </c>
      <c r="M308" s="160">
        <v>39.686290322580646</v>
      </c>
    </row>
    <row r="309" spans="1:13">
      <c r="A309" s="157">
        <v>44228</v>
      </c>
      <c r="B309" s="158">
        <v>30.95</v>
      </c>
      <c r="C309" s="158">
        <v>35.950000000000003</v>
      </c>
      <c r="D309" s="158">
        <v>40.950000000000003</v>
      </c>
      <c r="M309" s="160">
        <v>39.816964285714292</v>
      </c>
    </row>
    <row r="310" spans="1:13">
      <c r="A310" s="157">
        <v>44256</v>
      </c>
      <c r="B310" s="158">
        <v>29.95</v>
      </c>
      <c r="C310" s="158">
        <v>34.950000000000003</v>
      </c>
      <c r="D310" s="158">
        <v>39.950000000000003</v>
      </c>
      <c r="M310" s="160">
        <v>39.437096774193549</v>
      </c>
    </row>
    <row r="311" spans="1:13">
      <c r="A311" s="157">
        <v>44287</v>
      </c>
      <c r="B311" s="158">
        <v>29.95</v>
      </c>
      <c r="C311" s="158">
        <v>34.950000000000003</v>
      </c>
      <c r="D311" s="158">
        <v>39.950000000000003</v>
      </c>
      <c r="M311" s="160">
        <v>39.92916666666666</v>
      </c>
    </row>
    <row r="312" spans="1:13">
      <c r="A312" s="157">
        <v>44317</v>
      </c>
      <c r="B312" s="158">
        <v>32.950000000000003</v>
      </c>
      <c r="C312" s="158">
        <v>37.950000000000003</v>
      </c>
      <c r="D312" s="158">
        <v>42.95</v>
      </c>
      <c r="M312" s="160">
        <v>42.183870967741939</v>
      </c>
    </row>
    <row r="313" spans="1:13">
      <c r="A313" s="157">
        <v>44348</v>
      </c>
      <c r="B313" s="158">
        <v>41.95</v>
      </c>
      <c r="C313" s="158">
        <v>46.95</v>
      </c>
      <c r="D313" s="158">
        <v>51.95</v>
      </c>
      <c r="M313" s="160">
        <v>39.626666666666665</v>
      </c>
    </row>
    <row r="314" spans="1:13">
      <c r="A314" s="157">
        <v>44378</v>
      </c>
      <c r="B314" s="158">
        <v>63.95</v>
      </c>
      <c r="C314" s="158">
        <v>68.95</v>
      </c>
      <c r="D314" s="158">
        <v>73.95</v>
      </c>
      <c r="M314" s="160">
        <v>46.181451612903231</v>
      </c>
    </row>
    <row r="315" spans="1:13">
      <c r="A315" s="157">
        <v>44409</v>
      </c>
      <c r="B315" s="158">
        <v>68.95</v>
      </c>
      <c r="C315" s="158">
        <v>73.95</v>
      </c>
      <c r="D315" s="158">
        <v>78.95</v>
      </c>
      <c r="M315" s="160">
        <v>47.616935483870975</v>
      </c>
    </row>
    <row r="316" spans="1:13">
      <c r="A316" s="157">
        <v>44440</v>
      </c>
      <c r="B316" s="158">
        <v>50.95</v>
      </c>
      <c r="C316" s="158">
        <v>55.95</v>
      </c>
      <c r="D316" s="158">
        <v>60.95</v>
      </c>
      <c r="M316" s="160">
        <v>46.679166666666667</v>
      </c>
    </row>
    <row r="317" spans="1:13">
      <c r="A317" s="157">
        <v>44470</v>
      </c>
      <c r="B317" s="158">
        <v>34.950000000000003</v>
      </c>
      <c r="C317" s="158">
        <v>39.950000000000003</v>
      </c>
      <c r="D317" s="158">
        <v>44.95</v>
      </c>
      <c r="M317" s="160">
        <v>41.603225806451611</v>
      </c>
    </row>
    <row r="318" spans="1:13">
      <c r="A318" s="157">
        <v>44501</v>
      </c>
      <c r="B318" s="158">
        <v>28.95</v>
      </c>
      <c r="C318" s="158">
        <v>33.950000000000003</v>
      </c>
      <c r="D318" s="158">
        <v>38.950000000000003</v>
      </c>
      <c r="M318" s="160">
        <v>39.265000000000001</v>
      </c>
    </row>
    <row r="319" spans="1:13">
      <c r="A319" s="157">
        <v>44531</v>
      </c>
      <c r="B319" s="158">
        <v>28.95</v>
      </c>
      <c r="C319" s="158">
        <v>33.950000000000003</v>
      </c>
      <c r="D319" s="158">
        <v>38.950000000000003</v>
      </c>
      <c r="M319" s="160">
        <v>38.778225806451601</v>
      </c>
    </row>
    <row r="320" spans="1:13">
      <c r="A320" s="157">
        <v>44562</v>
      </c>
      <c r="B320" s="158">
        <v>33.200000000000003</v>
      </c>
      <c r="C320" s="158">
        <v>38.200000000000003</v>
      </c>
      <c r="D320" s="158">
        <v>43.2</v>
      </c>
      <c r="M320" s="160">
        <v>39.964516129032262</v>
      </c>
    </row>
    <row r="321" spans="1:13">
      <c r="A321" s="157">
        <v>44593</v>
      </c>
      <c r="B321" s="158">
        <v>31.2</v>
      </c>
      <c r="C321" s="158">
        <v>36.200000000000003</v>
      </c>
      <c r="D321" s="158">
        <v>41.2</v>
      </c>
      <c r="M321" s="160">
        <v>40.089285714285715</v>
      </c>
    </row>
    <row r="322" spans="1:13">
      <c r="A322" s="157">
        <v>44621</v>
      </c>
      <c r="B322" s="158">
        <v>30.2</v>
      </c>
      <c r="C322" s="158">
        <v>35.200000000000003</v>
      </c>
      <c r="D322" s="158">
        <v>40.200000000000003</v>
      </c>
      <c r="M322" s="160">
        <v>39.703225806451613</v>
      </c>
    </row>
    <row r="323" spans="1:13">
      <c r="A323" s="157">
        <v>44652</v>
      </c>
      <c r="B323" s="158">
        <v>30.2</v>
      </c>
      <c r="C323" s="158">
        <v>35.200000000000003</v>
      </c>
      <c r="D323" s="158">
        <v>40.200000000000003</v>
      </c>
      <c r="M323" s="160">
        <v>40.200000000000003</v>
      </c>
    </row>
    <row r="324" spans="1:13">
      <c r="A324" s="157">
        <v>44682</v>
      </c>
      <c r="B324" s="158">
        <v>33.200000000000003</v>
      </c>
      <c r="C324" s="158">
        <v>38.200000000000003</v>
      </c>
      <c r="D324" s="158">
        <v>43.2</v>
      </c>
      <c r="M324" s="160">
        <v>42.458064516129042</v>
      </c>
    </row>
    <row r="325" spans="1:13">
      <c r="A325" s="157">
        <v>44713</v>
      </c>
      <c r="B325" s="158">
        <v>42.2</v>
      </c>
      <c r="C325" s="158">
        <v>47.2</v>
      </c>
      <c r="D325" s="158">
        <v>52.2</v>
      </c>
      <c r="M325" s="160">
        <v>39.893333333333331</v>
      </c>
    </row>
    <row r="326" spans="1:13">
      <c r="A326" s="157">
        <v>44743</v>
      </c>
      <c r="B326" s="158">
        <v>64.2</v>
      </c>
      <c r="C326" s="158">
        <v>69.2</v>
      </c>
      <c r="D326" s="158">
        <v>74.2</v>
      </c>
      <c r="M326" s="160">
        <v>45.941935483870978</v>
      </c>
    </row>
    <row r="327" spans="1:13">
      <c r="A327" s="157">
        <v>44774</v>
      </c>
      <c r="B327" s="158">
        <v>69.2</v>
      </c>
      <c r="C327" s="158">
        <v>74.2</v>
      </c>
      <c r="D327" s="158">
        <v>79.2</v>
      </c>
      <c r="M327" s="160">
        <v>48.509677419354851</v>
      </c>
    </row>
    <row r="328" spans="1:13">
      <c r="A328" s="157">
        <v>44805</v>
      </c>
      <c r="B328" s="158">
        <v>51.2</v>
      </c>
      <c r="C328" s="158">
        <v>56.2</v>
      </c>
      <c r="D328" s="158">
        <v>61.2</v>
      </c>
      <c r="M328" s="160">
        <v>46.95</v>
      </c>
    </row>
    <row r="329" spans="1:13">
      <c r="A329" s="157">
        <v>44835</v>
      </c>
      <c r="B329" s="158">
        <v>35.200000000000003</v>
      </c>
      <c r="C329" s="158">
        <v>40.200000000000003</v>
      </c>
      <c r="D329" s="158">
        <v>45.2</v>
      </c>
      <c r="M329" s="160">
        <v>41.877419354838715</v>
      </c>
    </row>
    <row r="330" spans="1:13">
      <c r="A330" s="157">
        <v>44866</v>
      </c>
      <c r="B330" s="158">
        <v>29.2</v>
      </c>
      <c r="C330" s="158">
        <v>34.200000000000003</v>
      </c>
      <c r="D330" s="158">
        <v>39.200000000000003</v>
      </c>
      <c r="M330" s="160">
        <v>39.54</v>
      </c>
    </row>
    <row r="331" spans="1:13">
      <c r="A331" s="157">
        <v>44896</v>
      </c>
      <c r="B331" s="158">
        <v>29.2</v>
      </c>
      <c r="C331" s="158">
        <v>34.200000000000003</v>
      </c>
      <c r="D331" s="158">
        <v>39.200000000000003</v>
      </c>
      <c r="M331" s="160">
        <v>39.048387096774185</v>
      </c>
    </row>
    <row r="332" spans="1:13">
      <c r="A332" s="157">
        <v>44927</v>
      </c>
      <c r="B332" s="158">
        <v>33.450000000000003</v>
      </c>
      <c r="C332" s="158">
        <v>38.450000000000003</v>
      </c>
      <c r="D332" s="158">
        <v>43.45</v>
      </c>
      <c r="M332" s="160">
        <v>40.24274193548387</v>
      </c>
    </row>
    <row r="333" spans="1:13">
      <c r="A333" s="157">
        <v>44958</v>
      </c>
      <c r="B333" s="158">
        <v>31.45</v>
      </c>
      <c r="C333" s="158">
        <v>36.450000000000003</v>
      </c>
      <c r="D333" s="158">
        <v>41.45</v>
      </c>
      <c r="M333" s="160">
        <v>40.361607142857139</v>
      </c>
    </row>
    <row r="334" spans="1:13">
      <c r="A334" s="157">
        <v>44986</v>
      </c>
      <c r="B334" s="158">
        <v>30.45</v>
      </c>
      <c r="C334" s="158">
        <v>35.450000000000003</v>
      </c>
      <c r="D334" s="158">
        <v>40.450000000000003</v>
      </c>
      <c r="M334" s="160">
        <v>39.969354838709677</v>
      </c>
    </row>
    <row r="335" spans="1:13">
      <c r="A335" s="157">
        <v>45017</v>
      </c>
      <c r="B335" s="158">
        <v>30.45</v>
      </c>
      <c r="C335" s="158">
        <v>35.450000000000003</v>
      </c>
      <c r="D335" s="158">
        <v>40.450000000000003</v>
      </c>
      <c r="M335" s="160">
        <v>40.914999999999999</v>
      </c>
    </row>
    <row r="336" spans="1:13">
      <c r="A336" s="157">
        <v>45047</v>
      </c>
      <c r="B336" s="158">
        <v>33.450000000000003</v>
      </c>
      <c r="C336" s="158">
        <v>38.450000000000003</v>
      </c>
      <c r="D336" s="158">
        <v>43.45</v>
      </c>
      <c r="M336" s="160">
        <v>42.318548387096769</v>
      </c>
    </row>
    <row r="337" spans="1:13">
      <c r="A337" s="157">
        <v>45078</v>
      </c>
      <c r="B337" s="158">
        <v>42.45</v>
      </c>
      <c r="C337" s="158">
        <v>47.45</v>
      </c>
      <c r="D337" s="158">
        <v>52.45</v>
      </c>
      <c r="M337" s="160">
        <v>40.159999999999997</v>
      </c>
    </row>
    <row r="338" spans="1:13">
      <c r="A338" s="157">
        <v>45108</v>
      </c>
      <c r="B338" s="158">
        <v>64.45</v>
      </c>
      <c r="C338" s="158">
        <v>69.45</v>
      </c>
      <c r="D338" s="158">
        <v>74.45</v>
      </c>
      <c r="M338" s="160">
        <v>46.216129032258081</v>
      </c>
    </row>
    <row r="339" spans="1:13">
      <c r="A339" s="157">
        <v>45139</v>
      </c>
      <c r="B339" s="158">
        <v>69.45</v>
      </c>
      <c r="C339" s="158">
        <v>74.45</v>
      </c>
      <c r="D339" s="158">
        <v>79.45</v>
      </c>
      <c r="M339" s="160">
        <v>48.775806451612915</v>
      </c>
    </row>
    <row r="340" spans="1:13">
      <c r="A340" s="157">
        <v>45170</v>
      </c>
      <c r="B340" s="158">
        <v>51.45</v>
      </c>
      <c r="C340" s="158">
        <v>56.45</v>
      </c>
      <c r="D340" s="158">
        <v>61.45</v>
      </c>
      <c r="M340" s="160">
        <v>47.220833333333339</v>
      </c>
    </row>
    <row r="341" spans="1:13">
      <c r="A341" s="157">
        <v>45200</v>
      </c>
      <c r="B341" s="158">
        <v>35.450000000000003</v>
      </c>
      <c r="C341" s="158">
        <v>40.450000000000003</v>
      </c>
      <c r="D341" s="158">
        <v>45.45</v>
      </c>
      <c r="M341" s="160">
        <v>42.151612903225811</v>
      </c>
    </row>
    <row r="342" spans="1:13">
      <c r="A342" s="157">
        <v>45231</v>
      </c>
      <c r="B342" s="158">
        <v>29.45</v>
      </c>
      <c r="C342" s="158">
        <v>34.450000000000003</v>
      </c>
      <c r="D342" s="158">
        <v>39.450000000000003</v>
      </c>
      <c r="M342" s="160">
        <v>39.814999999999998</v>
      </c>
    </row>
    <row r="343" spans="1:13">
      <c r="A343" s="157">
        <v>45261</v>
      </c>
      <c r="B343" s="158">
        <v>29.45</v>
      </c>
      <c r="C343" s="158">
        <v>34.450000000000003</v>
      </c>
      <c r="D343" s="158">
        <v>39.450000000000003</v>
      </c>
      <c r="M343" s="160">
        <v>39.732258064516131</v>
      </c>
    </row>
    <row r="344" spans="1:13">
      <c r="A344" s="157">
        <v>45292</v>
      </c>
      <c r="B344" s="158">
        <v>33.700000000000003</v>
      </c>
      <c r="C344" s="158">
        <v>38.700000000000003</v>
      </c>
      <c r="D344" s="158">
        <v>43.7</v>
      </c>
      <c r="M344" s="160">
        <v>40.232258064516131</v>
      </c>
    </row>
    <row r="345" spans="1:13">
      <c r="A345" s="157">
        <v>45323</v>
      </c>
      <c r="B345" s="158">
        <v>31.7</v>
      </c>
      <c r="C345" s="158">
        <v>36.700000000000003</v>
      </c>
      <c r="D345" s="158">
        <v>41.7</v>
      </c>
      <c r="M345" s="160">
        <v>40.560344827586206</v>
      </c>
    </row>
    <row r="346" spans="1:13">
      <c r="A346" s="157">
        <v>45352</v>
      </c>
      <c r="B346" s="158">
        <v>30.7</v>
      </c>
      <c r="C346" s="158">
        <v>35.700000000000003</v>
      </c>
      <c r="D346" s="158">
        <v>40.700000000000003</v>
      </c>
      <c r="M346" s="160">
        <v>41.103225806451611</v>
      </c>
    </row>
    <row r="347" spans="1:13">
      <c r="A347" s="157">
        <v>45383</v>
      </c>
      <c r="B347" s="158">
        <v>30.7</v>
      </c>
      <c r="C347" s="158">
        <v>35.700000000000003</v>
      </c>
      <c r="D347" s="158">
        <v>40.700000000000003</v>
      </c>
      <c r="M347" s="160">
        <v>40.293333333333329</v>
      </c>
    </row>
    <row r="348" spans="1:13">
      <c r="A348" s="157">
        <v>45413</v>
      </c>
      <c r="B348" s="158">
        <v>33.700000000000003</v>
      </c>
      <c r="C348" s="158">
        <v>38.700000000000003</v>
      </c>
      <c r="D348" s="158">
        <v>43.7</v>
      </c>
      <c r="M348" s="160">
        <v>42.588709677419345</v>
      </c>
    </row>
    <row r="349" spans="1:13">
      <c r="A349" s="157">
        <v>45444</v>
      </c>
      <c r="B349" s="158">
        <v>42.7</v>
      </c>
      <c r="C349" s="158">
        <v>47.7</v>
      </c>
      <c r="D349" s="158">
        <v>52.7</v>
      </c>
      <c r="M349" s="160">
        <v>40.408333333333324</v>
      </c>
    </row>
    <row r="350" spans="1:13">
      <c r="A350" s="157">
        <v>45474</v>
      </c>
      <c r="B350" s="158">
        <v>64.7</v>
      </c>
      <c r="C350" s="158">
        <v>69.7</v>
      </c>
      <c r="D350" s="158">
        <v>74.7</v>
      </c>
      <c r="M350" s="160">
        <v>46.991935483870975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X18" sqref="X18"/>
    </sheetView>
  </sheetViews>
  <sheetFormatPr defaultRowHeight="13.2"/>
  <cols>
    <col min="1" max="1" width="33" bestFit="1" customWidth="1"/>
    <col min="2" max="2" width="6.332031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385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0.80539439828879822</v>
      </c>
      <c r="V11" s="135">
        <v>0.37356547232956488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8.2158905747543578</v>
      </c>
      <c r="V13" s="135">
        <v>8.042132869605382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13.103390574754359</v>
      </c>
      <c r="V17" s="135">
        <v>13.29213286960538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Non-core'!B56</f>
        <v>14.879414100440558</v>
      </c>
      <c r="D19" s="137">
        <f>+'Core &amp; Non-core'!C56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0.47744091668655991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0.25932637456456703</v>
      </c>
      <c r="V26" s="135">
        <v>0.1715762363429742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9.5263868304947756</v>
      </c>
      <c r="V28" s="135">
        <v>8.9240171530295331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2.2127471165428845</v>
      </c>
      <c r="V30" s="135">
        <v>1.7831320790409158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11.73913394703766</v>
      </c>
      <c r="V32" s="135">
        <v>10.707149232070449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Non-core'!B75</f>
        <v>12.211011599080669</v>
      </c>
      <c r="D34" s="104">
        <f>+'Core &amp; Non-core'!C75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"/>
  <sheetViews>
    <sheetView tabSelected="1" topLeftCell="A17" workbookViewId="0">
      <selection activeCell="G34" sqref="G34"/>
    </sheetView>
  </sheetViews>
  <sheetFormatPr defaultRowHeight="13.2"/>
  <cols>
    <col min="1" max="1" width="50.88671875" bestFit="1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62">
        <v>2001</v>
      </c>
      <c r="C2" s="162"/>
      <c r="D2" s="162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383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H16+(H17*0.75)</f>
        <v>69164.889761500002</v>
      </c>
      <c r="I21" s="23">
        <f>I16+(I17*0.75)</f>
        <v>69843.524999999994</v>
      </c>
      <c r="J21" s="156"/>
    </row>
    <row r="22" spans="1:10">
      <c r="G22" s="16" t="s">
        <v>381</v>
      </c>
      <c r="H22" s="23">
        <f>H23-H21</f>
        <v>12826.0811655</v>
      </c>
      <c r="I22" s="23">
        <f>I23-I21</f>
        <v>13936.475000000006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384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H16+(H17*0.5)</f>
        <v>56338.808596000003</v>
      </c>
      <c r="I26" s="23">
        <f>I16+(I17*0.5)</f>
        <v>55907.05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25652.162331</v>
      </c>
      <c r="I27" s="23">
        <f>I28-I26</f>
        <v>27872.949999999997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386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387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 t="shared" ref="F39:F44" si="0">+B39/B$6*100</f>
        <v>0.99206045593020731</v>
      </c>
      <c r="G39" s="65">
        <f t="shared" ref="G39:H43" si="1">+C39/C$6*100</f>
        <v>0.47744091668656008</v>
      </c>
      <c r="H39" s="66">
        <f t="shared" si="1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 t="shared" si="0"/>
        <v>0</v>
      </c>
      <c r="G40" s="65">
        <f t="shared" si="1"/>
        <v>0.51370745713610677</v>
      </c>
      <c r="H40" s="66">
        <f t="shared" si="1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 t="shared" si="0"/>
        <v>-0.3042638494486985</v>
      </c>
      <c r="G41" s="65">
        <f t="shared" si="1"/>
        <v>0</v>
      </c>
      <c r="H41" s="66">
        <f t="shared" si="1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 t="shared" si="0"/>
        <v>6.7226995699840506</v>
      </c>
      <c r="G42" s="65">
        <f t="shared" si="1"/>
        <v>6.6774190234531501</v>
      </c>
      <c r="H42" s="66">
        <f t="shared" si="1"/>
        <v>2.2277012327773749</v>
      </c>
    </row>
    <row r="43" spans="1:8">
      <c r="A43" s="56" t="s">
        <v>295</v>
      </c>
      <c r="B43" s="60">
        <f>IF($I$10=1,0,IF($I$29=1,H21/H23*(B25*0.8724),H26/H28*(B25*0.8724)))</f>
        <v>419.02267474813681</v>
      </c>
      <c r="C43" s="60">
        <f>IF($I$10=1,0,IF($I$29=1,I21/I23*(C25*0.8724),I26/I28*(C25*0.8724)))</f>
        <v>218.18390263786102</v>
      </c>
      <c r="D43" s="61">
        <v>0</v>
      </c>
      <c r="F43" s="128">
        <f t="shared" si="0"/>
        <v>0.80539439828879822</v>
      </c>
      <c r="G43" s="65">
        <f t="shared" si="1"/>
        <v>0.37356547232956488</v>
      </c>
      <c r="H43" s="66">
        <f t="shared" si="1"/>
        <v>0</v>
      </c>
    </row>
    <row r="44" spans="1:8">
      <c r="A44" s="56" t="s">
        <v>409</v>
      </c>
      <c r="B44" s="60">
        <f>1045*B8/SUM($B$8:$D$8)*H21/H23</f>
        <v>395.00984437788952</v>
      </c>
      <c r="C44" s="60">
        <f>1045*C8/SUM($B$8:$D$8)*I21/I23</f>
        <v>398.88562009116839</v>
      </c>
      <c r="D44" s="61">
        <f>1045*D8/SUM($B$8:$D$8)</f>
        <v>98.260033319746583</v>
      </c>
      <c r="F44" s="128">
        <f t="shared" si="0"/>
        <v>0.75923985765712254</v>
      </c>
      <c r="G44" s="65">
        <f>+C44/C$6*100</f>
        <v>0.68295549430222413</v>
      </c>
      <c r="H44" s="66">
        <f>+D44/D$6*100</f>
        <v>0.59378797026677899</v>
      </c>
    </row>
    <row r="45" spans="1:8">
      <c r="A45" s="56"/>
      <c r="B45" s="60"/>
      <c r="C45" s="60"/>
      <c r="D45" s="61"/>
      <c r="F45" s="101"/>
      <c r="G45" s="105"/>
      <c r="H45" s="102"/>
    </row>
    <row r="46" spans="1:8">
      <c r="A46" s="56" t="s">
        <v>154</v>
      </c>
      <c r="B46" s="60">
        <f>SUM(B39:B45)</f>
        <v>4669.4925715809604</v>
      </c>
      <c r="C46" s="60">
        <f>SUM(C39:C45)</f>
        <v>5095.9576596471488</v>
      </c>
      <c r="D46" s="61">
        <f>SUM(D39:D45)</f>
        <v>1576.60848406081</v>
      </c>
      <c r="F46" s="128">
        <f>+B46/B$6*100</f>
        <v>8.9751304324114809</v>
      </c>
      <c r="G46" s="65">
        <f>+C46/C$6*100</f>
        <v>8.7250883639076058</v>
      </c>
      <c r="H46" s="66">
        <f>+D46/D$6*100</f>
        <v>9.527486609021091</v>
      </c>
    </row>
    <row r="47" spans="1:8">
      <c r="A47" s="56"/>
      <c r="B47" s="60"/>
      <c r="C47" s="60"/>
      <c r="D47" s="61"/>
      <c r="F47" s="101"/>
      <c r="G47" s="105"/>
      <c r="H47" s="102"/>
    </row>
    <row r="48" spans="1:8">
      <c r="A48" s="56" t="s">
        <v>232</v>
      </c>
      <c r="B48" s="84">
        <f>+B6*B81/100</f>
        <v>2542.8204208805</v>
      </c>
      <c r="C48" s="84">
        <f>+C6*C81/100</f>
        <v>3066.3045000000002</v>
      </c>
      <c r="D48" s="85">
        <f>+D6*D81/100</f>
        <v>1055.59692</v>
      </c>
      <c r="F48" s="128">
        <f>+B48/B$6*100</f>
        <v>4.8875000000000002</v>
      </c>
      <c r="G48" s="65">
        <f>+C48/C$6*100</f>
        <v>5.25</v>
      </c>
      <c r="H48" s="66">
        <f>+D48/D$6*100</f>
        <v>6.3789999999999996</v>
      </c>
    </row>
    <row r="49" spans="1:10">
      <c r="A49" s="56"/>
      <c r="B49" s="60"/>
      <c r="C49" s="60"/>
      <c r="D49" s="61"/>
      <c r="F49" s="56"/>
      <c r="G49" s="58"/>
      <c r="H49" s="59"/>
    </row>
    <row r="50" spans="1:10">
      <c r="A50" s="56" t="s">
        <v>47</v>
      </c>
      <c r="B50" s="60">
        <f>SUM(B46:B48)</f>
        <v>7212.3129924614605</v>
      </c>
      <c r="C50" s="60">
        <f>SUM(C46:C48)</f>
        <v>8162.262159647149</v>
      </c>
      <c r="D50" s="61">
        <f>SUM(D46:D48)</f>
        <v>2632.20540406081</v>
      </c>
      <c r="F50" s="129">
        <f>+B50/B$6*100</f>
        <v>13.86263043241148</v>
      </c>
      <c r="G50" s="130">
        <f>+C50/C$6*100</f>
        <v>13.975088363907606</v>
      </c>
      <c r="H50" s="131">
        <f>+D50/D$6*100</f>
        <v>15.906486609021089</v>
      </c>
    </row>
    <row r="51" spans="1:10">
      <c r="A51" s="56"/>
      <c r="B51" s="57"/>
      <c r="C51" s="57"/>
      <c r="D51" s="62"/>
    </row>
    <row r="52" spans="1:10">
      <c r="A52" s="56" t="s">
        <v>171</v>
      </c>
      <c r="B52" s="63">
        <f>+B6</f>
        <v>52027.016283999998</v>
      </c>
      <c r="C52" s="63">
        <f>+C6</f>
        <v>58405.8</v>
      </c>
      <c r="D52" s="64">
        <f>+D6</f>
        <v>16548</v>
      </c>
    </row>
    <row r="53" spans="1:10">
      <c r="A53" s="56"/>
      <c r="B53" s="57"/>
      <c r="C53" s="57"/>
      <c r="D53" s="62"/>
    </row>
    <row r="54" spans="1:10">
      <c r="A54" s="56" t="s">
        <v>162</v>
      </c>
      <c r="B54" s="65">
        <f>+B50/B52*100</f>
        <v>13.86263043241148</v>
      </c>
      <c r="C54" s="65">
        <f>+C50/C52*100</f>
        <v>13.975088363907606</v>
      </c>
      <c r="D54" s="66">
        <f>+D50/D52*100</f>
        <v>15.906486609021089</v>
      </c>
    </row>
    <row r="55" spans="1:10">
      <c r="A55" s="56"/>
      <c r="B55" s="57"/>
      <c r="C55" s="58"/>
      <c r="D55" s="59"/>
    </row>
    <row r="56" spans="1:10">
      <c r="A56" s="67" t="s">
        <v>163</v>
      </c>
      <c r="B56" s="68">
        <f>+PGE!J141</f>
        <v>14.879414100440558</v>
      </c>
      <c r="C56" s="68">
        <f>+SCE!J135</f>
        <v>15.670875152810163</v>
      </c>
      <c r="D56" s="69">
        <f>+SDGE!J104</f>
        <v>15.923374425912499</v>
      </c>
    </row>
    <row r="57" spans="1:10">
      <c r="A57" s="58"/>
      <c r="B57" s="93"/>
      <c r="C57" s="93"/>
      <c r="D57" s="93"/>
    </row>
    <row r="58" spans="1:10">
      <c r="A58" s="53" t="s">
        <v>219</v>
      </c>
      <c r="B58" s="54"/>
      <c r="C58" s="54"/>
      <c r="D58" s="55"/>
      <c r="F58" s="53" t="s">
        <v>229</v>
      </c>
      <c r="G58" s="54"/>
      <c r="H58" s="55"/>
    </row>
    <row r="59" spans="1:10">
      <c r="A59" s="56"/>
      <c r="B59" s="58"/>
      <c r="C59" s="58"/>
      <c r="D59" s="59"/>
      <c r="F59" s="56"/>
      <c r="G59" s="58"/>
      <c r="H59" s="59"/>
    </row>
    <row r="60" spans="1:10">
      <c r="A60" s="56" t="s">
        <v>161</v>
      </c>
      <c r="B60" s="60">
        <f>B23-B39</f>
        <v>297.26054504606645</v>
      </c>
      <c r="C60" s="60">
        <f>C23-C39</f>
        <v>121.14681308188108</v>
      </c>
      <c r="D60" s="61">
        <f>D23-D39</f>
        <v>7.0385492589363707</v>
      </c>
      <c r="F60" s="101">
        <f t="shared" ref="F60:H62" si="2">B60/B$69*B$73</f>
        <v>0.99206045593020753</v>
      </c>
      <c r="G60" s="105">
        <f t="shared" si="2"/>
        <v>0.47744091668655997</v>
      </c>
      <c r="H60" s="102">
        <f t="shared" si="2"/>
        <v>1.071316477768093</v>
      </c>
    </row>
    <row r="61" spans="1:10">
      <c r="A61" s="56" t="s">
        <v>226</v>
      </c>
      <c r="B61" s="84">
        <f>B7*IF($I$4=1,104,82.75)/1000</f>
        <v>2479.5172467082507</v>
      </c>
      <c r="C61" s="84">
        <f>C7*IF($I$4=1,104,82.75)/1000</f>
        <v>2099.7150499999998</v>
      </c>
      <c r="D61" s="85">
        <f>D7*IF($I$4=1,104,82.75)/1000</f>
        <v>54.366750000000003</v>
      </c>
      <c r="F61" s="101">
        <f t="shared" si="2"/>
        <v>8.2750000000000004</v>
      </c>
      <c r="G61" s="105">
        <f t="shared" si="2"/>
        <v>8.2750000000000004</v>
      </c>
      <c r="H61" s="102">
        <f t="shared" si="2"/>
        <v>8.2750000000000021</v>
      </c>
    </row>
    <row r="62" spans="1:10">
      <c r="A62" s="56" t="s">
        <v>295</v>
      </c>
      <c r="B62" s="60">
        <f>IF($I$10=1,0.8724*B25,IF($I$29=1,H22/H23*(0.8724*B25),H27/H28*0.8724*B25))</f>
        <v>77.704437251863169</v>
      </c>
      <c r="C62" s="60">
        <f>IF($I$10=1,0.8724*C25,IF($I$29=1,I22/I23*(0.8724*C25),I27/I28*0.8724*C25))</f>
        <v>43.536097362138953</v>
      </c>
      <c r="D62" s="61">
        <f>0.8724*D25-D43</f>
        <v>53.600255999999995</v>
      </c>
      <c r="F62" s="101">
        <f t="shared" si="2"/>
        <v>0.25932637456456703</v>
      </c>
      <c r="G62" s="105">
        <f t="shared" si="2"/>
        <v>0.1715762363429742</v>
      </c>
      <c r="H62" s="102">
        <f t="shared" si="2"/>
        <v>8.1583342465753432</v>
      </c>
      <c r="J62" s="47"/>
    </row>
    <row r="63" spans="1:10">
      <c r="A63" s="56" t="s">
        <v>409</v>
      </c>
      <c r="B63" s="60">
        <f>1045*B8/SUM($B$8:$D$8)*H22/H23</f>
        <v>73.251447990921477</v>
      </c>
      <c r="C63" s="60">
        <f>1045*C8/SUM($B$8:$D$8)*I22/I23</f>
        <v>79.593054220274084</v>
      </c>
      <c r="D63" s="61">
        <v>0</v>
      </c>
      <c r="F63" s="101">
        <f>B63/B$69*B$73</f>
        <v>0.24446522117545</v>
      </c>
      <c r="G63" s="105">
        <f>C63/C$69*C$73</f>
        <v>0.31367709807707866</v>
      </c>
      <c r="H63" s="102">
        <f>D63/D$69*D$73</f>
        <v>0</v>
      </c>
      <c r="J63" s="47"/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154</v>
      </c>
      <c r="B65" s="60">
        <f>SUM(B60:B64)</f>
        <v>2927.7336769971016</v>
      </c>
      <c r="C65" s="60">
        <f>SUM(C60:C64)</f>
        <v>2343.9910146642942</v>
      </c>
      <c r="D65" s="61">
        <f>SUM(D60:D64)</f>
        <v>115.00555525893637</v>
      </c>
      <c r="F65" s="101">
        <f>SUM(F60:F64)</f>
        <v>9.7708520516702251</v>
      </c>
      <c r="G65" s="105">
        <f>SUM(G60:G64)</f>
        <v>9.2376942511066122</v>
      </c>
      <c r="H65" s="102">
        <f>SUM(H60:H64)</f>
        <v>17.504650724343438</v>
      </c>
    </row>
    <row r="66" spans="1:8">
      <c r="A66" s="56"/>
      <c r="B66" s="60"/>
      <c r="C66" s="60"/>
      <c r="D66" s="61"/>
      <c r="F66" s="101"/>
      <c r="G66" s="105"/>
      <c r="H66" s="102"/>
    </row>
    <row r="67" spans="1:8">
      <c r="A67" s="56" t="s">
        <v>230</v>
      </c>
      <c r="B67" s="84">
        <f>B30-B48</f>
        <v>663.02654236520038</v>
      </c>
      <c r="C67" s="84">
        <f>C30-C48</f>
        <v>452.45550000000003</v>
      </c>
      <c r="D67" s="85">
        <f>D30-D48</f>
        <v>16.274580000000242</v>
      </c>
      <c r="F67" s="101">
        <f>B67/B$69*B$73</f>
        <v>2.2127471165428845</v>
      </c>
      <c r="G67" s="105">
        <f>C67/C$69*C$73</f>
        <v>1.783132079040916</v>
      </c>
      <c r="H67" s="102">
        <f>D67/D$69*D$73</f>
        <v>2.4771050228310871</v>
      </c>
    </row>
    <row r="68" spans="1:8">
      <c r="A68" s="56"/>
      <c r="B68" s="60"/>
      <c r="C68" s="60"/>
      <c r="D68" s="61"/>
      <c r="F68" s="56"/>
      <c r="G68" s="58"/>
      <c r="H68" s="59"/>
    </row>
    <row r="69" spans="1:8">
      <c r="A69" s="56" t="s">
        <v>47</v>
      </c>
      <c r="B69" s="60">
        <f>SUM(B65:B67)</f>
        <v>3590.760219362302</v>
      </c>
      <c r="C69" s="60">
        <f>SUM(C65:C67)</f>
        <v>2796.4465146642942</v>
      </c>
      <c r="D69" s="61">
        <f>SUM(D65:D67)</f>
        <v>131.28013525893661</v>
      </c>
      <c r="F69" s="103">
        <f>SUM(F65:F67)</f>
        <v>11.983599168213109</v>
      </c>
      <c r="G69" s="106">
        <f>SUM(G65:G67)</f>
        <v>11.020826330147528</v>
      </c>
      <c r="H69" s="104">
        <f>SUM(H65:H67)</f>
        <v>19.981755747174525</v>
      </c>
    </row>
    <row r="70" spans="1:8">
      <c r="A70" s="56"/>
      <c r="B70" s="57"/>
      <c r="C70" s="57"/>
      <c r="D70" s="62"/>
    </row>
    <row r="71" spans="1:8">
      <c r="A71" s="56" t="s">
        <v>233</v>
      </c>
      <c r="B71" s="63">
        <f>+B7</f>
        <v>29963.954643000005</v>
      </c>
      <c r="C71" s="63">
        <f>+C7</f>
        <v>25374.199999999997</v>
      </c>
      <c r="D71" s="64">
        <f>+D7</f>
        <v>657</v>
      </c>
    </row>
    <row r="72" spans="1:8">
      <c r="A72" s="56"/>
      <c r="B72" s="57"/>
      <c r="C72" s="57"/>
      <c r="D72" s="62"/>
    </row>
    <row r="73" spans="1:8">
      <c r="A73" s="56" t="s">
        <v>220</v>
      </c>
      <c r="B73" s="65">
        <f>+B69/B71*100</f>
        <v>11.983599168213109</v>
      </c>
      <c r="C73" s="65">
        <f>+C69/C71*100</f>
        <v>11.02082633014753</v>
      </c>
      <c r="D73" s="66">
        <f>+D69/D71*100</f>
        <v>19.981755747174525</v>
      </c>
    </row>
    <row r="74" spans="1:8">
      <c r="A74" s="56"/>
      <c r="B74" s="57"/>
      <c r="C74" s="58"/>
      <c r="D74" s="59"/>
    </row>
    <row r="75" spans="1:8">
      <c r="A75" s="67" t="s">
        <v>221</v>
      </c>
      <c r="B75" s="68">
        <f>+PGE!J142</f>
        <v>12.211011599080669</v>
      </c>
      <c r="C75" s="68">
        <f>+SCE!J136</f>
        <v>12.983266467514246</v>
      </c>
      <c r="D75" s="69">
        <f>+SDGE!J105</f>
        <v>11.993911719939117</v>
      </c>
    </row>
    <row r="79" spans="1:8">
      <c r="B79" s="46" t="s">
        <v>101</v>
      </c>
      <c r="C79" s="46" t="s">
        <v>102</v>
      </c>
      <c r="D79" s="46" t="s">
        <v>103</v>
      </c>
    </row>
    <row r="81" spans="1:4">
      <c r="A81" t="s">
        <v>281</v>
      </c>
      <c r="B81" s="107">
        <f>+B83*1.25</f>
        <v>4.8875000000000002</v>
      </c>
      <c r="C81" s="107">
        <f>+C83*1.25</f>
        <v>5.25</v>
      </c>
      <c r="D81" s="107">
        <v>6.3789999999999996</v>
      </c>
    </row>
    <row r="82" spans="1:4">
      <c r="A82" t="s">
        <v>282</v>
      </c>
      <c r="B82" s="107">
        <f>+(B30-(B81*B6/100))/B7*100</f>
        <v>2.2127471165428849</v>
      </c>
      <c r="C82" s="107">
        <f>+(C30-(C81*C6/100))/C7*100</f>
        <v>1.783132079040916</v>
      </c>
      <c r="D82" s="107">
        <f>+(D30-(D81*D6/100))/D7*100</f>
        <v>2.4771050228310871</v>
      </c>
    </row>
    <row r="83" spans="1:4">
      <c r="A83" t="s">
        <v>283</v>
      </c>
      <c r="B83" s="107">
        <f>+B34</f>
        <v>3.91</v>
      </c>
      <c r="C83" s="107">
        <f>+C34</f>
        <v>4.2</v>
      </c>
      <c r="D83" s="107">
        <f>+D34</f>
        <v>6.23</v>
      </c>
    </row>
    <row r="84" spans="1:4" s="50" customFormat="1">
      <c r="A84" s="50" t="s">
        <v>280</v>
      </c>
      <c r="B84" s="50">
        <f>+((B81*B6)+(B7*B82))/100</f>
        <v>3205.8469632457004</v>
      </c>
      <c r="C84" s="50">
        <f>+((C81*C6)+(C7*C82))/100</f>
        <v>3518.76</v>
      </c>
      <c r="D84" s="50">
        <f>+((D81*D6)+(D7*D82))/100</f>
        <v>1071.8715000000002</v>
      </c>
    </row>
    <row r="87" spans="1:4">
      <c r="A87" t="s">
        <v>284</v>
      </c>
      <c r="B87" s="31">
        <f>+B81/B82</f>
        <v>2.2087928455358474</v>
      </c>
      <c r="C87" s="31">
        <f>+C81/C82</f>
        <v>2.9442575015664518</v>
      </c>
      <c r="D87" s="31">
        <f>+D81/D82</f>
        <v>2.5751835070397746</v>
      </c>
    </row>
    <row r="88" spans="1:4">
      <c r="A88" t="s">
        <v>285</v>
      </c>
      <c r="B88" s="31">
        <f>+B81/B83</f>
        <v>1.25</v>
      </c>
      <c r="C88" s="31">
        <f>+C81/C83</f>
        <v>1.25</v>
      </c>
      <c r="D88" s="31">
        <f>+D81/D83</f>
        <v>1.0239165329052968</v>
      </c>
    </row>
    <row r="91" spans="1:4">
      <c r="A91" s="123" t="s">
        <v>275</v>
      </c>
      <c r="B91" s="23">
        <v>81923</v>
      </c>
      <c r="C91" s="23">
        <v>83436</v>
      </c>
      <c r="D91" s="42">
        <v>19322</v>
      </c>
    </row>
    <row r="92" spans="1:4">
      <c r="A92" t="s">
        <v>276</v>
      </c>
      <c r="B92" s="50">
        <v>6854</v>
      </c>
      <c r="C92" s="50">
        <v>7870</v>
      </c>
      <c r="D92" s="50">
        <v>2184</v>
      </c>
    </row>
    <row r="94" spans="1:4">
      <c r="A94" t="s">
        <v>279</v>
      </c>
      <c r="B94" s="20">
        <f>+B92/B91*100</f>
        <v>8.3663928322937391</v>
      </c>
      <c r="C94" s="20">
        <f>+C92/C91*100</f>
        <v>9.4323793086916918</v>
      </c>
      <c r="D94" s="20">
        <f>+D92/D91*100</f>
        <v>11.303177724873201</v>
      </c>
    </row>
    <row r="95" spans="1:4" ht="15">
      <c r="A95" t="s">
        <v>277</v>
      </c>
      <c r="B95" s="124">
        <v>5.5</v>
      </c>
      <c r="C95" s="124">
        <v>6.3</v>
      </c>
      <c r="D95" s="124">
        <v>5.5</v>
      </c>
    </row>
    <row r="96" spans="1:4">
      <c r="A96" t="s">
        <v>278</v>
      </c>
      <c r="B96" s="20">
        <f>+B94-B95</f>
        <v>2.8663928322937391</v>
      </c>
      <c r="C96" s="20">
        <f>+C94-C95</f>
        <v>3.132379308691692</v>
      </c>
      <c r="D96" s="20">
        <f>+D94-D95</f>
        <v>5.8031777248732013</v>
      </c>
    </row>
    <row r="98" spans="1:5">
      <c r="A98" t="s">
        <v>278</v>
      </c>
      <c r="B98" s="23">
        <f>+B96*B91/100</f>
        <v>2348.2350000000001</v>
      </c>
      <c r="C98" s="23">
        <f>+C96*C91/100</f>
        <v>2613.5320000000002</v>
      </c>
      <c r="D98" s="23">
        <f>+D96*D91/100</f>
        <v>1121.29</v>
      </c>
    </row>
    <row r="102" spans="1:5">
      <c r="B102" s="99"/>
      <c r="C102" s="99"/>
      <c r="D102" s="99"/>
      <c r="E102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2001-06-26T00:17:56Z</cp:lastPrinted>
  <dcterms:created xsi:type="dcterms:W3CDTF">2001-05-08T18:12:48Z</dcterms:created>
  <dcterms:modified xsi:type="dcterms:W3CDTF">2023-09-10T16:03:38Z</dcterms:modified>
</cp:coreProperties>
</file>