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36" windowWidth="5760" windowHeight="6696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'MLP''s'!$A$1:$BC$47</definedName>
    <definedName name="enep">'MLP''s'!$A:$K</definedName>
    <definedName name="eog">'MLP''s'!$V$1:$BC$45</definedName>
    <definedName name="eogp">'MLP''s'!$V$1:$BB$47</definedName>
    <definedName name="_xlnm.Print_Area" localSheetId="0">'MLP''s'!$A$1:$W$59</definedName>
    <definedName name="Print_Area_MI">'MLP''s'!$A$1:$N$47</definedName>
    <definedName name="_xlnm.Print_Titles" localSheetId="0">'MLP''s'!$A:$C,'MLP''s'!$1:$10</definedName>
    <definedName name="report">'MLP''s'!$C$11:$U$36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AJ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6" i="1"/>
  <c r="I56" i="1"/>
  <c r="K56" i="1"/>
  <c r="S56" i="1"/>
  <c r="U56" i="1"/>
  <c r="W56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1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<sst xmlns="http://schemas.openxmlformats.org/spreadsheetml/2006/main" count="182" uniqueCount="126">
  <si>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</si>
  <si>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</si>
  <si>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</si>
  <si>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</si>
  <si>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</si>
  <si>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</si>
  <si>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</si>
  <si>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</si>
  <si>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</si>
  <si>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</si>
  <si>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</si>
  <si>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</si>
  <si>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</si>
  <si>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</si>
  <si>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</si>
  <si>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</si>
  <si>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</si>
  <si>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</si>
  <si>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</si>
  <si>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</si>
  <si>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</si>
  <si>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</si>
  <si>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</si>
  <si>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</si>
  <si>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</si>
  <si>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</si>
  <si>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</si>
  <si>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</si>
  <si>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</si>
  <si>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</si>
  <si>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</si>
  <si>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</si>
  <si>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</si>
  <si>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</si>
  <si>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</si>
  <si>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</si>
  <si>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</si>
  <si>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</si>
  <si>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</si>
  <si>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</si>
  <si>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</si>
  <si>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</si>
  <si>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</si>
  <si>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</si>
  <si>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</si>
  <si>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</si>
  <si>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</si>
  <si>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</si>
  <si>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</si>
  <si>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</si>
  <si>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</si>
  <si>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</si>
  <si>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</si>
  <si>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</si>
  <si>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</si>
  <si>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</si>
  <si>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</si>
  <si>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</si>
  <si>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</si>
  <si>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</si>
  <si>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</si>
  <si>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</si>
  <si>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</si>
  <si>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</si>
  <si>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</si>
  <si>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</si>
  <si>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</si>
  <si>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</si>
  <si>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</si>
  <si>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</si>
  <si>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</si>
  <si>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</si>
  <si>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</si>
  <si>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</si>
  <si>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</si>
  <si>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</si>
  <si>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</si>
  <si>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</si>
  <si>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</si>
  <si>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</si>
  <si>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</si>
  <si>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</si>
  <si>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</si>
  <si>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</si>
  <si>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</si>
  <si>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</si>
  <si>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</si>
  <si>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</si>
  <si>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</si>
  <si>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</si>
  <si>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</si>
  <si>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</si>
  <si>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</si>
  <si>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</si>
  <si>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</si>
  <si>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</si>
  <si>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</si>
  <si>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</si>
  <si>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</si>
  <si>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</si>
  <si>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</si>
  <si>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</si>
  <si>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</si>
  <si>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</si>
  <si>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(3)</t>
  </si>
  <si>
    <t>Accumulate</t>
  </si>
  <si>
    <t>UBS Warburg (PaineWebber)</t>
  </si>
  <si>
    <t>Friday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</si>
  <si>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</si>
  <si>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</si>
  <si>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</si>
  <si>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</si>
  <si>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</si>
  <si>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</si>
  <si>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</si>
  <si>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</si>
  <si>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</si>
  <si>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</si>
  <si>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</si>
  <si>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</si>
  <si>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</si>
  <si>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t>Date</t>
  </si>
  <si>
    <t>U.S. Treasury 10 Year</t>
  </si>
  <si>
    <t>Wachovia Securities</t>
  </si>
  <si>
    <t>RBC Capital Markets</t>
  </si>
  <si>
    <t xml:space="preserve">(3)Restructuring approved by unitholders 12/7/00.  Annual distribution reduced to $0.80 per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</si>
</sst>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4" fontId="25" fillId="0" borderId="0" xfId="0" applyNumberFormat="1" applyFont="1" applyFill="1" applyBorder="1" applyAlignment="1" applyProtection="1">
      <alignment horizontal="center"/>
    </xf>
    <xf numFmtId="164" fontId="16" fillId="0" borderId="0" xfId="0" applyFont="1" applyFill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23.89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36.15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44.2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18.5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46.8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37.020000000000003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19.850000000000001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5.0999999999999996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34.64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40.21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38.25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25.4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24.85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33.950000000000003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38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40.1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7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2.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2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1" customFormat="1" ht="22.8" x14ac:dyDescent="0.4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107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2.8" x14ac:dyDescent="0.4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37211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2.8" x14ac:dyDescent="0.4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2.8" x14ac:dyDescent="0.4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2.8" x14ac:dyDescent="0.4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2.8" x14ac:dyDescent="0.4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76</v>
      </c>
      <c r="AG6" s="155">
        <v>37204</v>
      </c>
      <c r="AH6" s="268" t="s">
        <v>76</v>
      </c>
      <c r="AI6" s="155">
        <v>37162</v>
      </c>
      <c r="AJ6" s="268" t="s">
        <v>76</v>
      </c>
      <c r="AK6" s="155">
        <v>36889</v>
      </c>
      <c r="AL6" s="234">
        <v>2000</v>
      </c>
      <c r="AM6" s="155">
        <v>36523</v>
      </c>
      <c r="AN6" s="234" t="s">
        <v>96</v>
      </c>
      <c r="AO6" s="155">
        <v>36160</v>
      </c>
      <c r="AP6" s="153">
        <v>1998</v>
      </c>
      <c r="AQ6" s="362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4" x14ac:dyDescent="0.4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66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97</v>
      </c>
      <c r="AK7" s="171" t="s">
        <v>32</v>
      </c>
      <c r="AL7" s="361" t="s">
        <v>34</v>
      </c>
      <c r="AM7" s="171" t="s">
        <v>32</v>
      </c>
      <c r="AN7" s="361" t="s">
        <v>34</v>
      </c>
      <c r="AO7" s="171" t="s">
        <v>32</v>
      </c>
      <c r="AP7" s="168" t="s">
        <v>34</v>
      </c>
      <c r="AQ7" s="363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2.8" x14ac:dyDescent="0.4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1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" thickBot="1" x14ac:dyDescent="0.35">
      <c r="Y9" s="312"/>
      <c r="AA9" s="312"/>
      <c r="AC9" s="313"/>
      <c r="AF9" s="314"/>
      <c r="AH9" s="314"/>
      <c r="AI9" s="352"/>
      <c r="AL9" s="314"/>
      <c r="AN9" s="314"/>
      <c r="AP9" s="316"/>
      <c r="AQ9" s="316"/>
    </row>
    <row r="10" spans="1:54" s="81" customFormat="1" ht="22.8" x14ac:dyDescent="0.4">
      <c r="A10" s="308" t="s">
        <v>37</v>
      </c>
      <c r="B10" s="182"/>
      <c r="C10" s="183" t="s">
        <v>38</v>
      </c>
      <c r="D10" s="182"/>
      <c r="E10" s="184">
        <f>[1]!'EOT,LAST,1'</f>
        <v>18.5</v>
      </c>
      <c r="F10" s="309"/>
      <c r="G10" s="184">
        <f>[1]!'EOT,DIVIDEND,1'</f>
        <v>1.9</v>
      </c>
      <c r="H10" s="185"/>
      <c r="I10" s="186">
        <f>+G10/E10</f>
        <v>0.10270270270270269</v>
      </c>
      <c r="J10" s="186"/>
      <c r="K10" s="300">
        <f>(+I10-E$30)*10000</f>
        <v>552.02702702702697</v>
      </c>
      <c r="L10" s="183"/>
      <c r="M10" s="186">
        <f>(I10*AA10)+((I10*(1-AA10))*(1-0.3))</f>
        <v>0.10116216216216216</v>
      </c>
      <c r="N10" s="183"/>
      <c r="O10" s="187">
        <f>+G10/Z10</f>
        <v>1.7272727272727271</v>
      </c>
      <c r="P10" s="188"/>
      <c r="Q10" s="187">
        <f>(AF10+$E10-AG10)/AG10</f>
        <v>-4.8353909465020641E-2</v>
      </c>
      <c r="R10" s="188"/>
      <c r="S10" s="187">
        <f>(AH10+$E10-AI10)/AI10</f>
        <v>-4.166666666666663E-2</v>
      </c>
      <c r="T10" s="185"/>
      <c r="U10" s="189">
        <f>(AJ10+E10-AK10)/AK10</f>
        <v>0.24580152671755717</v>
      </c>
      <c r="V10" s="190"/>
      <c r="W10" s="115"/>
      <c r="X10" s="134"/>
      <c r="Y10" s="289">
        <f>G56</f>
        <v>0.90200000000000014</v>
      </c>
      <c r="Z10" s="290">
        <f>I56</f>
        <v>1.1000000000000001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19.440000000000001</v>
      </c>
      <c r="AH10" s="353">
        <v>0.47499999999999998</v>
      </c>
      <c r="AI10" s="354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3.4" thickBot="1" x14ac:dyDescent="0.45">
      <c r="A11" s="301" t="s">
        <v>35</v>
      </c>
      <c r="B11" s="200"/>
      <c r="C11" s="201" t="s">
        <v>36</v>
      </c>
      <c r="D11" s="200"/>
      <c r="E11" s="202">
        <f>[1]!'NBP,LAST,1'</f>
        <v>38.25</v>
      </c>
      <c r="F11" s="310"/>
      <c r="G11" s="202">
        <f>[1]!'NBP,DIVIDEND,1'</f>
        <v>3.05</v>
      </c>
      <c r="H11" s="203"/>
      <c r="I11" s="204">
        <f>+G11/E11</f>
        <v>7.9738562091503262E-2</v>
      </c>
      <c r="J11" s="204"/>
      <c r="K11" s="311">
        <f>(+I11-E$30)*10000</f>
        <v>322.38562091503263</v>
      </c>
      <c r="L11" s="201"/>
      <c r="M11" s="204">
        <f>(I11*AA11)+((I11*(1-AA11))*(1-0.3))</f>
        <v>7.854248366013071E-2</v>
      </c>
      <c r="N11" s="201"/>
      <c r="O11" s="205">
        <f>+G11/Z11</f>
        <v>1.036631419939577</v>
      </c>
      <c r="P11" s="206"/>
      <c r="Q11" s="205">
        <f>(AF11+$E11-AG11)/AG11</f>
        <v>-3.433476394849784E-2</v>
      </c>
      <c r="R11" s="206"/>
      <c r="S11" s="205">
        <f>(AH11+$E11-AI11)/AI11</f>
        <v>4.1827541827542192E-3</v>
      </c>
      <c r="T11" s="203"/>
      <c r="U11" s="207">
        <f>(AJ11+$E11-AK11)/AK11</f>
        <v>0.31434262948207164</v>
      </c>
      <c r="V11" s="190"/>
      <c r="W11" s="115"/>
      <c r="X11" s="134"/>
      <c r="Y11" s="289">
        <f>S56</f>
        <v>2.5049999999999999</v>
      </c>
      <c r="Z11" s="290">
        <f>U56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39.61</v>
      </c>
      <c r="AH11" s="353">
        <v>0.76249999999999996</v>
      </c>
      <c r="AI11" s="354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8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2.8" x14ac:dyDescent="0.4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4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4" x14ac:dyDescent="0.4">
      <c r="A13" s="111" t="s">
        <v>67</v>
      </c>
      <c r="B13" s="74"/>
      <c r="C13" s="128" t="s">
        <v>39</v>
      </c>
      <c r="D13" s="74"/>
      <c r="E13" s="208">
        <f>[1]!'APU,LAST,1'</f>
        <v>23.89</v>
      </c>
      <c r="F13" s="209"/>
      <c r="G13" s="208">
        <f>[1]!'APU,DIVIDEND,1'</f>
        <v>2.2000000000000002</v>
      </c>
      <c r="H13" s="96"/>
      <c r="I13" s="160">
        <f t="shared" ref="I13:I24" si="0">+G13/E13</f>
        <v>9.2088740058601931E-2</v>
      </c>
      <c r="J13" s="160"/>
      <c r="K13" s="215">
        <f t="shared" ref="K13:K26" si="1">(+I13-E$30)*10000</f>
        <v>445.88740058601928</v>
      </c>
      <c r="L13" s="94"/>
      <c r="M13" s="160">
        <f t="shared" ref="M13:M24" si="2">(I13*AA13)+((I13*(1-AA13))*(1-0.3))</f>
        <v>8.3800753453327756E-2</v>
      </c>
      <c r="N13" s="94"/>
      <c r="O13" s="149">
        <f>+G13/Y13</f>
        <v>2</v>
      </c>
      <c r="P13" s="211"/>
      <c r="Q13" s="149">
        <f t="shared" ref="Q13:Q24" si="3">(AF13+$E13-AG13)/AG13</f>
        <v>-2.4897959183673445E-2</v>
      </c>
      <c r="R13" s="211"/>
      <c r="S13" s="149">
        <f t="shared" ref="S13:S24" si="4">(AH13+$E13-AI13)/AI13</f>
        <v>6.4459930313588862E-2</v>
      </c>
      <c r="T13" s="96"/>
      <c r="U13" s="216">
        <f>(AJ13+E13-AK13)/AK13</f>
        <v>0.56932330827067668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/>
      <c r="AG13" s="208">
        <v>24.5</v>
      </c>
      <c r="AH13" s="355">
        <v>0.55000000000000004</v>
      </c>
      <c r="AI13" s="354">
        <v>22.96</v>
      </c>
      <c r="AJ13" s="294">
        <f>0.55*4</f>
        <v>2.2000000000000002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2.8" x14ac:dyDescent="0.4">
      <c r="A14" s="111" t="s">
        <v>40</v>
      </c>
      <c r="B14" s="74"/>
      <c r="C14" s="128" t="s">
        <v>41</v>
      </c>
      <c r="D14" s="74"/>
      <c r="E14" s="208">
        <f>[1]!'BPL,LAST,1'</f>
        <v>36.15</v>
      </c>
      <c r="F14" s="209"/>
      <c r="G14" s="208">
        <f>[1]!'BPL,DIVIDEND,1'</f>
        <v>2.5</v>
      </c>
      <c r="H14" s="96"/>
      <c r="I14" s="160">
        <f t="shared" si="0"/>
        <v>6.9156293222683268E-2</v>
      </c>
      <c r="J14" s="160"/>
      <c r="K14" s="215">
        <f t="shared" si="1"/>
        <v>216.56293222683269</v>
      </c>
      <c r="L14" s="94"/>
      <c r="M14" s="160">
        <f t="shared" si="2"/>
        <v>6.3969571230982028E-2</v>
      </c>
      <c r="N14" s="94"/>
      <c r="O14" s="149">
        <f t="shared" ref="O14:O26" si="5">+G14/Z14</f>
        <v>1.0162601626016261</v>
      </c>
      <c r="P14" s="211"/>
      <c r="Q14" s="149">
        <f t="shared" si="3"/>
        <v>2.4079320113314491E-2</v>
      </c>
      <c r="R14" s="211"/>
      <c r="S14" s="149">
        <f t="shared" si="4"/>
        <v>6.1327561327561328E-2</v>
      </c>
      <c r="T14" s="96"/>
      <c r="U14" s="216">
        <f t="shared" ref="U14:U24" si="6">(AJ14+E14-AK14)/AK14</f>
        <v>0.33679653679653687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35.299999999999997</v>
      </c>
      <c r="AH14" s="353">
        <v>0.625</v>
      </c>
      <c r="AI14" s="354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2.8" x14ac:dyDescent="0.4">
      <c r="A15" s="111" t="s">
        <v>120</v>
      </c>
      <c r="B15" s="74"/>
      <c r="C15" s="128" t="s">
        <v>119</v>
      </c>
      <c r="D15" s="74"/>
      <c r="E15" s="208">
        <f>[1]!'EEP,LAST,1'</f>
        <v>44.2</v>
      </c>
      <c r="F15" s="209"/>
      <c r="G15" s="208">
        <f>[1]!'EEP,DIVIDEND,1'</f>
        <v>3.5</v>
      </c>
      <c r="H15" s="96"/>
      <c r="I15" s="160">
        <f>+G15/E15</f>
        <v>7.9185520361990946E-2</v>
      </c>
      <c r="J15" s="160"/>
      <c r="K15" s="215">
        <f t="shared" si="1"/>
        <v>316.85520361990945</v>
      </c>
      <c r="L15" s="94"/>
      <c r="M15" s="160">
        <f>(I15*AA15)+((I15*(1-AA15))*(1-0.3))</f>
        <v>7.7997737556561086E-2</v>
      </c>
      <c r="N15" s="94"/>
      <c r="O15" s="149">
        <f>+G15/Z15</f>
        <v>1.7766497461928934</v>
      </c>
      <c r="P15" s="211"/>
      <c r="Q15" s="149">
        <f>(AF15+$E15-AG15)/AG15</f>
        <v>-1.1299435028247946E-3</v>
      </c>
      <c r="R15" s="211"/>
      <c r="S15" s="149">
        <f>(AH15+$E15-AI15)/AI15</f>
        <v>-1.0862409479920945E-2</v>
      </c>
      <c r="T15" s="96"/>
      <c r="U15" s="216">
        <f>(AJ15+E15-AK15)/AK15</f>
        <v>0.15636363636363643</v>
      </c>
      <c r="V15" s="223"/>
      <c r="W15" s="115"/>
      <c r="X15" s="134"/>
      <c r="Y15" s="291">
        <v>1.38</v>
      </c>
      <c r="Z15" s="292">
        <v>1.97</v>
      </c>
      <c r="AA15" s="224">
        <v>0.95</v>
      </c>
      <c r="AB15" s="226"/>
      <c r="AC15" s="74"/>
      <c r="AD15" s="193">
        <v>37195</v>
      </c>
      <c r="AE15" s="303">
        <v>0.875</v>
      </c>
      <c r="AF15" s="306"/>
      <c r="AG15" s="208">
        <v>44.25</v>
      </c>
      <c r="AH15" s="353">
        <v>0.875</v>
      </c>
      <c r="AI15" s="354">
        <v>45.57</v>
      </c>
      <c r="AJ15" s="195">
        <f>0.875*4</f>
        <v>3.5</v>
      </c>
      <c r="AK15" s="194">
        <v>41.25</v>
      </c>
      <c r="AL15" s="287">
        <f>0.875*4</f>
        <v>3.5</v>
      </c>
      <c r="AM15" s="194">
        <v>34.8125</v>
      </c>
      <c r="AN15" s="195">
        <f>0.875*4</f>
        <v>3.5</v>
      </c>
      <c r="AO15" s="194">
        <v>48.5</v>
      </c>
      <c r="AP15" s="197">
        <f>0.78+0.86+0.86+0.86</f>
        <v>3.36</v>
      </c>
      <c r="AQ15" s="218">
        <v>43.6875</v>
      </c>
      <c r="AR15" s="180"/>
      <c r="AS15" s="181"/>
      <c r="AT15" s="181"/>
      <c r="AU15" s="181"/>
      <c r="AV15" s="181"/>
      <c r="AW15" s="80"/>
      <c r="AX15" s="198"/>
      <c r="AY15" s="199"/>
    </row>
    <row r="16" spans="1:54" s="81" customFormat="1" ht="22.8" x14ac:dyDescent="0.4">
      <c r="A16" s="111" t="s">
        <v>117</v>
      </c>
      <c r="B16" s="74"/>
      <c r="C16" s="128" t="s">
        <v>118</v>
      </c>
      <c r="D16" s="74"/>
      <c r="E16" s="208">
        <f>[1]!'EPD,LAST,1'</f>
        <v>46.8</v>
      </c>
      <c r="F16" s="209"/>
      <c r="G16" s="208">
        <f>[1]!'EPD,DIVIDEND,1'</f>
        <v>2.5</v>
      </c>
      <c r="H16" s="96"/>
      <c r="I16" s="160">
        <f>+G16/E16</f>
        <v>5.3418803418803423E-2</v>
      </c>
      <c r="J16" s="160"/>
      <c r="K16" s="215">
        <f t="shared" si="1"/>
        <v>59.18803418803423</v>
      </c>
      <c r="L16" s="94"/>
      <c r="M16" s="160">
        <f>(I16*AA16)+((I16*(1-AA16))*(1-0.3))</f>
        <v>3.7393162393162392E-2</v>
      </c>
      <c r="N16" s="94"/>
      <c r="O16" s="149">
        <f>+G16/Z16</f>
        <v>0.96153846153846145</v>
      </c>
      <c r="P16" s="211"/>
      <c r="Q16" s="149">
        <f>(AF16+$E16-AG16)/AG16</f>
        <v>-3.305785123966945E-2</v>
      </c>
      <c r="R16" s="211"/>
      <c r="S16" s="149">
        <f>(AH16+$E16-AI16)/AI16</f>
        <v>2.429805615550756E-2</v>
      </c>
      <c r="T16" s="96"/>
      <c r="U16" s="216">
        <f>(AJ16+E16-AK16)/AK16</f>
        <v>0.56230616302186864</v>
      </c>
      <c r="V16" s="223"/>
      <c r="W16" s="115"/>
      <c r="X16" s="134"/>
      <c r="Y16" s="291">
        <v>2.61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48.4</v>
      </c>
      <c r="AH16" s="328">
        <v>0.625</v>
      </c>
      <c r="AI16" s="354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109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2.8" x14ac:dyDescent="0.4">
      <c r="A17" s="111" t="s">
        <v>93</v>
      </c>
      <c r="B17" s="74"/>
      <c r="C17" s="128" t="s">
        <v>94</v>
      </c>
      <c r="D17" s="74"/>
      <c r="E17" s="208">
        <f>[1]!'EPN,LAST,1'</f>
        <v>37.020000000000003</v>
      </c>
      <c r="F17" s="209"/>
      <c r="G17" s="208">
        <f>[1]!'EPN,DIVIDEND,1'</f>
        <v>2.4500000000000002</v>
      </c>
      <c r="H17" s="96"/>
      <c r="I17" s="160">
        <f t="shared" si="0"/>
        <v>6.6180443003781744E-2</v>
      </c>
      <c r="J17" s="160"/>
      <c r="K17" s="215">
        <f t="shared" si="1"/>
        <v>186.80443003781744</v>
      </c>
      <c r="L17" s="94"/>
      <c r="M17" s="160">
        <f>(I17*AA17)+((I17*(1-AA17))*(1-0.3))</f>
        <v>6.5386277687736374E-2</v>
      </c>
      <c r="N17" s="94"/>
      <c r="O17" s="149">
        <f>+G17/Z17</f>
        <v>2.6630434782608696</v>
      </c>
      <c r="P17" s="211"/>
      <c r="Q17" s="149">
        <f>(AF17+$E17-AG17)/AG17</f>
        <v>-3.5937499999999886E-2</v>
      </c>
      <c r="R17" s="211"/>
      <c r="S17" s="149">
        <f>(AH17+$E17-AI17)/AI17</f>
        <v>3.3859890109890156E-2</v>
      </c>
      <c r="T17" s="96"/>
      <c r="U17" s="216">
        <f t="shared" si="6"/>
        <v>0.43353075170842836</v>
      </c>
      <c r="V17" s="223"/>
      <c r="W17" s="115"/>
      <c r="X17" s="134"/>
      <c r="Y17" s="291">
        <v>0.56000000000000005</v>
      </c>
      <c r="Z17" s="292">
        <v>0.92</v>
      </c>
      <c r="AA17" s="224">
        <v>0.96</v>
      </c>
      <c r="AB17" s="226"/>
      <c r="AC17" s="74"/>
      <c r="AD17" s="193">
        <v>37193</v>
      </c>
      <c r="AE17" s="304">
        <v>0.61250000000000004</v>
      </c>
      <c r="AF17" s="305"/>
      <c r="AG17" s="208">
        <v>38.4</v>
      </c>
      <c r="AH17" s="328">
        <v>0.61250000000000004</v>
      </c>
      <c r="AI17" s="354">
        <v>36.4</v>
      </c>
      <c r="AJ17" s="222">
        <f>0.55+(0.575*2)+0.6125</f>
        <v>2.3125</v>
      </c>
      <c r="AK17" s="221">
        <v>27.4375</v>
      </c>
      <c r="AL17" s="288">
        <f>0.525+0.5375*2+0.55</f>
        <v>2.1500000000000004</v>
      </c>
      <c r="AM17" s="221">
        <v>19</v>
      </c>
      <c r="AN17" s="222">
        <f>0.525*4</f>
        <v>2.1</v>
      </c>
      <c r="AO17" s="221">
        <v>20.125</v>
      </c>
      <c r="AP17" s="349">
        <f>0.5+0.525+0.525+0.525</f>
        <v>2.0749999999999997</v>
      </c>
      <c r="AQ17" s="218">
        <v>30.625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customHeight="1" x14ac:dyDescent="0.4">
      <c r="A18" s="111" t="s">
        <v>68</v>
      </c>
      <c r="B18" s="74"/>
      <c r="C18" s="128" t="s">
        <v>42</v>
      </c>
      <c r="D18" s="74"/>
      <c r="E18" s="208">
        <f>[1]!'FGP,LAST,1'</f>
        <v>19.850000000000001</v>
      </c>
      <c r="F18" s="209"/>
      <c r="G18" s="208">
        <f>[1]!'FGP,DIVIDEND,1'</f>
        <v>2</v>
      </c>
      <c r="H18" s="96"/>
      <c r="I18" s="160">
        <f t="shared" si="0"/>
        <v>0.10075566750629722</v>
      </c>
      <c r="J18" s="160"/>
      <c r="K18" s="215">
        <f t="shared" si="1"/>
        <v>532.5566750629722</v>
      </c>
      <c r="L18" s="94"/>
      <c r="M18" s="160">
        <f t="shared" si="2"/>
        <v>0.10015113350125944</v>
      </c>
      <c r="N18" s="94"/>
      <c r="O18" s="149">
        <f t="shared" si="5"/>
        <v>2.150537634408602</v>
      </c>
      <c r="P18" s="220"/>
      <c r="Q18" s="149">
        <f t="shared" si="3"/>
        <v>-7.0035017508752887E-3</v>
      </c>
      <c r="R18" s="220"/>
      <c r="S18" s="149">
        <f t="shared" si="4"/>
        <v>3.6012526096033469E-2</v>
      </c>
      <c r="T18" s="96"/>
      <c r="U18" s="216">
        <f t="shared" si="6"/>
        <v>0.61895734597156404</v>
      </c>
      <c r="V18" s="190"/>
      <c r="W18" s="115"/>
      <c r="X18" s="134"/>
      <c r="Y18" s="289">
        <v>1.58</v>
      </c>
      <c r="Z18" s="290">
        <v>0.93</v>
      </c>
      <c r="AA18" s="191">
        <v>0.98</v>
      </c>
      <c r="AB18" s="192"/>
      <c r="AC18" s="74"/>
      <c r="AD18" s="364">
        <v>37132</v>
      </c>
      <c r="AE18" s="303">
        <v>0.5</v>
      </c>
      <c r="AF18" s="306"/>
      <c r="AG18" s="208">
        <v>19.989999999999998</v>
      </c>
      <c r="AH18" s="353"/>
      <c r="AI18" s="354">
        <v>19.16</v>
      </c>
      <c r="AJ18" s="195">
        <f>0.5*3</f>
        <v>1.5</v>
      </c>
      <c r="AK18" s="194">
        <v>13.1875</v>
      </c>
      <c r="AL18" s="287">
        <f>0.5+0.5+0.5+0.5</f>
        <v>2</v>
      </c>
      <c r="AM18" s="194">
        <v>12.625</v>
      </c>
      <c r="AN18" s="195">
        <f>0.5*4</f>
        <v>2</v>
      </c>
      <c r="AO18" s="194">
        <v>17.25</v>
      </c>
      <c r="AP18" s="197">
        <f>0.5+0.5+0.5+0.5</f>
        <v>2</v>
      </c>
      <c r="AQ18" s="218">
        <v>22.375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2.8" x14ac:dyDescent="0.4">
      <c r="A19" s="111" t="s">
        <v>102</v>
      </c>
      <c r="B19" s="74"/>
      <c r="C19" s="128" t="s">
        <v>43</v>
      </c>
      <c r="D19" s="74"/>
      <c r="E19" s="208">
        <f>[1]!'GEL,LAST,1'</f>
        <v>5.0999999999999996</v>
      </c>
      <c r="F19" s="209"/>
      <c r="G19" s="208">
        <f>[1]!'GEL,DIVIDEND,1'</f>
        <v>0.8</v>
      </c>
      <c r="H19" s="293" t="s">
        <v>104</v>
      </c>
      <c r="I19" s="160">
        <f t="shared" si="0"/>
        <v>0.15686274509803924</v>
      </c>
      <c r="J19" s="160"/>
      <c r="K19" s="215">
        <f t="shared" si="1"/>
        <v>1093.6274509803925</v>
      </c>
      <c r="L19" s="94"/>
      <c r="M19" s="160">
        <f t="shared" si="2"/>
        <v>0.15686274509803924</v>
      </c>
      <c r="N19" s="94"/>
      <c r="O19" s="149">
        <f>+G19/Z19</f>
        <v>5.3333333333333339</v>
      </c>
      <c r="P19" s="211"/>
      <c r="Q19" s="149">
        <f t="shared" si="3"/>
        <v>0.19718309859154928</v>
      </c>
      <c r="R19" s="211"/>
      <c r="S19" s="149">
        <f t="shared" si="4"/>
        <v>-8.9347079037800758E-2</v>
      </c>
      <c r="T19" s="96"/>
      <c r="U19" s="216">
        <f t="shared" si="6"/>
        <v>0.62758620689655154</v>
      </c>
      <c r="V19" s="190"/>
      <c r="W19" s="115"/>
      <c r="X19" s="134"/>
      <c r="Y19" s="289">
        <v>0.1</v>
      </c>
      <c r="Z19" s="290">
        <v>0.15</v>
      </c>
      <c r="AA19" s="191">
        <v>1</v>
      </c>
      <c r="AB19" s="192"/>
      <c r="AC19" s="74"/>
      <c r="AD19" s="193">
        <v>37193</v>
      </c>
      <c r="AE19" s="304">
        <v>0.2</v>
      </c>
      <c r="AF19" s="305"/>
      <c r="AG19" s="208">
        <v>4.26</v>
      </c>
      <c r="AH19" s="328">
        <v>0.2</v>
      </c>
      <c r="AI19" s="354">
        <v>5.82</v>
      </c>
      <c r="AJ19" s="222">
        <f>0.2*4</f>
        <v>0.8</v>
      </c>
      <c r="AK19" s="221">
        <v>3.625</v>
      </c>
      <c r="AL19" s="288">
        <f>0.5*4+0.28</f>
        <v>2.2800000000000002</v>
      </c>
      <c r="AM19" s="221">
        <v>8.0625</v>
      </c>
      <c r="AN19" s="222">
        <f>0.5*4</f>
        <v>2</v>
      </c>
      <c r="AO19" s="221">
        <v>14.4375</v>
      </c>
      <c r="AP19" s="265">
        <f>0.5+0.5+0.5+0.5</f>
        <v>2</v>
      </c>
      <c r="AQ19" s="218">
        <v>16.375</v>
      </c>
      <c r="AR19" s="180"/>
      <c r="AS19" s="181"/>
      <c r="AT19" s="80"/>
      <c r="AU19" s="181"/>
      <c r="AV19" s="181"/>
      <c r="AW19" s="80"/>
      <c r="AX19" s="198"/>
      <c r="AY19" s="199"/>
    </row>
    <row r="20" spans="1:54" s="81" customFormat="1" ht="22.8" x14ac:dyDescent="0.4">
      <c r="A20" s="111" t="s">
        <v>44</v>
      </c>
      <c r="B20" s="74"/>
      <c r="C20" s="128" t="s">
        <v>45</v>
      </c>
      <c r="D20" s="74"/>
      <c r="E20" s="208">
        <f>[1]!'KPP,LAST,1'</f>
        <v>40.21</v>
      </c>
      <c r="F20" s="209"/>
      <c r="G20" s="208">
        <f>[1]!'KPP,DIVIDEND,1'</f>
        <v>3</v>
      </c>
      <c r="H20" s="96"/>
      <c r="I20" s="160">
        <f t="shared" si="0"/>
        <v>7.4608306391444917E-2</v>
      </c>
      <c r="J20" s="160"/>
      <c r="K20" s="215">
        <f t="shared" si="1"/>
        <v>271.08306391444916</v>
      </c>
      <c r="L20" s="94"/>
      <c r="M20" s="160">
        <f t="shared" si="2"/>
        <v>7.0131808007958221E-2</v>
      </c>
      <c r="N20" s="94"/>
      <c r="O20" s="149">
        <f t="shared" si="5"/>
        <v>0.94339622641509424</v>
      </c>
      <c r="P20" s="211"/>
      <c r="Q20" s="149">
        <f t="shared" si="3"/>
        <v>-4.2619047619047598E-2</v>
      </c>
      <c r="R20" s="211"/>
      <c r="S20" s="149">
        <f t="shared" si="4"/>
        <v>3.6175056918795842E-2</v>
      </c>
      <c r="T20" s="96"/>
      <c r="U20" s="216">
        <f t="shared" si="6"/>
        <v>0.37476673427991886</v>
      </c>
      <c r="V20" s="223"/>
      <c r="W20" s="115"/>
      <c r="X20" s="134"/>
      <c r="Y20" s="289">
        <v>3.15</v>
      </c>
      <c r="Z20" s="290">
        <v>3.18</v>
      </c>
      <c r="AA20" s="191">
        <v>0.8</v>
      </c>
      <c r="AB20" s="192"/>
      <c r="AC20" s="74"/>
      <c r="AD20" s="193">
        <v>37193</v>
      </c>
      <c r="AE20" s="304">
        <v>0.75</v>
      </c>
      <c r="AF20" s="305"/>
      <c r="AG20" s="208">
        <v>42</v>
      </c>
      <c r="AH20" s="328">
        <v>0.75</v>
      </c>
      <c r="AI20" s="354">
        <v>39.53</v>
      </c>
      <c r="AJ20" s="222">
        <f>(0.7*2)+0.75</f>
        <v>2.15</v>
      </c>
      <c r="AK20" s="221">
        <v>30.8125</v>
      </c>
      <c r="AL20" s="288">
        <f>0.7*4</f>
        <v>2.8</v>
      </c>
      <c r="AM20" s="221">
        <v>24.6875</v>
      </c>
      <c r="AN20" s="346">
        <f>0.65*2+0.7*2</f>
        <v>2.7</v>
      </c>
      <c r="AO20" s="221">
        <v>33</v>
      </c>
      <c r="AP20" s="197">
        <f>0.65+0.65+0.65+0.65</f>
        <v>2.6</v>
      </c>
      <c r="AQ20" s="218">
        <v>35.75</v>
      </c>
      <c r="AR20" s="180"/>
      <c r="AS20" s="76"/>
      <c r="AT20" s="76"/>
      <c r="AU20" s="76"/>
      <c r="AV20" s="76"/>
      <c r="AW20" s="80"/>
      <c r="AX20" s="198"/>
      <c r="AY20" s="199"/>
    </row>
    <row r="21" spans="1:54" s="81" customFormat="1" ht="26.4" x14ac:dyDescent="0.4">
      <c r="A21" s="111" t="s">
        <v>46</v>
      </c>
      <c r="B21" s="74"/>
      <c r="C21" s="128" t="s">
        <v>95</v>
      </c>
      <c r="D21" s="74"/>
      <c r="E21" s="208">
        <f>[1]!'KMP,LAST,1'</f>
        <v>34.64</v>
      </c>
      <c r="F21" s="209"/>
      <c r="G21" s="208">
        <f>[1]!'KMP,DIVIDEND,1'</f>
        <v>2.2000000000000002</v>
      </c>
      <c r="H21" s="286"/>
      <c r="I21" s="160">
        <f t="shared" si="0"/>
        <v>6.3510392609699776E-2</v>
      </c>
      <c r="J21" s="160"/>
      <c r="K21" s="215">
        <f t="shared" si="1"/>
        <v>160.10392609699775</v>
      </c>
      <c r="L21" s="94"/>
      <c r="M21" s="160">
        <f t="shared" si="2"/>
        <v>6.1605080831408782E-2</v>
      </c>
      <c r="N21" s="94"/>
      <c r="O21" s="149">
        <f t="shared" si="5"/>
        <v>1.2941176470588236</v>
      </c>
      <c r="P21" s="211"/>
      <c r="Q21" s="149">
        <f t="shared" si="3"/>
        <v>-0.10951156812339327</v>
      </c>
      <c r="R21" s="211"/>
      <c r="S21" s="149">
        <f t="shared" si="4"/>
        <v>1.6758162380814744E-2</v>
      </c>
      <c r="T21" s="96"/>
      <c r="U21" s="216">
        <f t="shared" si="6"/>
        <v>-0.34801331853496109</v>
      </c>
      <c r="V21" s="223"/>
      <c r="W21" s="115"/>
      <c r="X21" s="134"/>
      <c r="Y21" s="291">
        <v>1.55</v>
      </c>
      <c r="Z21" s="292">
        <v>1.7</v>
      </c>
      <c r="AA21" s="224">
        <v>0.9</v>
      </c>
      <c r="AB21" s="225"/>
      <c r="AC21" s="74"/>
      <c r="AD21" s="193">
        <v>37193</v>
      </c>
      <c r="AE21" s="303">
        <v>0.55000000000000004</v>
      </c>
      <c r="AF21" s="306"/>
      <c r="AG21" s="208">
        <v>38.9</v>
      </c>
      <c r="AH21" s="353">
        <v>0.55000000000000004</v>
      </c>
      <c r="AI21" s="354">
        <v>34.61</v>
      </c>
      <c r="AJ21" s="195">
        <f>0.475+(0.525*2)+0.55</f>
        <v>2.0750000000000002</v>
      </c>
      <c r="AK21" s="194">
        <v>56.3125</v>
      </c>
      <c r="AL21" s="287">
        <f>0.725+0.775+0.85*2</f>
        <v>3.2</v>
      </c>
      <c r="AM21" s="194">
        <v>41.4375</v>
      </c>
      <c r="AN21" s="347">
        <f>0.65+0.7*2+0.725</f>
        <v>2.7749999999999999</v>
      </c>
      <c r="AO21" s="194">
        <v>36.25</v>
      </c>
      <c r="AP21" s="349">
        <f>0.5625+0.5625+0.63+0.63</f>
        <v>2.3849999999999998</v>
      </c>
      <c r="AQ21" s="218">
        <v>33.875</v>
      </c>
      <c r="AR21" s="180"/>
      <c r="AS21" s="76"/>
      <c r="AT21" s="80"/>
      <c r="AU21" s="80"/>
      <c r="AV21" s="80"/>
      <c r="AW21" s="80"/>
      <c r="AX21" s="80"/>
      <c r="AY21" s="199"/>
    </row>
    <row r="22" spans="1:54" s="81" customFormat="1" ht="26.4" x14ac:dyDescent="0.4">
      <c r="A22" s="111" t="s">
        <v>77</v>
      </c>
      <c r="B22" s="74"/>
      <c r="C22" s="128" t="s">
        <v>79</v>
      </c>
      <c r="D22" s="74"/>
      <c r="E22" s="208">
        <f>[1]!'PAA,LAST,1'</f>
        <v>25.4</v>
      </c>
      <c r="F22" s="209"/>
      <c r="G22" s="208">
        <f>[1]!'PAA,DIVIDEND,1'</f>
        <v>2.0499999999999998</v>
      </c>
      <c r="H22" s="286"/>
      <c r="I22" s="160">
        <f t="shared" si="0"/>
        <v>8.070866141732283E-2</v>
      </c>
      <c r="J22" s="160"/>
      <c r="K22" s="215">
        <f t="shared" si="1"/>
        <v>332.08661417322827</v>
      </c>
      <c r="L22" s="94"/>
      <c r="M22" s="160">
        <f>(I22*AA22)+((I22*(1-AA22))*(1-0.3))</f>
        <v>7.344488188976378E-2</v>
      </c>
      <c r="N22" s="94"/>
      <c r="O22" s="149">
        <f>+G22/Z22</f>
        <v>1.198830409356725</v>
      </c>
      <c r="P22" s="211"/>
      <c r="Q22" s="149">
        <f>(AF22+$E22-AG22)/AG22</f>
        <v>-4.4753666792027129E-2</v>
      </c>
      <c r="R22" s="211"/>
      <c r="S22" s="149">
        <f>(AH22+$E22-AI22)/AI22</f>
        <v>1.2207031249999861E-2</v>
      </c>
      <c r="T22" s="96"/>
      <c r="U22" s="216">
        <f t="shared" si="6"/>
        <v>0.4300653594771241</v>
      </c>
      <c r="V22" s="223"/>
      <c r="W22" s="115"/>
      <c r="X22" s="134"/>
      <c r="Y22" s="291">
        <v>1.46</v>
      </c>
      <c r="Z22" s="292">
        <v>1.71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26.59</v>
      </c>
      <c r="AH22" s="328">
        <v>0.51249999999999996</v>
      </c>
      <c r="AI22" s="354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6">
        <f>0.193+0.45+0.463+0.48125</f>
        <v>1.58725</v>
      </c>
      <c r="AO22" s="221">
        <v>17.3125</v>
      </c>
      <c r="AP22" s="349" t="s">
        <v>80</v>
      </c>
      <c r="AQ22" s="269" t="s">
        <v>80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2.8" x14ac:dyDescent="0.4">
      <c r="A23" s="111" t="s">
        <v>98</v>
      </c>
      <c r="B23" s="74"/>
      <c r="C23" s="128" t="s">
        <v>81</v>
      </c>
      <c r="D23" s="74"/>
      <c r="E23" s="208">
        <f>[1]!'TCLPZ.O,LAST,1'</f>
        <v>24.85</v>
      </c>
      <c r="F23" s="209"/>
      <c r="G23" s="208">
        <f>[1]!'TCLPZ.O,DIVIDEND,1'</f>
        <v>2</v>
      </c>
      <c r="H23" s="96"/>
      <c r="I23" s="160">
        <f t="shared" si="0"/>
        <v>8.0482897384305835E-2</v>
      </c>
      <c r="J23" s="160"/>
      <c r="K23" s="215">
        <f t="shared" si="1"/>
        <v>329.82897384305835</v>
      </c>
      <c r="L23" s="94"/>
      <c r="M23" s="160">
        <f>(I23*AA23)+((I23*(1-AA23))*(1-0.3))</f>
        <v>7.9275653923541245E-2</v>
      </c>
      <c r="N23" s="94"/>
      <c r="O23" s="149">
        <f>+G23/Z23</f>
        <v>0.82987551867219911</v>
      </c>
      <c r="P23" s="211"/>
      <c r="Q23" s="149">
        <f>(AF23+$E23-AG23)/AG23</f>
        <v>-5.0076452599388331E-2</v>
      </c>
      <c r="R23" s="211"/>
      <c r="S23" s="149">
        <f>(AH23+$E23-AI23)/AI23</f>
        <v>-3.2442748091602976E-2</v>
      </c>
      <c r="T23" s="96"/>
      <c r="U23" s="216">
        <f t="shared" si="6"/>
        <v>0.39220779220779223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26.16</v>
      </c>
      <c r="AH23" s="328">
        <v>0.5</v>
      </c>
      <c r="AI23" s="356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6">
        <f>0.168+0.45</f>
        <v>0.61799999999999999</v>
      </c>
      <c r="AO23" s="221" t="s">
        <v>80</v>
      </c>
      <c r="AP23" s="269" t="s">
        <v>80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2.8" x14ac:dyDescent="0.4">
      <c r="A24" s="111" t="s">
        <v>47</v>
      </c>
      <c r="B24" s="74"/>
      <c r="C24" s="128" t="s">
        <v>48</v>
      </c>
      <c r="D24" s="74"/>
      <c r="E24" s="208">
        <f>[1]!'TPP,LAST,1'</f>
        <v>33.950000000000003</v>
      </c>
      <c r="F24" s="209"/>
      <c r="G24" s="208">
        <f>[1]!'TPP,DIVIDEND,1'</f>
        <v>2.2999999999999998</v>
      </c>
      <c r="H24" s="96"/>
      <c r="I24" s="160">
        <f t="shared" si="0"/>
        <v>6.774668630338733E-2</v>
      </c>
      <c r="J24" s="160"/>
      <c r="K24" s="215">
        <f t="shared" si="1"/>
        <v>202.4668630338733</v>
      </c>
      <c r="L24" s="94"/>
      <c r="M24" s="160">
        <f t="shared" si="2"/>
        <v>6.1649484536082461E-2</v>
      </c>
      <c r="N24" s="94"/>
      <c r="O24" s="149">
        <f t="shared" si="5"/>
        <v>1.1386138613861385</v>
      </c>
      <c r="P24" s="211"/>
      <c r="Q24" s="149">
        <f t="shared" si="3"/>
        <v>-4.9285914309717106E-2</v>
      </c>
      <c r="R24" s="211"/>
      <c r="S24" s="149">
        <f t="shared" si="4"/>
        <v>7.8906250000000178E-2</v>
      </c>
      <c r="T24" s="96"/>
      <c r="U24" s="216">
        <f t="shared" si="6"/>
        <v>0.46972010178117052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35.71</v>
      </c>
      <c r="AH24" s="328">
        <v>0.57499999999999996</v>
      </c>
      <c r="AI24" s="354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6">
        <f>0.45*2+0.475*2</f>
        <v>1.85</v>
      </c>
      <c r="AO24" s="221">
        <v>24.5625</v>
      </c>
      <c r="AP24" s="349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4" x14ac:dyDescent="0.4">
      <c r="A25" s="321" t="s">
        <v>112</v>
      </c>
      <c r="B25" s="80"/>
      <c r="C25" s="147" t="s">
        <v>111</v>
      </c>
      <c r="D25" s="80"/>
      <c r="E25" s="208">
        <f>[1]!'UDL,LAST,1'</f>
        <v>38</v>
      </c>
      <c r="F25" s="322"/>
      <c r="G25" s="208">
        <f>[1]!'UDL,DIVIDEND,1'</f>
        <v>2.4</v>
      </c>
      <c r="H25" s="286"/>
      <c r="I25" s="160">
        <f>+G25/E25</f>
        <v>6.3157894736842107E-2</v>
      </c>
      <c r="J25" s="160"/>
      <c r="K25" s="215">
        <f t="shared" si="1"/>
        <v>156.57894736842107</v>
      </c>
      <c r="L25" s="94"/>
      <c r="M25" s="160">
        <f>(I25*AA25)+((I25*(1-AA25))*(1-0.3))</f>
        <v>4.4210526315789471E-2</v>
      </c>
      <c r="N25" s="94"/>
      <c r="O25" s="149">
        <f t="shared" si="5"/>
        <v>0.88235294117647045</v>
      </c>
      <c r="P25" s="211"/>
      <c r="Q25" s="149">
        <f>(AF25+$E25-AG25)/AG25</f>
        <v>-5.9405940594059375E-2</v>
      </c>
      <c r="R25" s="211"/>
      <c r="S25" s="149">
        <f>(AH25+$E25-AI25)/AI25</f>
        <v>0.18404907975460122</v>
      </c>
      <c r="T25" s="96"/>
      <c r="U25" s="323">
        <f>(AJ25+E25-AK25)/AK25</f>
        <v>0.59596326530612254</v>
      </c>
      <c r="V25" s="223"/>
      <c r="W25" s="115"/>
      <c r="X25" s="134"/>
      <c r="Y25" s="291">
        <v>2.27</v>
      </c>
      <c r="Z25" s="297">
        <v>2.72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40.4</v>
      </c>
      <c r="AH25" s="328">
        <v>0.6</v>
      </c>
      <c r="AI25" s="354">
        <v>32.6</v>
      </c>
      <c r="AJ25" s="222">
        <f>0.5011+0.6</f>
        <v>1.1011</v>
      </c>
      <c r="AK25" s="298">
        <v>24.5</v>
      </c>
      <c r="AL25" s="325" t="s">
        <v>80</v>
      </c>
      <c r="AM25" s="298" t="s">
        <v>80</v>
      </c>
      <c r="AN25" s="325" t="s">
        <v>80</v>
      </c>
      <c r="AO25" s="298" t="s">
        <v>80</v>
      </c>
      <c r="AP25" s="325" t="s">
        <v>80</v>
      </c>
      <c r="AQ25" s="324" t="s">
        <v>80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4" x14ac:dyDescent="0.4">
      <c r="A26" s="321" t="s">
        <v>113</v>
      </c>
      <c r="B26" s="80"/>
      <c r="C26" s="147" t="s">
        <v>114</v>
      </c>
      <c r="D26" s="80"/>
      <c r="E26" s="208">
        <f>[1]!'WEG,LAST,1'</f>
        <v>40.1</v>
      </c>
      <c r="F26" s="322"/>
      <c r="G26" s="208">
        <f>[1]!'WEG,DIVIDEND,1'</f>
        <v>2.31</v>
      </c>
      <c r="H26" s="286"/>
      <c r="I26" s="160">
        <f>+G26/E26</f>
        <v>5.7605985037406486E-2</v>
      </c>
      <c r="J26" s="160"/>
      <c r="K26" s="215">
        <f t="shared" si="1"/>
        <v>101.05985037406485</v>
      </c>
      <c r="L26" s="94"/>
      <c r="M26" s="160">
        <f>(I26*AA26)+((I26*(1-AA26))*(1-0.3))</f>
        <v>4.0324189526184537E-2</v>
      </c>
      <c r="N26" s="94"/>
      <c r="O26" s="149">
        <f t="shared" si="5"/>
        <v>1.3125</v>
      </c>
      <c r="P26" s="211"/>
      <c r="Q26" s="149">
        <f>(AF26+$E26-AG26)/AG26</f>
        <v>-3.0932817786370252E-2</v>
      </c>
      <c r="R26" s="211"/>
      <c r="S26" s="149">
        <f>(AH26+$E26-AI26)/AI26</f>
        <v>9.9391891891891945E-2</v>
      </c>
      <c r="T26" s="96"/>
      <c r="U26" s="323">
        <f>(AJ26+E26-AK26)/AK26</f>
        <v>0.93172093023255831</v>
      </c>
      <c r="V26" s="223"/>
      <c r="W26" s="115"/>
      <c r="X26" s="134"/>
      <c r="Y26" s="291">
        <v>1.69</v>
      </c>
      <c r="Z26" s="297">
        <v>1.76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41.38</v>
      </c>
      <c r="AH26" s="328">
        <v>0.57750000000000001</v>
      </c>
      <c r="AI26" s="354">
        <v>37</v>
      </c>
      <c r="AJ26" s="222">
        <f>0.292+0.5625+0.5775</f>
        <v>1.4319999999999999</v>
      </c>
      <c r="AK26" s="298">
        <v>21.5</v>
      </c>
      <c r="AL26" s="325" t="s">
        <v>80</v>
      </c>
      <c r="AM26" s="298" t="s">
        <v>80</v>
      </c>
      <c r="AN26" s="325" t="s">
        <v>80</v>
      </c>
      <c r="AO26" s="298" t="s">
        <v>80</v>
      </c>
      <c r="AP26" s="325" t="s">
        <v>80</v>
      </c>
      <c r="AQ26" s="324" t="s">
        <v>80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3.4" thickBot="1" x14ac:dyDescent="0.45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7"/>
      <c r="AI27" s="358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3.4" thickBot="1" x14ac:dyDescent="0.45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7.8962074039329075E-2</v>
      </c>
      <c r="J28" s="242"/>
      <c r="K28" s="243">
        <f>(+I28-E$30)*10000</f>
        <v>314.62074039329076</v>
      </c>
      <c r="L28" s="238"/>
      <c r="M28" s="242">
        <f>AVERAGEA(M13:M24)</f>
        <v>7.7639024175818569E-2</v>
      </c>
      <c r="N28" s="238"/>
      <c r="O28" s="244">
        <f>AVERAGEA(O13:O26)</f>
        <v>1.6786463871715167</v>
      </c>
      <c r="P28" s="245"/>
      <c r="Q28" s="244">
        <f>AVERAGEA(Q13:Q26)</f>
        <v>-1.9096410342584441E-2</v>
      </c>
      <c r="R28" s="245"/>
      <c r="S28" s="244">
        <f>AVERAGEA(S13:S26)</f>
        <v>3.6770942827811459E-2</v>
      </c>
      <c r="T28" s="241"/>
      <c r="U28" s="246">
        <f>AVERAGEA(U13:U26)</f>
        <v>0.43937820098421337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59"/>
      <c r="AI28" s="360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2.8" x14ac:dyDescent="0.4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90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4">
      <c r="A30" s="111" t="s">
        <v>122</v>
      </c>
      <c r="B30" s="74"/>
      <c r="C30" s="112"/>
      <c r="D30" s="74"/>
      <c r="E30" s="256">
        <v>4.7500000000000001E-2</v>
      </c>
      <c r="F30" s="74"/>
      <c r="G30" s="255"/>
      <c r="H30" s="96"/>
      <c r="J30" s="256"/>
      <c r="K30" s="210"/>
      <c r="L30" s="94"/>
      <c r="M30" s="160">
        <f>(E30*AA30)+((E30*(1-AA30))*(1-0.3))</f>
        <v>3.3249999999999995E-2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4.2799999999999998E-2</v>
      </c>
      <c r="AH30" s="258"/>
      <c r="AI30" s="350">
        <v>4.8423999999999995E-2</v>
      </c>
      <c r="AJ30" s="258"/>
      <c r="AK30" s="338">
        <v>5.4600999999999997E-2</v>
      </c>
      <c r="AL30" s="339"/>
      <c r="AM30" s="340">
        <v>6.4820000000000003E-2</v>
      </c>
      <c r="AN30" s="341"/>
      <c r="AO30" s="341">
        <v>5.0999999999999997E-2</v>
      </c>
      <c r="AP30" s="368" t="s">
        <v>86</v>
      </c>
      <c r="AQ30" s="369"/>
      <c r="AR30" s="282" t="s">
        <v>89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4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87</v>
      </c>
      <c r="S31" s="276" t="s">
        <v>87</v>
      </c>
      <c r="U31" s="276" t="s">
        <v>87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3">
      <c r="A32" s="49" t="s">
        <v>65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3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7" customHeight="1" x14ac:dyDescent="0.4">
      <c r="A34" s="270" t="s">
        <v>83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9" customHeight="1" x14ac:dyDescent="0.4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7" customHeight="1" x14ac:dyDescent="0.4">
      <c r="A36" s="270" t="s">
        <v>84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9.9" customHeight="1" x14ac:dyDescent="0.4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27" customHeight="1" x14ac:dyDescent="0.5">
      <c r="A38" s="366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24" customHeight="1" x14ac:dyDescent="0.5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20.100000000000001" customHeight="1" x14ac:dyDescent="0.4">
      <c r="A40" s="302" t="s">
        <v>115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20.100000000000001" customHeight="1" x14ac:dyDescent="0.4">
      <c r="A41" s="302" t="s">
        <v>116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91</v>
      </c>
      <c r="AH42" s="4"/>
      <c r="AI42" s="281" t="s">
        <v>92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7">
      <c r="A43" s="69"/>
      <c r="B43" s="70"/>
      <c r="C43" s="71"/>
      <c r="D43" s="70"/>
      <c r="E43" s="367" t="s">
        <v>37</v>
      </c>
      <c r="F43" s="367"/>
      <c r="G43" s="367"/>
      <c r="H43" s="367"/>
      <c r="I43" s="367"/>
      <c r="J43" s="367"/>
      <c r="K43" s="367"/>
      <c r="L43" s="367"/>
      <c r="M43" s="367"/>
      <c r="N43" s="367"/>
      <c r="O43" s="367"/>
      <c r="P43" s="331"/>
      <c r="Q43" s="367" t="s">
        <v>35</v>
      </c>
      <c r="R43" s="367"/>
      <c r="S43" s="367"/>
      <c r="T43" s="367"/>
      <c r="U43" s="367"/>
      <c r="V43" s="367"/>
      <c r="W43" s="367"/>
      <c r="X43" s="320"/>
      <c r="Y43" s="337"/>
      <c r="Z43" s="260" t="s">
        <v>74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4">
      <c r="A44" s="82" t="s">
        <v>50</v>
      </c>
      <c r="B44" s="83"/>
      <c r="C44" s="83"/>
      <c r="D44" s="83"/>
      <c r="E44" s="259" t="s">
        <v>51</v>
      </c>
      <c r="F44" s="85"/>
      <c r="G44" s="84" t="s">
        <v>99</v>
      </c>
      <c r="H44" s="85"/>
      <c r="I44" s="84" t="s">
        <v>108</v>
      </c>
      <c r="J44" s="115"/>
      <c r="K44" s="84" t="s">
        <v>52</v>
      </c>
      <c r="L44" s="80"/>
      <c r="M44" s="97"/>
      <c r="N44" s="85"/>
      <c r="O44" s="333" t="s">
        <v>121</v>
      </c>
      <c r="P44" s="85"/>
      <c r="Q44" s="84" t="s">
        <v>51</v>
      </c>
      <c r="R44" s="83"/>
      <c r="S44" s="84" t="s">
        <v>99</v>
      </c>
      <c r="T44" s="85"/>
      <c r="U44" s="84" t="s">
        <v>108</v>
      </c>
      <c r="V44" s="84"/>
      <c r="W44" s="84" t="s">
        <v>52</v>
      </c>
      <c r="X44" s="84"/>
      <c r="Y44" s="334" t="s">
        <v>121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4">
      <c r="A45" s="87" t="s">
        <v>53</v>
      </c>
      <c r="B45" s="83"/>
      <c r="C45" s="83"/>
      <c r="D45" s="83"/>
      <c r="E45" s="90" t="s">
        <v>55</v>
      </c>
      <c r="F45" s="335"/>
      <c r="G45" s="90"/>
      <c r="H45" s="91"/>
      <c r="I45" s="72"/>
      <c r="J45" s="115"/>
      <c r="K45" s="92"/>
      <c r="L45" s="80"/>
      <c r="M45" s="97"/>
      <c r="N45" s="83"/>
      <c r="O45" s="342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4">
        <v>37139</v>
      </c>
      <c r="Z45" s="73" t="s">
        <v>101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4">
      <c r="A46" s="87" t="s">
        <v>82</v>
      </c>
      <c r="B46" s="83"/>
      <c r="C46" s="83"/>
      <c r="D46" s="83"/>
      <c r="E46" s="90" t="s">
        <v>62</v>
      </c>
      <c r="F46" s="335"/>
      <c r="G46" s="92"/>
      <c r="H46" s="91"/>
      <c r="I46" s="92"/>
      <c r="J46" s="115"/>
      <c r="K46" s="92"/>
      <c r="L46" s="80"/>
      <c r="M46" s="97"/>
      <c r="N46" s="83"/>
      <c r="O46" s="342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4">
        <v>37144</v>
      </c>
      <c r="Z46" s="73" t="s">
        <v>72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4">
      <c r="A47" s="87" t="s">
        <v>56</v>
      </c>
      <c r="B47" s="83"/>
      <c r="C47" s="83"/>
      <c r="D47" s="83"/>
      <c r="E47" s="90" t="s">
        <v>62</v>
      </c>
      <c r="F47" s="335"/>
      <c r="G47" s="90"/>
      <c r="H47" s="91"/>
      <c r="I47" s="72"/>
      <c r="J47" s="115"/>
      <c r="K47" s="92"/>
      <c r="L47" s="80"/>
      <c r="M47" s="97"/>
      <c r="N47" s="83"/>
      <c r="O47" s="342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4">
        <v>37113</v>
      </c>
      <c r="Z47" s="73" t="s">
        <v>69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4">
      <c r="A48" s="87" t="s">
        <v>57</v>
      </c>
      <c r="B48" s="83"/>
      <c r="C48" s="83"/>
      <c r="D48" s="83"/>
      <c r="E48" s="90" t="s">
        <v>59</v>
      </c>
      <c r="F48" s="335"/>
      <c r="G48" s="92"/>
      <c r="H48" s="91"/>
      <c r="I48" s="92"/>
      <c r="J48" s="115"/>
      <c r="K48" s="92"/>
      <c r="L48" s="80"/>
      <c r="M48" s="97"/>
      <c r="N48" s="83"/>
      <c r="O48" s="342"/>
      <c r="P48" s="83"/>
      <c r="Q48" s="88" t="s">
        <v>78</v>
      </c>
      <c r="R48" s="83"/>
      <c r="S48" s="89">
        <v>2.5</v>
      </c>
      <c r="T48" s="83"/>
      <c r="U48" s="89">
        <v>2.95</v>
      </c>
      <c r="V48" s="83"/>
      <c r="W48" s="89">
        <v>46</v>
      </c>
      <c r="X48" s="92"/>
      <c r="Y48" s="344">
        <v>37168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4">
      <c r="A49" s="87" t="s">
        <v>64</v>
      </c>
      <c r="B49" s="83"/>
      <c r="C49" s="83"/>
      <c r="D49" s="83"/>
      <c r="E49" s="90" t="s">
        <v>54</v>
      </c>
      <c r="F49" s="335"/>
      <c r="G49" s="272">
        <v>0.91</v>
      </c>
      <c r="H49" s="273"/>
      <c r="I49" s="89">
        <v>1</v>
      </c>
      <c r="J49" s="228"/>
      <c r="K49" s="272">
        <v>23</v>
      </c>
      <c r="L49" s="80"/>
      <c r="M49" s="97"/>
      <c r="N49" s="83"/>
      <c r="O49" s="342">
        <v>37167</v>
      </c>
      <c r="P49" s="83"/>
      <c r="Q49" s="88" t="s">
        <v>54</v>
      </c>
      <c r="R49" s="83"/>
      <c r="S49" s="89">
        <v>2.4900000000000002</v>
      </c>
      <c r="T49" s="83"/>
      <c r="U49" s="89">
        <v>2.93</v>
      </c>
      <c r="V49" s="83"/>
      <c r="W49" s="89">
        <v>48</v>
      </c>
      <c r="X49" s="92"/>
      <c r="Y49" s="344">
        <v>37146</v>
      </c>
      <c r="Z49" s="73" t="s">
        <v>100</v>
      </c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4">
      <c r="A50" s="87" t="s">
        <v>63</v>
      </c>
      <c r="B50" s="83"/>
      <c r="C50" s="83"/>
      <c r="D50" s="83"/>
      <c r="E50" s="90" t="s">
        <v>75</v>
      </c>
      <c r="F50" s="335"/>
      <c r="G50" s="89">
        <v>0.9</v>
      </c>
      <c r="H50" s="83"/>
      <c r="I50" s="89">
        <v>0.9</v>
      </c>
      <c r="J50" s="115"/>
      <c r="K50" s="89">
        <v>21</v>
      </c>
      <c r="L50" s="80"/>
      <c r="M50" s="97"/>
      <c r="N50" s="83"/>
      <c r="O50" s="342">
        <v>37118</v>
      </c>
      <c r="P50" s="83"/>
      <c r="Q50" s="88" t="s">
        <v>105</v>
      </c>
      <c r="R50" s="83"/>
      <c r="S50" s="89">
        <v>2.4700000000000002</v>
      </c>
      <c r="T50" s="83"/>
      <c r="U50" s="89">
        <v>2.95</v>
      </c>
      <c r="V50" s="83"/>
      <c r="W50" s="89">
        <v>36</v>
      </c>
      <c r="X50" s="89"/>
      <c r="Y50" s="344">
        <v>37062</v>
      </c>
      <c r="Z50" s="73" t="s">
        <v>103</v>
      </c>
      <c r="AA50" s="73"/>
      <c r="AB50" s="73"/>
      <c r="AC50" s="73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4">
      <c r="A51" s="87" t="s">
        <v>58</v>
      </c>
      <c r="B51" s="83"/>
      <c r="C51" s="83"/>
      <c r="D51" s="83"/>
      <c r="E51" s="90" t="s">
        <v>62</v>
      </c>
      <c r="F51" s="335"/>
      <c r="G51" s="92"/>
      <c r="H51" s="91"/>
      <c r="I51" s="92"/>
      <c r="J51" s="115"/>
      <c r="K51" s="92"/>
      <c r="L51" s="80"/>
      <c r="M51" s="97"/>
      <c r="N51" s="83"/>
      <c r="O51" s="342"/>
      <c r="P51" s="83"/>
      <c r="Q51" s="88" t="s">
        <v>59</v>
      </c>
      <c r="R51" s="83"/>
      <c r="S51" s="89"/>
      <c r="T51" s="83"/>
      <c r="U51" s="89"/>
      <c r="V51" s="83"/>
      <c r="W51" s="89">
        <v>40</v>
      </c>
      <c r="X51" s="92"/>
      <c r="Y51" s="344"/>
      <c r="Z51" s="73" t="s">
        <v>73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4">
      <c r="A52" s="87" t="s">
        <v>124</v>
      </c>
      <c r="B52" s="83"/>
      <c r="C52" s="83"/>
      <c r="D52" s="83"/>
      <c r="E52" s="90" t="s">
        <v>85</v>
      </c>
      <c r="F52" s="335"/>
      <c r="G52" s="89">
        <v>0.85</v>
      </c>
      <c r="H52" s="91"/>
      <c r="I52" s="92">
        <v>1.25</v>
      </c>
      <c r="J52" s="115"/>
      <c r="K52" s="92">
        <v>24</v>
      </c>
      <c r="L52" s="80"/>
      <c r="M52" s="97"/>
      <c r="N52" s="83"/>
      <c r="O52" s="342">
        <v>37188</v>
      </c>
      <c r="P52" s="83"/>
      <c r="Q52" s="88" t="s">
        <v>54</v>
      </c>
      <c r="R52" s="83"/>
      <c r="S52" s="89">
        <v>2.5</v>
      </c>
      <c r="T52" s="83"/>
      <c r="U52" s="89">
        <v>2.95</v>
      </c>
      <c r="V52" s="83"/>
      <c r="W52" s="89">
        <v>44</v>
      </c>
      <c r="X52" s="89"/>
      <c r="Y52" s="344">
        <v>37158</v>
      </c>
      <c r="Z52" s="73" t="s">
        <v>70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4">
      <c r="A53" s="93" t="s">
        <v>60</v>
      </c>
      <c r="B53" s="83"/>
      <c r="C53" s="83"/>
      <c r="D53" s="83"/>
      <c r="E53" s="90" t="s">
        <v>59</v>
      </c>
      <c r="F53" s="335"/>
      <c r="G53" s="89">
        <v>0.95</v>
      </c>
      <c r="H53" s="83"/>
      <c r="I53" s="89">
        <v>1.25</v>
      </c>
      <c r="J53" s="115"/>
      <c r="K53" s="89">
        <v>23</v>
      </c>
      <c r="L53" s="80"/>
      <c r="M53" s="97"/>
      <c r="N53" s="83"/>
      <c r="O53" s="342">
        <v>37155</v>
      </c>
      <c r="P53" s="83"/>
      <c r="Q53" s="88" t="s">
        <v>54</v>
      </c>
      <c r="R53" s="83"/>
      <c r="S53" s="89">
        <v>2.5</v>
      </c>
      <c r="T53" s="83"/>
      <c r="U53" s="89">
        <v>2.95</v>
      </c>
      <c r="V53" s="83"/>
      <c r="W53" s="89">
        <v>50</v>
      </c>
      <c r="X53" s="92"/>
      <c r="Y53" s="344">
        <v>37155</v>
      </c>
      <c r="Z53" s="73"/>
      <c r="AA53" s="73"/>
      <c r="AB53" s="73"/>
      <c r="AC53" s="73"/>
      <c r="AD53" s="74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4">
      <c r="A54" s="93" t="s">
        <v>106</v>
      </c>
      <c r="B54" s="83"/>
      <c r="C54" s="83"/>
      <c r="D54" s="83"/>
      <c r="E54" s="90" t="s">
        <v>54</v>
      </c>
      <c r="F54" s="335"/>
      <c r="G54" s="89">
        <v>0.9</v>
      </c>
      <c r="H54" s="83"/>
      <c r="I54" s="89">
        <v>1.1000000000000001</v>
      </c>
      <c r="J54" s="115"/>
      <c r="K54" s="89">
        <v>24</v>
      </c>
      <c r="L54" s="80"/>
      <c r="M54" s="97"/>
      <c r="N54" s="83"/>
      <c r="O54" s="342">
        <v>37141</v>
      </c>
      <c r="P54" s="83"/>
      <c r="Q54" s="88" t="s">
        <v>110</v>
      </c>
      <c r="R54" s="83"/>
      <c r="S54" s="89">
        <v>2.5</v>
      </c>
      <c r="T54" s="83"/>
      <c r="U54" s="89">
        <v>2.9</v>
      </c>
      <c r="V54" s="83"/>
      <c r="W54" s="89">
        <v>48.5</v>
      </c>
      <c r="X54" s="89"/>
      <c r="Y54" s="344">
        <v>37189</v>
      </c>
      <c r="Z54" s="73" t="s">
        <v>88</v>
      </c>
      <c r="AA54" s="73"/>
      <c r="AB54" s="73"/>
      <c r="AC54" s="73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  <c r="BC54" s="76"/>
    </row>
    <row r="55" spans="1:55" s="76" customFormat="1" ht="26.1" customHeight="1" x14ac:dyDescent="0.4">
      <c r="A55" s="93" t="s">
        <v>123</v>
      </c>
      <c r="B55" s="83"/>
      <c r="C55" s="83"/>
      <c r="D55" s="83"/>
      <c r="E55" s="80"/>
      <c r="F55" s="335"/>
      <c r="G55" s="88"/>
      <c r="H55" s="83"/>
      <c r="I55" s="80"/>
      <c r="J55" s="80"/>
      <c r="K55" s="83"/>
      <c r="L55" s="80"/>
      <c r="M55" s="80"/>
      <c r="N55" s="83"/>
      <c r="O55" s="342"/>
      <c r="P55" s="83"/>
      <c r="Q55" s="80"/>
      <c r="R55" s="83"/>
      <c r="S55" s="89">
        <v>2.4700000000000002</v>
      </c>
      <c r="T55" s="83"/>
      <c r="U55" s="89">
        <v>2.9</v>
      </c>
      <c r="V55" s="83"/>
      <c r="W55" s="89">
        <v>47</v>
      </c>
      <c r="X55" s="83"/>
      <c r="Y55" s="344">
        <v>37187</v>
      </c>
      <c r="Z55" s="73"/>
      <c r="AA55" s="73"/>
      <c r="AB55" s="73"/>
      <c r="AC55" s="73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</row>
    <row r="56" spans="1:55" s="76" customFormat="1" ht="26.1" customHeight="1" thickBot="1" x14ac:dyDescent="0.45">
      <c r="A56" s="93" t="s">
        <v>16</v>
      </c>
      <c r="B56" s="80"/>
      <c r="C56" s="94"/>
      <c r="D56" s="80"/>
      <c r="E56" s="80"/>
      <c r="F56" s="335"/>
      <c r="G56" s="95">
        <f>AVERAGEA(G45:G55)</f>
        <v>0.90200000000000014</v>
      </c>
      <c r="H56" s="98"/>
      <c r="I56" s="95">
        <f>AVERAGEA(I45:I55)</f>
        <v>1.1000000000000001</v>
      </c>
      <c r="J56" s="80"/>
      <c r="K56" s="95">
        <f>AVERAGEA(K45:K55)</f>
        <v>23</v>
      </c>
      <c r="L56" s="80"/>
      <c r="M56" s="80"/>
      <c r="N56" s="96"/>
      <c r="O56" s="343"/>
      <c r="P56" s="96"/>
      <c r="Q56" s="80"/>
      <c r="R56" s="80"/>
      <c r="S56" s="95">
        <f>AVERAGEA(S45:S55)</f>
        <v>2.5049999999999999</v>
      </c>
      <c r="T56" s="96"/>
      <c r="U56" s="95">
        <f>AVERAGEA(U45:U55)</f>
        <v>2.9422222222222221</v>
      </c>
      <c r="V56" s="97"/>
      <c r="W56" s="95">
        <f>AVERAGEA(W45:W55)</f>
        <v>43.409090909090907</v>
      </c>
      <c r="X56" s="99"/>
      <c r="Y56" s="345"/>
      <c r="Z56" s="73"/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</row>
    <row r="57" spans="1:55" s="76" customFormat="1" ht="23.4" thickTop="1" x14ac:dyDescent="0.4">
      <c r="A57" s="93"/>
      <c r="B57" s="80"/>
      <c r="C57" s="94"/>
      <c r="D57" s="80"/>
      <c r="E57" s="80"/>
      <c r="F57" s="80"/>
      <c r="G57" s="96"/>
      <c r="H57" s="96"/>
      <c r="I57" s="99"/>
      <c r="J57" s="97"/>
      <c r="K57" s="80"/>
      <c r="L57" s="80"/>
      <c r="M57" s="100"/>
      <c r="N57" s="96"/>
      <c r="O57" s="97"/>
      <c r="P57" s="96"/>
      <c r="Q57" s="98"/>
      <c r="R57" s="335"/>
      <c r="S57" s="80"/>
      <c r="T57" s="98"/>
      <c r="U57" s="80"/>
      <c r="V57" s="99"/>
      <c r="W57" s="228"/>
      <c r="X57" s="73"/>
      <c r="Y57" s="230"/>
      <c r="Z57" s="73"/>
      <c r="AA57" s="73"/>
      <c r="AB57" s="73"/>
      <c r="AD57" s="86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7"/>
      <c r="AQ57" s="78"/>
      <c r="AR57" s="79"/>
      <c r="AS57" s="79"/>
    </row>
    <row r="58" spans="1:55" s="76" customFormat="1" ht="22.8" x14ac:dyDescent="0.4">
      <c r="A58" s="101" t="s">
        <v>61</v>
      </c>
      <c r="B58" s="80"/>
      <c r="C58" s="94"/>
      <c r="D58" s="80"/>
      <c r="E58" s="80"/>
      <c r="F58" s="80"/>
      <c r="G58" s="96"/>
      <c r="H58" s="96"/>
      <c r="I58" s="97"/>
      <c r="J58" s="97"/>
      <c r="K58" s="80"/>
      <c r="L58" s="80"/>
      <c r="M58" s="100"/>
      <c r="N58" s="96"/>
      <c r="O58" s="97"/>
      <c r="P58" s="96"/>
      <c r="Q58" s="98"/>
      <c r="R58" s="335"/>
      <c r="S58" s="80"/>
      <c r="T58" s="98"/>
      <c r="U58" s="80"/>
      <c r="V58" s="98"/>
      <c r="W58" s="228"/>
      <c r="X58" s="73"/>
      <c r="Y58" s="230"/>
      <c r="Z58" s="73"/>
      <c r="AA58" s="73"/>
      <c r="AB58" s="73"/>
      <c r="AD58" s="81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81"/>
      <c r="AQ58" s="81"/>
      <c r="AR58" s="103"/>
      <c r="AS58" s="81"/>
    </row>
    <row r="59" spans="1:55" s="76" customFormat="1" ht="22.8" x14ac:dyDescent="0.4">
      <c r="A59" s="274"/>
      <c r="B59" s="104"/>
      <c r="C59" s="105"/>
      <c r="D59" s="104"/>
      <c r="E59" s="104"/>
      <c r="F59" s="104"/>
      <c r="G59" s="106"/>
      <c r="H59" s="106"/>
      <c r="I59" s="107"/>
      <c r="J59" s="107"/>
      <c r="K59" s="104"/>
      <c r="L59" s="104"/>
      <c r="M59" s="108"/>
      <c r="N59" s="106"/>
      <c r="O59" s="107"/>
      <c r="P59" s="106"/>
      <c r="Q59" s="109"/>
      <c r="R59" s="110"/>
      <c r="S59" s="104"/>
      <c r="T59" s="109"/>
      <c r="U59" s="104"/>
      <c r="V59" s="109"/>
      <c r="W59" s="332"/>
      <c r="X59" s="336"/>
      <c r="Y59" s="248"/>
      <c r="Z59" s="73"/>
      <c r="AA59" s="73"/>
      <c r="AB59" s="73"/>
      <c r="AD59" s="81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81"/>
      <c r="AQ59" s="81"/>
      <c r="AR59" s="103"/>
      <c r="AS59" s="81"/>
    </row>
    <row r="60" spans="1:55" s="5" customFormat="1" ht="22.8" x14ac:dyDescent="0.4">
      <c r="C60" s="15"/>
      <c r="G60" s="23"/>
      <c r="H60" s="13"/>
      <c r="I60" s="24"/>
      <c r="J60" s="24"/>
      <c r="K60" s="25"/>
      <c r="L60" s="13"/>
      <c r="M60" s="24"/>
      <c r="N60" s="13"/>
      <c r="O60" s="26"/>
      <c r="P60" s="26"/>
      <c r="Q60" s="26"/>
      <c r="R60" s="26"/>
      <c r="S60" s="26"/>
      <c r="T60" s="13"/>
      <c r="V60" s="14"/>
      <c r="W60" s="14"/>
      <c r="X60" s="14"/>
      <c r="Y60" s="14"/>
      <c r="Z60" s="14"/>
      <c r="AA60" s="14"/>
      <c r="AB60" s="14"/>
      <c r="AD60" s="7"/>
      <c r="AE60" s="9"/>
      <c r="AF60" s="208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13"/>
      <c r="AS60" s="7"/>
    </row>
    <row r="61" spans="1:55" s="5" customFormat="1" ht="22.8" x14ac:dyDescent="0.4">
      <c r="C61" s="15"/>
      <c r="E61" s="7"/>
      <c r="G61" s="23"/>
      <c r="H61" s="13"/>
      <c r="I61" s="24"/>
      <c r="J61" s="24"/>
      <c r="K61" s="25"/>
      <c r="L61" s="13"/>
      <c r="M61" s="24"/>
      <c r="N61" s="13"/>
      <c r="O61" s="26"/>
      <c r="P61" s="26"/>
      <c r="X61" s="14"/>
      <c r="Y61" s="14"/>
      <c r="Z61" s="14"/>
      <c r="AA61" s="14"/>
      <c r="AB61" s="14"/>
      <c r="AD61" s="7"/>
      <c r="AE61" s="9"/>
      <c r="AF61" s="208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  <c r="AR61" s="13"/>
      <c r="AS61" s="7"/>
    </row>
    <row r="62" spans="1:55" s="5" customFormat="1" ht="22.8" x14ac:dyDescent="0.4">
      <c r="C62" s="15"/>
      <c r="E62" s="7"/>
      <c r="G62" s="23"/>
      <c r="I62" s="24"/>
      <c r="J62" s="24"/>
      <c r="K62" s="41"/>
      <c r="M62" s="24"/>
      <c r="O62" s="27"/>
      <c r="P62" s="27"/>
      <c r="X62" s="19"/>
      <c r="Y62" s="19"/>
      <c r="Z62" s="19"/>
      <c r="AA62" s="19"/>
      <c r="AB62" s="19"/>
      <c r="AD62" s="7"/>
      <c r="AE62" s="9"/>
      <c r="AF62" s="208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5" s="5" customFormat="1" ht="22.8" x14ac:dyDescent="0.4">
      <c r="C63" s="15"/>
      <c r="E63" s="7"/>
      <c r="G63" s="23"/>
      <c r="I63" s="24"/>
      <c r="J63" s="24"/>
      <c r="K63" s="41"/>
      <c r="M63" s="24"/>
      <c r="O63" s="38"/>
      <c r="P63" s="38"/>
      <c r="X63" s="19"/>
      <c r="Y63" s="19"/>
      <c r="Z63" s="19"/>
      <c r="AA63" s="19"/>
      <c r="AB63" s="19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ht="22.8" x14ac:dyDescent="0.4">
      <c r="O64" s="43"/>
      <c r="P64" s="44"/>
      <c r="X64" s="21"/>
      <c r="Y64" s="21"/>
      <c r="Z64" s="21"/>
      <c r="AA64" s="21"/>
      <c r="AB64" s="21"/>
      <c r="AE64" s="12"/>
      <c r="AF64" s="208"/>
      <c r="AG64" s="12"/>
      <c r="AH64" s="12"/>
      <c r="AI64" s="12"/>
      <c r="AJ64" s="12"/>
      <c r="AK64" s="12"/>
      <c r="AL64" s="12"/>
      <c r="AM64" s="12"/>
      <c r="AN64" s="12"/>
      <c r="AO64" s="12"/>
      <c r="AR64" s="8"/>
      <c r="AT64" s="5"/>
      <c r="AU64" s="5"/>
      <c r="AV64" s="5"/>
      <c r="AX64" s="5"/>
      <c r="AY64" s="5"/>
      <c r="AZ64" s="5"/>
      <c r="BC64" s="17"/>
    </row>
    <row r="65" spans="15:55" ht="22.8" x14ac:dyDescent="0.4">
      <c r="O65" s="43"/>
      <c r="P65" s="44"/>
      <c r="X65" s="21"/>
      <c r="Y65" s="21"/>
      <c r="Z65" s="21"/>
      <c r="AA65" s="21"/>
      <c r="AB65" s="21"/>
      <c r="AE65" s="12"/>
      <c r="AF65" s="208"/>
      <c r="AG65" s="12"/>
      <c r="AH65" s="12"/>
      <c r="AI65" s="12"/>
      <c r="AJ65" s="12"/>
      <c r="AK65" s="12"/>
      <c r="AL65" s="12"/>
      <c r="AM65" s="12"/>
      <c r="AN65" s="12"/>
      <c r="AO65" s="12"/>
      <c r="AR65" s="8"/>
      <c r="AT65" s="5"/>
      <c r="AU65" s="5"/>
      <c r="AV65" s="5"/>
      <c r="AX65" s="5"/>
      <c r="AY65" s="5"/>
      <c r="AZ65" s="5"/>
      <c r="BC65" s="17"/>
    </row>
    <row r="66" spans="15:55" ht="22.8" x14ac:dyDescent="0.4">
      <c r="O66" s="43"/>
      <c r="P66" s="44"/>
      <c r="X66" s="21"/>
      <c r="Y66" s="21"/>
      <c r="Z66" s="21"/>
      <c r="AA66" s="21"/>
      <c r="AB66" s="21"/>
      <c r="AE66" s="45"/>
      <c r="AF66" s="208"/>
      <c r="AG66" s="45"/>
      <c r="AH66" s="45"/>
      <c r="AI66" s="45"/>
      <c r="AJ66" s="45"/>
      <c r="AK66" s="45"/>
      <c r="AL66" s="45"/>
      <c r="AM66" s="45"/>
      <c r="AN66" s="45"/>
      <c r="AO66" s="45"/>
      <c r="AR66" s="6"/>
      <c r="AT66" s="5"/>
      <c r="AU66" s="5"/>
      <c r="AV66" s="5"/>
      <c r="AX66" s="5"/>
      <c r="AY66" s="5"/>
      <c r="AZ66" s="5"/>
      <c r="BC66" s="17"/>
    </row>
    <row r="67" spans="15:55" ht="22.8" x14ac:dyDescent="0.4">
      <c r="O67" s="43"/>
      <c r="P67" s="44"/>
      <c r="X67" s="21"/>
      <c r="Y67" s="21"/>
      <c r="Z67" s="21"/>
      <c r="AA67" s="21"/>
      <c r="AB67" s="21"/>
      <c r="AE67" s="45"/>
      <c r="AF67" s="208"/>
      <c r="AG67" s="45"/>
      <c r="AH67" s="45"/>
      <c r="AI67" s="45"/>
      <c r="AJ67" s="45"/>
      <c r="AK67" s="45"/>
      <c r="AL67" s="45"/>
      <c r="AM67" s="45"/>
      <c r="AN67" s="45"/>
      <c r="AO67" s="45"/>
      <c r="AR67" s="6"/>
      <c r="AT67" s="5"/>
      <c r="AU67" s="5"/>
      <c r="AV67" s="5"/>
      <c r="AX67" s="5"/>
      <c r="AY67" s="5"/>
      <c r="AZ67" s="5"/>
      <c r="BC67" s="17"/>
    </row>
    <row r="68" spans="15:55" ht="22.8" x14ac:dyDescent="0.4">
      <c r="O68" s="43"/>
      <c r="P68" s="44"/>
      <c r="X68" s="21"/>
      <c r="Y68" s="21"/>
      <c r="Z68" s="21"/>
      <c r="AA68" s="21"/>
      <c r="AB68" s="21"/>
      <c r="AE68" s="45"/>
      <c r="AF68" s="208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15:55" ht="22.8" x14ac:dyDescent="0.4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15:55" ht="22.8" x14ac:dyDescent="0.4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15:55" ht="22.8" x14ac:dyDescent="0.4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15:55" x14ac:dyDescent="0.3">
      <c r="O72" s="43"/>
      <c r="P72" s="44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15:55" x14ac:dyDescent="0.3">
      <c r="O73" s="43"/>
      <c r="P73" s="44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15:55" x14ac:dyDescent="0.3">
      <c r="O74" s="43"/>
      <c r="P74" s="44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15:55" x14ac:dyDescent="0.3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15:55" x14ac:dyDescent="0.3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15:55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</row>
    <row r="78" spans="15:55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</row>
    <row r="79" spans="15:55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15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44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</row>
    <row r="82" spans="22:44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</row>
    <row r="83" spans="22:44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44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44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44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44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44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44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44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44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44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44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44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44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44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31:44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31:44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31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31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31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31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31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31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31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31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31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31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31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31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31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31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2001-10-26T20:27:03Z</cp:lastPrinted>
  <dcterms:created xsi:type="dcterms:W3CDTF">1997-07-25T21:20:20Z</dcterms:created>
  <dcterms:modified xsi:type="dcterms:W3CDTF">2023-09-10T16:05:27Z</dcterms:modified>
</cp:coreProperties>
</file>