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092" windowWidth="9720" windowHeight="73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<sst xmlns="http://schemas.openxmlformats.org/spreadsheetml/2006/main" count="429" uniqueCount="148">
  <si>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</si>
  <si>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</si>
  <si>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</si>
  <si>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</si>
  <si>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</si>
  <si>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</si>
  <si>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</si>
  <si>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</si>
  <si>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</si>
  <si>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</si>
  <si>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</si>
  <si>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</si>
  <si>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</si>
  <si>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</si>
  <si>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</si>
  <si>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</si>
  <si>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</si>
  <si>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</si>
  <si>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</si>
  <si>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</si>
  <si>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</si>
  <si>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COMPANY NUMBER</t>
  </si>
  <si>
    <t xml:space="preserve">OFFICE NUMBER/FIELD LOCATION </t>
  </si>
  <si>
    <t>PHONE NUMBER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</si>
  <si>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</si>
  <si>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</si>
  <si>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</si>
  <si>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</si>
  <si>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</si>
  <si>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</si>
  <si>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</si>
  <si>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</si>
  <si>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</si>
  <si>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</si>
  <si>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</si>
  <si>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</si>
  <si>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</si>
  <si>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</si>
  <si>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</si>
  <si>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</si>
  <si>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</si>
  <si>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</si>
  <si>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</si>
  <si>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</si>
  <si>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</si>
  <si>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</si>
  <si>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</si>
  <si>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</si>
  <si>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</si>
  <si>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</si>
  <si>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</si>
  <si>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</si>
  <si>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</si>
  <si>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</si>
  <si>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</si>
  <si>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</si>
  <si>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</si>
  <si>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</si>
  <si>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</si>
  <si>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</si>
  <si>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</si>
  <si>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</si>
  <si>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</si>
  <si>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</si>
  <si>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</si>
  <si>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</si>
  <si>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</si>
  <si>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</si>
  <si>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</si>
  <si>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</si>
  <si>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</si>
  <si>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</si>
  <si>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</si>
  <si>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</si>
  <si>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</si>
  <si>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</si>
  <si>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</si>
  <si>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</si>
  <si>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</si>
  <si>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</si>
  <si>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</si>
  <si>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</si>
  <si>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</si>
  <si>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</si>
  <si>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</si>
  <si>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</si>
  <si>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</si>
  <si>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</si>
  <si>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</si>
  <si>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</si>
  <si>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</si>
  <si>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</si>
  <si>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</si>
  <si>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</si>
  <si>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</si>
  <si>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</si>
  <si>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</si>
  <si>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</si>
  <si>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</si>
  <si>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</si>
  <si>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</si>
  <si>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</si>
  <si>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</si>
  <si>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</si>
  <si>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</si>
  <si>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</si>
  <si>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</si>
  <si>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</si>
  <si>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</si>
  <si>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</si>
  <si>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</si>
  <si>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</si>
  <si>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</si>
  <si>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</si>
  <si>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012100</t>
  </si>
  <si>
    <t>Schwarz</t>
  </si>
  <si>
    <t>Stephen, P.</t>
  </si>
  <si>
    <t>Director</t>
  </si>
  <si>
    <t>489-58-6182</t>
  </si>
  <si>
    <t>413</t>
  </si>
  <si>
    <t>EB2530</t>
  </si>
  <si>
    <t>713-853-3179</t>
  </si>
  <si>
    <t>L</t>
  </si>
  <si>
    <t>Michaelangelo's - Business Planning</t>
  </si>
  <si>
    <t>Lisa Cousino, Stephen Schwarz</t>
  </si>
  <si>
    <t>9210</t>
  </si>
  <si>
    <t>999</t>
  </si>
  <si>
    <t>054</t>
  </si>
  <si>
    <t>0847</t>
  </si>
  <si>
    <t>Continental Airlines - Airfare to Calgary for Unify Testing and Pre-Production Work</t>
  </si>
  <si>
    <t>P</t>
  </si>
  <si>
    <t>Red Devil Restaurant (Calgary)</t>
  </si>
  <si>
    <t>D</t>
  </si>
  <si>
    <t>Eau Claire Market Joeys (Calgary)</t>
  </si>
  <si>
    <t>Cab Fare from Airport to Sheraton Suites Calgary</t>
  </si>
  <si>
    <t>C</t>
  </si>
  <si>
    <t>Cab Fare to/from Dinner</t>
  </si>
  <si>
    <t>Cab Fare from Sheraton Suites Calgary to Airport</t>
  </si>
  <si>
    <t>Parking at Intercontinental Airport</t>
  </si>
  <si>
    <t>PC</t>
  </si>
  <si>
    <t>1/11-1/14/00</t>
  </si>
  <si>
    <t>1/11&amp;1/14/00</t>
  </si>
  <si>
    <t>Mileage to/from Intercontinental Airport</t>
  </si>
  <si>
    <t>Sheraton Suites Calgary</t>
  </si>
  <si>
    <t>061</t>
  </si>
  <si>
    <t>2728</t>
  </si>
  <si>
    <t>Dorothy Ricketts, Elwanda Bennett,</t>
  </si>
  <si>
    <t>Ken Harmon, Stephen Schwarz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</si>
</sst>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243840</xdr:colOff>
          <xdr:row>3</xdr:row>
          <xdr:rowOff>91440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47928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479280" y="1150620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85444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5414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211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15100" y="1180338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459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459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34212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67156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9506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7166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7166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4682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4652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12114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1510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74598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74598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33450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66394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18744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ColWidth="9.109375" defaultRowHeight="17.25" customHeight="1" x14ac:dyDescent="0.25"/>
  <cols>
    <col min="1" max="1" width="13.33203125" style="360" customWidth="1"/>
    <col min="2" max="2" width="5.88671875" style="360" customWidth="1"/>
    <col min="3" max="3" width="11.6640625" style="360" customWidth="1"/>
    <col min="4" max="4" width="8" style="360" customWidth="1"/>
    <col min="5" max="5" width="6.88671875" style="360" customWidth="1"/>
    <col min="6" max="6" width="7.5546875" style="360" customWidth="1"/>
    <col min="7" max="7" width="10.109375" style="360" customWidth="1"/>
    <col min="8" max="8" width="10.5546875" style="360" customWidth="1"/>
    <col min="9" max="9" width="9.88671875" style="360" customWidth="1"/>
    <col min="10" max="10" width="7.6640625" style="360" customWidth="1"/>
    <col min="11" max="16384" width="9.109375" style="360"/>
  </cols>
  <sheetData>
    <row r="1" spans="1:10" ht="14.25" customHeight="1" x14ac:dyDescent="0.3">
      <c r="B1" s="357" t="s">
        <v>0</v>
      </c>
    </row>
    <row r="2" spans="1:10" ht="22.5" customHeight="1" x14ac:dyDescent="0.25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37.6</v>
      </c>
      <c r="B3" s="367" t="str">
        <f>'Short Form'!A29</f>
        <v>413</v>
      </c>
      <c r="C3" s="367" t="str">
        <f>'Short Form'!B29</f>
        <v>9210</v>
      </c>
      <c r="D3" s="367" t="str">
        <f>'Short Form'!D29</f>
        <v>999</v>
      </c>
      <c r="E3" s="367" t="str">
        <f>'Short Form'!E29</f>
        <v>054</v>
      </c>
      <c r="F3" s="367" t="str">
        <f>'Short Form'!F29</f>
        <v>0847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0</v>
      </c>
      <c r="B4" s="368">
        <f>'Short Form'!A43</f>
        <v>0</v>
      </c>
      <c r="C4" s="368">
        <f>'Short Form'!B43</f>
        <v>0</v>
      </c>
      <c r="D4" s="368">
        <f>'Short Form'!D43</f>
        <v>0</v>
      </c>
      <c r="E4" s="368">
        <f>'Short Form'!E43</f>
        <v>0</v>
      </c>
      <c r="F4" s="368">
        <f>'Short Form'!F43</f>
        <v>0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2462.66</v>
      </c>
      <c r="B5" s="369" t="str">
        <f>'Travel Form'!B49</f>
        <v>413</v>
      </c>
      <c r="C5" s="369" t="str">
        <f>'Travel Form'!C49</f>
        <v>9210</v>
      </c>
      <c r="D5" s="369" t="str">
        <f>'Travel Form'!E49</f>
        <v>999</v>
      </c>
      <c r="E5" s="369" t="str">
        <f>'Travel Form'!F49</f>
        <v>061</v>
      </c>
      <c r="F5" s="369" t="str">
        <f>'Travel Form'!G49</f>
        <v>2728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3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232.47</v>
      </c>
      <c r="B11" s="368" t="str">
        <f>'Meals and Ent Sup'!B49</f>
        <v>413</v>
      </c>
      <c r="C11" s="368" t="str">
        <f>'Meals and Ent Sup'!C49</f>
        <v>9210</v>
      </c>
      <c r="D11" s="368" t="str">
        <f>'Meals and Ent Sup'!E49</f>
        <v>999</v>
      </c>
      <c r="E11" s="368" t="str">
        <f>'Meals and Ent Sup'!F49</f>
        <v>061</v>
      </c>
      <c r="F11" s="368" t="str">
        <f>'Meals and Ent Sup'!G49</f>
        <v>2728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 t="str">
        <f>'Meals and Ent Sup'!C49</f>
        <v>9210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>
        <f>'Meals and Ent Sup'!C50</f>
        <v>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2732.73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5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1"/>
  <sheetViews>
    <sheetView showGridLines="0" showZeros="0" tabSelected="1" zoomScale="80" workbookViewId="0">
      <selection activeCell="A6" sqref="A6"/>
    </sheetView>
  </sheetViews>
  <sheetFormatPr defaultColWidth="0" defaultRowHeight="15" zeroHeight="1" x14ac:dyDescent="0.25"/>
  <cols>
    <col min="1" max="1" width="9.5546875" style="1" customWidth="1"/>
    <col min="2" max="2" width="8.109375" style="1" customWidth="1"/>
    <col min="3" max="3" width="9" style="1" customWidth="1"/>
    <col min="4" max="4" width="9.88671875" style="1" customWidth="1"/>
    <col min="5" max="5" width="10.5546875" style="1" customWidth="1"/>
    <col min="6" max="6" width="9.109375" style="1" customWidth="1"/>
    <col min="7" max="7" width="10.88671875" style="1" customWidth="1"/>
    <col min="8" max="8" width="13.6640625" style="1" customWidth="1"/>
    <col min="9" max="9" width="13.88671875" style="1" customWidth="1"/>
    <col min="10" max="10" width="13.10937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4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 t="s">
        <v>114</v>
      </c>
      <c r="P2" s="319">
        <f ca="1">TODAY()</f>
        <v>36549</v>
      </c>
    </row>
    <row r="3" spans="1:64" ht="20.25" customHeight="1" x14ac:dyDescent="0.4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3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5">
      <c r="A6" s="364" t="s">
        <v>115</v>
      </c>
      <c r="B6" s="123"/>
      <c r="C6" s="123"/>
      <c r="D6"/>
      <c r="E6" s="365" t="s">
        <v>116</v>
      </c>
      <c r="F6" s="123"/>
      <c r="G6" s="123"/>
      <c r="H6" s="181" t="s">
        <v>117</v>
      </c>
      <c r="I6" s="123"/>
      <c r="J6" s="183"/>
      <c r="K6" s="116" t="s">
        <v>118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3">
      <c r="A7" s="33" t="s">
        <v>21</v>
      </c>
      <c r="B7" s="31"/>
      <c r="C7" s="31"/>
      <c r="D7" s="32"/>
      <c r="E7" s="114" t="s">
        <v>22</v>
      </c>
      <c r="F7" s="34"/>
      <c r="G7" s="31"/>
      <c r="H7" s="30"/>
      <c r="I7" s="27"/>
      <c r="J7" s="26"/>
      <c r="K7" s="113" t="s">
        <v>23</v>
      </c>
      <c r="L7" s="22"/>
      <c r="M7" s="23"/>
      <c r="N7" s="24"/>
    </row>
    <row r="8" spans="1:64" s="3" customFormat="1" ht="17.25" customHeight="1" x14ac:dyDescent="0.25">
      <c r="A8" s="364" t="s">
        <v>119</v>
      </c>
      <c r="B8" s="366"/>
      <c r="C8" s="366"/>
      <c r="D8" s="180"/>
      <c r="E8" s="201" t="s">
        <v>120</v>
      </c>
      <c r="F8" s="179"/>
      <c r="G8" s="202"/>
      <c r="H8" s="179"/>
      <c r="I8" s="179"/>
      <c r="J8" s="200"/>
      <c r="K8" s="330" t="s">
        <v>121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97" t="s">
        <v>24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5">
      <c r="A11" s="203" t="s">
        <v>25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5">
      <c r="A13" s="256" t="s">
        <v>26</v>
      </c>
      <c r="B13" s="268" t="s">
        <v>27</v>
      </c>
      <c r="C13" s="269"/>
      <c r="D13" s="269" t="s">
        <v>28</v>
      </c>
      <c r="E13" s="269"/>
      <c r="F13" s="269"/>
      <c r="G13" s="270"/>
      <c r="H13" s="272" t="s">
        <v>29</v>
      </c>
      <c r="I13" s="272"/>
      <c r="J13" s="272"/>
      <c r="K13" s="270"/>
      <c r="L13" s="256" t="s">
        <v>30</v>
      </c>
      <c r="M13" s="256" t="s">
        <v>31</v>
      </c>
      <c r="N13" s="256" t="s">
        <v>32</v>
      </c>
    </row>
    <row r="14" spans="1:64" s="4" customFormat="1" ht="24" customHeight="1" x14ac:dyDescent="0.3">
      <c r="A14" s="152">
        <v>36515</v>
      </c>
      <c r="B14" s="152" t="s">
        <v>122</v>
      </c>
      <c r="C14" s="128" t="s">
        <v>123</v>
      </c>
      <c r="D14" s="162"/>
      <c r="E14" s="162"/>
      <c r="F14" s="163"/>
      <c r="G14" s="164"/>
      <c r="H14" s="207" t="s">
        <v>124</v>
      </c>
      <c r="I14" s="320"/>
      <c r="J14" s="321"/>
      <c r="K14" s="321"/>
      <c r="L14" s="314">
        <v>37.6</v>
      </c>
      <c r="M14" s="206"/>
      <c r="N14" s="199">
        <f>IF(M14=" ",L14*1,L14*M14)</f>
        <v>37.6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3">
      <c r="A15" s="153"/>
      <c r="B15" s="137"/>
      <c r="C15" s="128"/>
      <c r="D15" s="162"/>
      <c r="E15" s="162"/>
      <c r="F15" s="163"/>
      <c r="G15" s="164"/>
      <c r="H15" s="325"/>
      <c r="I15" s="322"/>
      <c r="J15" s="323"/>
      <c r="K15" s="323"/>
      <c r="L15" s="314"/>
      <c r="M15" s="206"/>
      <c r="N15" s="199">
        <f>IF(M15=" ",L15*1,L15*M15)</f>
        <v>0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3">
      <c r="A16" s="153"/>
      <c r="B16" s="137"/>
      <c r="C16" s="128"/>
      <c r="D16" s="162"/>
      <c r="E16" s="162"/>
      <c r="F16" s="163"/>
      <c r="G16" s="164"/>
      <c r="H16" s="325"/>
      <c r="I16" s="322"/>
      <c r="J16" s="323"/>
      <c r="K16" s="323"/>
      <c r="L16" s="314"/>
      <c r="M16" s="206"/>
      <c r="N16" s="199">
        <f t="shared" ref="N16:N26" si="0">IF(M16=" ",L16*1,L16*M16)</f>
        <v>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3">
      <c r="A17" s="153"/>
      <c r="B17" s="137"/>
      <c r="C17" s="128"/>
      <c r="D17" s="162"/>
      <c r="E17" s="162"/>
      <c r="F17" s="163"/>
      <c r="G17" s="164"/>
      <c r="H17" s="325"/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3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3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3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3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3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3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3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3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3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5">
      <c r="A27" s="359" t="s">
        <v>33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34</v>
      </c>
      <c r="M27" s="241"/>
      <c r="N27" s="132">
        <f>SUM(N14:N26)</f>
        <v>37.6</v>
      </c>
    </row>
    <row r="28" spans="1:64" ht="24" customHeight="1" x14ac:dyDescent="0.25">
      <c r="A28" s="299" t="s">
        <v>2</v>
      </c>
      <c r="B28" s="300" t="s">
        <v>35</v>
      </c>
      <c r="C28" s="299"/>
      <c r="D28" s="300" t="s">
        <v>4</v>
      </c>
      <c r="E28" s="300" t="s">
        <v>36</v>
      </c>
      <c r="F28" s="299" t="s">
        <v>6</v>
      </c>
      <c r="G28" s="300" t="s">
        <v>7</v>
      </c>
      <c r="H28" s="300" t="s">
        <v>8</v>
      </c>
      <c r="I28" s="300" t="s">
        <v>37</v>
      </c>
      <c r="J28" s="300" t="s">
        <v>38</v>
      </c>
      <c r="K28" s="68"/>
      <c r="L28" s="289" t="s">
        <v>39</v>
      </c>
      <c r="M28" s="241"/>
      <c r="N28" s="273">
        <f>'Meals and Ent Sup'!N55+'Meals and Ent Sup (2)'!N55</f>
        <v>232.47</v>
      </c>
    </row>
    <row r="29" spans="1:64" ht="24" customHeight="1" x14ac:dyDescent="0.25">
      <c r="A29" s="197" t="s">
        <v>119</v>
      </c>
      <c r="B29" s="306" t="s">
        <v>125</v>
      </c>
      <c r="C29" s="307"/>
      <c r="D29" s="139" t="s">
        <v>126</v>
      </c>
      <c r="E29" s="139" t="s">
        <v>127</v>
      </c>
      <c r="F29" s="139" t="s">
        <v>128</v>
      </c>
      <c r="G29" s="140"/>
      <c r="H29" s="138"/>
      <c r="I29" s="139"/>
      <c r="J29" s="142"/>
      <c r="K29" s="66"/>
      <c r="L29" s="241" t="s">
        <v>40</v>
      </c>
      <c r="M29" s="241"/>
      <c r="N29" s="191">
        <f>SUM(N27:N28)</f>
        <v>270.07</v>
      </c>
    </row>
    <row r="30" spans="1:64" ht="21.75" customHeight="1" x14ac:dyDescent="0.3">
      <c r="A30" s="204" t="s">
        <v>41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5">
      <c r="A32" s="268" t="s">
        <v>26</v>
      </c>
      <c r="B32" s="269"/>
      <c r="C32" s="269"/>
      <c r="D32" s="269"/>
      <c r="E32" s="269"/>
      <c r="F32" s="269" t="s">
        <v>42</v>
      </c>
      <c r="G32" s="269"/>
      <c r="H32" s="269"/>
      <c r="I32" s="269"/>
      <c r="J32" s="269"/>
      <c r="K32" s="270"/>
      <c r="L32" s="256" t="s">
        <v>30</v>
      </c>
      <c r="M32" s="256" t="s">
        <v>31</v>
      </c>
      <c r="N32" s="256" t="s">
        <v>32</v>
      </c>
    </row>
    <row r="33" spans="1:64" s="4" customFormat="1" ht="24" customHeight="1" x14ac:dyDescent="0.3">
      <c r="A33" s="153"/>
      <c r="B33" s="131"/>
      <c r="C33" s="162"/>
      <c r="D33" s="162"/>
      <c r="E33" s="162"/>
      <c r="F33" s="162"/>
      <c r="G33" s="162"/>
      <c r="H33" s="162"/>
      <c r="I33" s="162"/>
      <c r="J33" s="162"/>
      <c r="K33" s="162"/>
      <c r="L33" s="314"/>
      <c r="M33" s="206"/>
      <c r="N33" s="199">
        <f t="shared" ref="N33:N40" si="1">IF(M33=" ",L33*1,L33*M33)</f>
        <v>0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3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3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3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3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3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3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3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5">
      <c r="A41" s="359" t="s">
        <v>33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43</v>
      </c>
      <c r="M41" s="272"/>
      <c r="N41" s="132">
        <f>SUM(N33:N40)</f>
        <v>0</v>
      </c>
    </row>
    <row r="42" spans="1:64" ht="24" customHeight="1" x14ac:dyDescent="0.25">
      <c r="A42" s="299" t="s">
        <v>2</v>
      </c>
      <c r="B42" s="300" t="s">
        <v>35</v>
      </c>
      <c r="C42" s="299"/>
      <c r="D42" s="300" t="s">
        <v>4</v>
      </c>
      <c r="E42" s="300" t="s">
        <v>36</v>
      </c>
      <c r="F42" s="299" t="s">
        <v>6</v>
      </c>
      <c r="G42" s="300" t="s">
        <v>7</v>
      </c>
      <c r="H42" s="300" t="s">
        <v>8</v>
      </c>
      <c r="I42" s="300" t="s">
        <v>37</v>
      </c>
      <c r="J42" s="300" t="s">
        <v>38</v>
      </c>
      <c r="K42" s="68"/>
      <c r="L42" s="289" t="s">
        <v>44</v>
      </c>
      <c r="M42" s="241"/>
      <c r="N42" s="240">
        <f>'Misc. Exp. Sup'!O55+'Misc. Exp. Sup (2)'!O55</f>
        <v>0</v>
      </c>
    </row>
    <row r="43" spans="1:64" ht="24" customHeight="1" x14ac:dyDescent="0.25">
      <c r="A43" s="138"/>
      <c r="B43" s="306"/>
      <c r="C43" s="307"/>
      <c r="D43" s="139"/>
      <c r="E43" s="139"/>
      <c r="F43" s="139"/>
      <c r="G43" s="140"/>
      <c r="H43" s="138"/>
      <c r="I43" s="139"/>
      <c r="J43" s="141"/>
      <c r="K43" s="124"/>
      <c r="L43" s="241" t="s">
        <v>45</v>
      </c>
      <c r="M43" s="241"/>
      <c r="N43" s="191">
        <f>SUM(N41:N42)</f>
        <v>0</v>
      </c>
    </row>
    <row r="44" spans="1:64" ht="17.100000000000001" customHeight="1" x14ac:dyDescent="0.25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5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5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94" t="s">
        <v>46</v>
      </c>
      <c r="B48" s="46"/>
      <c r="C48" s="46"/>
      <c r="D48" s="46"/>
      <c r="E48" s="46"/>
      <c r="F48" s="46"/>
      <c r="G48" s="46"/>
      <c r="H48" s="46"/>
      <c r="I48" s="125"/>
      <c r="J48" s="242" t="s">
        <v>47</v>
      </c>
      <c r="K48" s="243"/>
      <c r="L48" s="243"/>
      <c r="M48" s="243"/>
      <c r="N48" s="224">
        <f>'Travel Form'!O55+'Travel Sup (2)'!O55</f>
        <v>2462.66</v>
      </c>
    </row>
    <row r="49" spans="1:64" ht="24" customHeight="1" x14ac:dyDescent="0.25">
      <c r="A49" s="255" t="s">
        <v>48</v>
      </c>
      <c r="B49" s="258"/>
      <c r="C49" s="256"/>
      <c r="D49" s="258"/>
      <c r="E49" s="258"/>
      <c r="F49" s="257"/>
      <c r="G49" s="259"/>
      <c r="H49" s="41"/>
      <c r="I49" s="67"/>
      <c r="J49" s="244" t="s">
        <v>49</v>
      </c>
      <c r="K49" s="245"/>
      <c r="L49" s="245"/>
      <c r="M49" s="245"/>
      <c r="N49" s="167">
        <f>N48+N43+N29</f>
        <v>2732.73</v>
      </c>
    </row>
    <row r="50" spans="1:64" ht="24" customHeight="1" x14ac:dyDescent="0.25">
      <c r="A50" s="256" t="s">
        <v>50</v>
      </c>
      <c r="B50" s="154"/>
      <c r="C50" s="268" t="s">
        <v>51</v>
      </c>
      <c r="D50" s="147"/>
      <c r="E50" s="268" t="s">
        <v>1</v>
      </c>
      <c r="F50" s="149"/>
      <c r="G50" s="144"/>
      <c r="H50" s="41"/>
      <c r="I50" s="41"/>
      <c r="J50" s="246" t="s">
        <v>52</v>
      </c>
      <c r="K50" s="247"/>
      <c r="L50" s="247"/>
      <c r="M50" s="247"/>
      <c r="N50" s="168">
        <f>F53</f>
        <v>0</v>
      </c>
    </row>
    <row r="51" spans="1:64" ht="24" customHeight="1" x14ac:dyDescent="0.3">
      <c r="A51" s="256" t="s">
        <v>50</v>
      </c>
      <c r="B51" s="154"/>
      <c r="C51" s="268" t="s">
        <v>51</v>
      </c>
      <c r="D51" s="148"/>
      <c r="E51" s="268" t="s">
        <v>1</v>
      </c>
      <c r="F51" s="149"/>
      <c r="G51" s="144"/>
      <c r="H51" s="41"/>
      <c r="I51" s="41"/>
      <c r="J51" s="248" t="s">
        <v>53</v>
      </c>
      <c r="K51" s="249"/>
      <c r="L51" s="250" t="str">
        <f>IF($N$49-$N$50&lt;0,"X","  ")</f>
        <v xml:space="preserve">  </v>
      </c>
      <c r="M51" s="249" t="s">
        <v>54</v>
      </c>
      <c r="N51" s="134"/>
    </row>
    <row r="52" spans="1:64" ht="24" customHeight="1" x14ac:dyDescent="0.3">
      <c r="A52" s="256" t="s">
        <v>50</v>
      </c>
      <c r="B52" s="154"/>
      <c r="C52" s="268" t="s">
        <v>51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55</v>
      </c>
      <c r="N52" s="146">
        <f>ABS(N49-N50)</f>
        <v>2732.73</v>
      </c>
    </row>
    <row r="53" spans="1:64" ht="24" customHeight="1" x14ac:dyDescent="0.25">
      <c r="A53" s="257"/>
      <c r="B53" s="257"/>
      <c r="C53" s="257"/>
      <c r="D53" s="260" t="s">
        <v>56</v>
      </c>
      <c r="E53" s="256"/>
      <c r="F53" s="169">
        <f>SUM(F50:F52)</f>
        <v>0</v>
      </c>
      <c r="G53" s="145"/>
      <c r="H53" s="41"/>
      <c r="I53" s="41"/>
      <c r="J53" s="254" t="s">
        <v>57</v>
      </c>
      <c r="K53" s="251"/>
      <c r="L53" s="251"/>
      <c r="M53" s="251"/>
      <c r="N53" s="135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261" t="s">
        <v>58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5">
      <c r="A56" s="205" t="s">
        <v>59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60</v>
      </c>
      <c r="B57" s="45"/>
      <c r="C57" s="45"/>
      <c r="D57" s="45"/>
      <c r="E57" s="46"/>
      <c r="F57" s="47" t="s">
        <v>50</v>
      </c>
      <c r="G57" s="48" t="s">
        <v>61</v>
      </c>
      <c r="H57" s="45"/>
      <c r="I57" s="45"/>
      <c r="J57" s="49"/>
      <c r="K57" s="50" t="s">
        <v>50</v>
      </c>
      <c r="L57" s="51" t="s">
        <v>61</v>
      </c>
      <c r="M57" s="52"/>
      <c r="N57" s="53" t="s">
        <v>50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356" t="s">
        <v>62</v>
      </c>
      <c r="B59" s="31"/>
      <c r="C59" s="31"/>
      <c r="D59" s="31"/>
      <c r="E59" s="46"/>
      <c r="F59" s="47"/>
      <c r="G59" s="33" t="s">
        <v>63</v>
      </c>
      <c r="H59" s="31"/>
      <c r="I59" s="31"/>
      <c r="J59" s="49"/>
      <c r="K59" s="187"/>
      <c r="L59" s="33" t="s">
        <v>63</v>
      </c>
      <c r="M59" s="52"/>
      <c r="N59" s="188"/>
    </row>
    <row r="60" spans="1:64" ht="25.5" customHeight="1" x14ac:dyDescent="0.25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5">
      <c r="A61" s="41" t="s">
        <v>64</v>
      </c>
      <c r="B61" s="72" t="s">
        <v>65</v>
      </c>
      <c r="C61" s="41" t="s">
        <v>66</v>
      </c>
      <c r="D61" s="41" t="s">
        <v>67</v>
      </c>
      <c r="E61" s="72" t="s">
        <v>68</v>
      </c>
      <c r="F61" s="41" t="s">
        <v>69</v>
      </c>
      <c r="G61" s="41" t="s">
        <v>70</v>
      </c>
      <c r="H61" s="41" t="s">
        <v>71</v>
      </c>
      <c r="I61" s="41" t="s">
        <v>72</v>
      </c>
      <c r="J61" s="41" t="s">
        <v>73</v>
      </c>
      <c r="K61" s="41" t="s">
        <v>74</v>
      </c>
      <c r="L61" s="41" t="s">
        <v>75</v>
      </c>
      <c r="M61" s="41" t="s">
        <v>76</v>
      </c>
      <c r="N61" s="41" t="s">
        <v>77</v>
      </c>
    </row>
    <row r="62" spans="1:64" s="3" customFormat="1" ht="21" hidden="1" customHeight="1" x14ac:dyDescent="0.25">
      <c r="A62" s="112" t="str">
        <f>IF(ISBLANK($A$6),TRIM(" "),$A$6)</f>
        <v>Schwarz</v>
      </c>
      <c r="B62" s="295" t="str">
        <f>IF(ISBLANK($E$6),TRIM(" "),$E$6)</f>
        <v>Stephen, P.</v>
      </c>
      <c r="C62" s="374" t="str">
        <f>TEXT(IF(ISBLANK($N$2),"      ",$N$2),"000000")</f>
        <v>012100</v>
      </c>
      <c r="D62" s="112" t="str">
        <f>TEXT($K$6,"###-##-####")</f>
        <v>489-58-6182</v>
      </c>
      <c r="E62" s="296" t="str">
        <f>TEXT($N$52,"######0.00")</f>
        <v>2732.73</v>
      </c>
      <c r="F62" s="358" t="s">
        <v>78</v>
      </c>
      <c r="G62" s="358" t="s">
        <v>79</v>
      </c>
      <c r="H62" s="112" t="str">
        <f>TEXT(IF(COUNTA('Travel Form'!$A$12:$N$40) = 0,0,1),"0")</f>
        <v>1</v>
      </c>
      <c r="I62" s="112" t="str">
        <f>TEXT(IF(COUNTA('Meals and Ent Sup'!$A$10:$M$40,'Meals and Ent Sup'!$A$49:$K$54) = 0,0,1),"0")</f>
        <v>1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413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5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5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</sheetData>
  <sheetProtection password="BA39" sheet="1" objects="1" scenarios="1"/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243840</xdr:colOff>
                <xdr:row>3</xdr:row>
                <xdr:rowOff>91440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M19" sqref="M19"/>
    </sheetView>
  </sheetViews>
  <sheetFormatPr defaultColWidth="0" defaultRowHeight="15.6" zeroHeight="1" x14ac:dyDescent="0.3"/>
  <cols>
    <col min="1" max="1" width="6.44140625" style="11" customWidth="1"/>
    <col min="2" max="2" width="9.664062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81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>
        <f>IF(VALUE('Short Form'!H62)&lt;&gt;0,2,"")</f>
        <v>2</v>
      </c>
      <c r="O2" s="32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 t="s">
        <v>78</v>
      </c>
      <c r="B12" s="155">
        <v>36536</v>
      </c>
      <c r="C12" s="143" t="s">
        <v>129</v>
      </c>
      <c r="D12" s="173"/>
      <c r="E12" s="173"/>
      <c r="F12" s="173"/>
      <c r="G12" s="174"/>
      <c r="H12" s="173"/>
      <c r="I12" s="175"/>
      <c r="J12" s="173"/>
      <c r="K12" s="173"/>
      <c r="L12" s="308" t="s">
        <v>130</v>
      </c>
      <c r="M12" s="315">
        <v>1861.43</v>
      </c>
      <c r="N12" s="313"/>
      <c r="O12" s="199">
        <f t="shared" ref="O12:O27" si="0">IF(N12=" ",M12*1,M12*N12)</f>
        <v>1861.43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 t="s">
        <v>78</v>
      </c>
      <c r="B13" s="155">
        <v>36537</v>
      </c>
      <c r="C13" s="126" t="s">
        <v>134</v>
      </c>
      <c r="D13" s="173"/>
      <c r="E13" s="173"/>
      <c r="F13" s="173"/>
      <c r="G13" s="174"/>
      <c r="H13" s="173"/>
      <c r="I13" s="173"/>
      <c r="J13" s="173"/>
      <c r="K13" s="173"/>
      <c r="L13" s="308" t="s">
        <v>135</v>
      </c>
      <c r="M13" s="315">
        <v>18.52</v>
      </c>
      <c r="N13" s="313"/>
      <c r="O13" s="199">
        <f t="shared" si="0"/>
        <v>18.52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 t="s">
        <v>78</v>
      </c>
      <c r="B14" s="155">
        <v>36538</v>
      </c>
      <c r="C14" s="126" t="s">
        <v>136</v>
      </c>
      <c r="D14" s="173"/>
      <c r="E14" s="173"/>
      <c r="F14" s="173"/>
      <c r="G14" s="174"/>
      <c r="H14" s="173"/>
      <c r="I14" s="173"/>
      <c r="J14" s="173"/>
      <c r="K14" s="173"/>
      <c r="L14" s="308" t="s">
        <v>135</v>
      </c>
      <c r="M14" s="315">
        <v>13.07</v>
      </c>
      <c r="N14" s="313"/>
      <c r="O14" s="199">
        <f t="shared" si="0"/>
        <v>13.07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 t="s">
        <v>78</v>
      </c>
      <c r="B15" s="155">
        <v>36539</v>
      </c>
      <c r="C15" s="126" t="s">
        <v>137</v>
      </c>
      <c r="D15" s="173"/>
      <c r="E15" s="173"/>
      <c r="F15" s="173"/>
      <c r="G15" s="174"/>
      <c r="H15" s="173"/>
      <c r="I15" s="173"/>
      <c r="J15" s="173"/>
      <c r="K15" s="173"/>
      <c r="L15" s="308" t="s">
        <v>135</v>
      </c>
      <c r="M15" s="315">
        <v>22.75</v>
      </c>
      <c r="N15" s="313"/>
      <c r="O15" s="199">
        <f t="shared" si="0"/>
        <v>22.75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 t="s">
        <v>78</v>
      </c>
      <c r="B16" s="155" t="s">
        <v>140</v>
      </c>
      <c r="C16" s="126" t="s">
        <v>138</v>
      </c>
      <c r="D16" s="173"/>
      <c r="E16" s="173"/>
      <c r="F16" s="173"/>
      <c r="G16" s="174"/>
      <c r="H16" s="173"/>
      <c r="I16" s="173"/>
      <c r="J16" s="173"/>
      <c r="K16" s="173"/>
      <c r="L16" s="308" t="s">
        <v>139</v>
      </c>
      <c r="M16" s="315">
        <v>30</v>
      </c>
      <c r="N16" s="313"/>
      <c r="O16" s="199">
        <f t="shared" si="0"/>
        <v>30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 t="s">
        <v>78</v>
      </c>
      <c r="B17" s="155" t="s">
        <v>141</v>
      </c>
      <c r="C17" s="126" t="s">
        <v>142</v>
      </c>
      <c r="D17" s="173"/>
      <c r="E17" s="173"/>
      <c r="F17" s="173"/>
      <c r="G17" s="174"/>
      <c r="H17" s="173"/>
      <c r="I17" s="173"/>
      <c r="J17" s="173"/>
      <c r="K17" s="173"/>
      <c r="L17" s="308" t="s">
        <v>139</v>
      </c>
      <c r="M17" s="315">
        <v>60</v>
      </c>
      <c r="N17" s="313">
        <v>0.32500000000000001</v>
      </c>
      <c r="O17" s="199">
        <f t="shared" si="0"/>
        <v>19.5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 t="s">
        <v>78</v>
      </c>
      <c r="B18" s="155" t="s">
        <v>140</v>
      </c>
      <c r="C18" s="126" t="s">
        <v>143</v>
      </c>
      <c r="D18" s="173"/>
      <c r="E18" s="208"/>
      <c r="F18" s="173"/>
      <c r="G18" s="174"/>
      <c r="H18" s="173"/>
      <c r="I18" s="173"/>
      <c r="J18" s="173"/>
      <c r="K18" s="173"/>
      <c r="L18" s="308"/>
      <c r="M18" s="315">
        <v>497.39</v>
      </c>
      <c r="N18" s="313"/>
      <c r="O18" s="199">
        <f t="shared" si="0"/>
        <v>497.39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2462.66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 t="s">
        <v>78</v>
      </c>
      <c r="B49" s="195" t="s">
        <v>119</v>
      </c>
      <c r="C49" s="311" t="s">
        <v>125</v>
      </c>
      <c r="D49" s="312"/>
      <c r="E49" s="195" t="s">
        <v>126</v>
      </c>
      <c r="F49" s="195" t="s">
        <v>144</v>
      </c>
      <c r="G49" s="195" t="s">
        <v>145</v>
      </c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2462.66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2462.66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L18" sqref="L18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104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>
        <f>IF((VALUE('Short Form'!I62)&lt;&gt;0),1+VALUE('Short Form'!H62)+VALUE('Short Form'!I62),"")</f>
        <v>3</v>
      </c>
      <c r="N2" s="329">
        <f>IF((M2=0),"",'Short Form'!N3)</f>
        <v>3</v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Schwarz</v>
      </c>
      <c r="B5" s="123"/>
      <c r="C5" s="123"/>
      <c r="D5" s="123"/>
      <c r="E5" s="305" t="str">
        <f>'Short Form'!E6</f>
        <v>Stephen, P.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489-58-6182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8" t="s">
        <v>78</v>
      </c>
      <c r="B10" s="153">
        <v>36537</v>
      </c>
      <c r="C10" s="137" t="s">
        <v>122</v>
      </c>
      <c r="D10" s="128" t="s">
        <v>131</v>
      </c>
      <c r="E10" s="162"/>
      <c r="F10" s="162"/>
      <c r="G10" s="163"/>
      <c r="H10" s="164"/>
      <c r="I10" s="129" t="s">
        <v>146</v>
      </c>
      <c r="J10" s="162"/>
      <c r="K10" s="162"/>
      <c r="L10" s="315">
        <v>38.229999999999997</v>
      </c>
      <c r="M10" s="309"/>
      <c r="N10" s="199">
        <f t="shared" ref="N10:N25" si="0">IF(M10=" ",L10*1,L10*M10)</f>
        <v>38.229999999999997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 t="s">
        <v>147</v>
      </c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8" t="s">
        <v>78</v>
      </c>
      <c r="B12" s="153">
        <v>36537</v>
      </c>
      <c r="C12" s="137" t="s">
        <v>132</v>
      </c>
      <c r="D12" s="128" t="s">
        <v>133</v>
      </c>
      <c r="E12" s="162"/>
      <c r="F12" s="162"/>
      <c r="G12" s="163"/>
      <c r="H12" s="164"/>
      <c r="I12" s="129" t="s">
        <v>146</v>
      </c>
      <c r="J12" s="162"/>
      <c r="K12" s="163"/>
      <c r="L12" s="315">
        <v>73.819999999999993</v>
      </c>
      <c r="M12" s="309"/>
      <c r="N12" s="199">
        <f t="shared" si="0"/>
        <v>73.819999999999993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 t="s">
        <v>147</v>
      </c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8" t="s">
        <v>78</v>
      </c>
      <c r="B14" s="153">
        <v>36538</v>
      </c>
      <c r="C14" s="137" t="s">
        <v>122</v>
      </c>
      <c r="D14" s="128" t="s">
        <v>131</v>
      </c>
      <c r="E14" s="162"/>
      <c r="F14" s="162"/>
      <c r="G14" s="163"/>
      <c r="H14" s="164"/>
      <c r="I14" s="129" t="s">
        <v>146</v>
      </c>
      <c r="J14" s="162"/>
      <c r="K14" s="163"/>
      <c r="L14" s="315">
        <v>47.37</v>
      </c>
      <c r="M14" s="309"/>
      <c r="N14" s="199">
        <f t="shared" si="0"/>
        <v>47.37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 t="s">
        <v>147</v>
      </c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8" t="s">
        <v>78</v>
      </c>
      <c r="B16" s="153">
        <v>36538</v>
      </c>
      <c r="C16" s="137" t="s">
        <v>132</v>
      </c>
      <c r="D16" s="128" t="s">
        <v>131</v>
      </c>
      <c r="E16" s="162"/>
      <c r="F16" s="162"/>
      <c r="G16" s="163"/>
      <c r="H16" s="164"/>
      <c r="I16" s="129" t="s">
        <v>146</v>
      </c>
      <c r="J16" s="162"/>
      <c r="K16" s="163"/>
      <c r="L16" s="315">
        <v>24.31</v>
      </c>
      <c r="M16" s="309"/>
      <c r="N16" s="199">
        <f t="shared" si="0"/>
        <v>24.31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 t="s">
        <v>147</v>
      </c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8" t="s">
        <v>78</v>
      </c>
      <c r="B18" s="153">
        <v>36539</v>
      </c>
      <c r="C18" s="137" t="s">
        <v>122</v>
      </c>
      <c r="D18" s="128" t="s">
        <v>131</v>
      </c>
      <c r="E18" s="162"/>
      <c r="F18" s="162"/>
      <c r="G18" s="163"/>
      <c r="H18" s="164"/>
      <c r="I18" s="129" t="s">
        <v>146</v>
      </c>
      <c r="J18" s="162"/>
      <c r="K18" s="163"/>
      <c r="L18" s="315">
        <v>48.74</v>
      </c>
      <c r="M18" s="309"/>
      <c r="N18" s="199">
        <f t="shared" si="0"/>
        <v>48.74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 t="s">
        <v>147</v>
      </c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232.47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 t="s">
        <v>78</v>
      </c>
      <c r="B49" s="197" t="s">
        <v>119</v>
      </c>
      <c r="C49" s="306" t="s">
        <v>125</v>
      </c>
      <c r="D49" s="307"/>
      <c r="E49" s="139" t="s">
        <v>126</v>
      </c>
      <c r="F49" s="139" t="s">
        <v>144</v>
      </c>
      <c r="G49" s="139" t="s">
        <v>145</v>
      </c>
      <c r="H49" s="140"/>
      <c r="I49" s="138"/>
      <c r="J49" s="139"/>
      <c r="K49" s="354"/>
      <c r="L49" s="344"/>
      <c r="M49" s="40"/>
      <c r="N49" s="176">
        <f>IF($L$49=" ",SUMIF($A$10:$A$40,A49,$N$10:$N$40),$K$41*$L$49)</f>
        <v>232.47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232.47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664062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109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9.554687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111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112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Schwarz</v>
      </c>
      <c r="B5" s="123"/>
      <c r="C5" s="123"/>
      <c r="D5" s="123"/>
      <c r="E5" s="305" t="str">
        <f>'Short Form'!E6</f>
        <v>Stephen, P.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489-58-6182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554687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113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2000-01-24T16:03:09Z</cp:lastPrinted>
  <dcterms:created xsi:type="dcterms:W3CDTF">1997-11-03T17:34:07Z</dcterms:created>
  <dcterms:modified xsi:type="dcterms:W3CDTF">2023-09-10T16:06:10Z</dcterms:modified>
</cp:coreProperties>
</file>