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88" yWindow="216" windowWidth="12120" windowHeight="9120" activeTab="1"/>
  </bookViews>
  <sheets>
    <sheet name="DWR Billing Determinants (3)" sheetId="8" r:id="rId1"/>
    <sheet name="Rate Increase Model" sheetId="1" r:id="rId2"/>
    <sheet name="DWR Billing Determinants (2)" sheetId="6" r:id="rId3"/>
    <sheet name="DWR Billing Determinants" sheetId="7" r:id="rId4"/>
  </sheets>
  <externalReferences>
    <externalReference r:id="rId5"/>
    <externalReference r:id="rId6"/>
  </externalReferences>
  <definedNames>
    <definedName name="_xlnm.Print_Area" localSheetId="3">'DWR Billing Determinants'!$A$1:$L$18</definedName>
    <definedName name="_xlnm.Print_Area" localSheetId="2">'DWR Billing Determinants (2)'!$A$1:$L$18</definedName>
    <definedName name="_xlnm.Print_Area" localSheetId="0">'DWR Billing Determinants (3)'!$A$1:$L$18</definedName>
    <definedName name="_xlnm.Print_Area" localSheetId="1">'Rate Increase Model'!$B$1:$J$37</definedName>
    <definedName name="_xlnm.Print_Titles" localSheetId="1">'Rate Increase Model'!$A:$A</definedName>
  </definedNames>
  <calcPr calcId="0" fullCalcOnLoad="1"/>
</workbook>
</file>

<file path=xl/calcChain.xml><?xml version="1.0" encoding="utf-8"?>
<calcChain xmlns="http://schemas.openxmlformats.org/spreadsheetml/2006/main">
  <c r="D7" i="7" l="1"/>
  <c r="G7" i="7"/>
  <c r="J7" i="7"/>
  <c r="K7" i="7"/>
  <c r="L7" i="7"/>
  <c r="D8" i="7"/>
  <c r="G8" i="7"/>
  <c r="J8" i="7"/>
  <c r="K8" i="7"/>
  <c r="L8" i="7"/>
  <c r="D9" i="7"/>
  <c r="G9" i="7"/>
  <c r="J9" i="7"/>
  <c r="K9" i="7"/>
  <c r="L9" i="7"/>
  <c r="D10" i="7"/>
  <c r="G10" i="7"/>
  <c r="J10" i="7"/>
  <c r="K10" i="7"/>
  <c r="L10" i="7"/>
  <c r="D11" i="7"/>
  <c r="G11" i="7"/>
  <c r="J11" i="7"/>
  <c r="K11" i="7"/>
  <c r="L11" i="7"/>
  <c r="D12" i="7"/>
  <c r="G12" i="7"/>
  <c r="J12" i="7"/>
  <c r="K12" i="7"/>
  <c r="L12" i="7"/>
  <c r="D13" i="7"/>
  <c r="G13" i="7"/>
  <c r="J13" i="7"/>
  <c r="K13" i="7"/>
  <c r="L13" i="7"/>
  <c r="D14" i="7"/>
  <c r="G14" i="7"/>
  <c r="J14" i="7"/>
  <c r="K14" i="7"/>
  <c r="L14" i="7"/>
  <c r="B15" i="7"/>
  <c r="C15" i="7"/>
  <c r="D15" i="7"/>
  <c r="G15" i="7"/>
  <c r="J15" i="7"/>
  <c r="K15" i="7"/>
  <c r="L15" i="7"/>
  <c r="B16" i="7"/>
  <c r="E16" i="7"/>
  <c r="H16" i="7"/>
  <c r="B17" i="7"/>
  <c r="D7" i="6"/>
  <c r="E7" i="6"/>
  <c r="G7" i="6"/>
  <c r="H7" i="6"/>
  <c r="J7" i="6"/>
  <c r="K7" i="6"/>
  <c r="L7" i="6"/>
  <c r="D8" i="6"/>
  <c r="E8" i="6"/>
  <c r="G8" i="6"/>
  <c r="H8" i="6"/>
  <c r="J8" i="6"/>
  <c r="K8" i="6"/>
  <c r="L8" i="6"/>
  <c r="D9" i="6"/>
  <c r="E9" i="6"/>
  <c r="G9" i="6"/>
  <c r="H9" i="6"/>
  <c r="J9" i="6"/>
  <c r="K9" i="6"/>
  <c r="L9" i="6"/>
  <c r="D10" i="6"/>
  <c r="E10" i="6"/>
  <c r="G10" i="6"/>
  <c r="H10" i="6"/>
  <c r="J10" i="6"/>
  <c r="K10" i="6"/>
  <c r="L10" i="6"/>
  <c r="D11" i="6"/>
  <c r="E11" i="6"/>
  <c r="G11" i="6"/>
  <c r="H11" i="6"/>
  <c r="J11" i="6"/>
  <c r="K11" i="6"/>
  <c r="L11" i="6"/>
  <c r="D12" i="6"/>
  <c r="E12" i="6"/>
  <c r="G12" i="6"/>
  <c r="H12" i="6"/>
  <c r="J12" i="6"/>
  <c r="K12" i="6"/>
  <c r="L12" i="6"/>
  <c r="D13" i="6"/>
  <c r="E13" i="6"/>
  <c r="G13" i="6"/>
  <c r="H13" i="6"/>
  <c r="J13" i="6"/>
  <c r="K13" i="6"/>
  <c r="L13" i="6"/>
  <c r="D14" i="6"/>
  <c r="E14" i="6"/>
  <c r="G14" i="6"/>
  <c r="H14" i="6"/>
  <c r="J14" i="6"/>
  <c r="K14" i="6"/>
  <c r="L14" i="6"/>
  <c r="B15" i="6"/>
  <c r="C15" i="6"/>
  <c r="D15" i="6"/>
  <c r="E15" i="6"/>
  <c r="G15" i="6"/>
  <c r="H15" i="6"/>
  <c r="J15" i="6"/>
  <c r="K15" i="6"/>
  <c r="L15" i="6"/>
  <c r="B16" i="6"/>
  <c r="E16" i="6"/>
  <c r="H16" i="6"/>
  <c r="B17" i="6"/>
  <c r="B18" i="6"/>
  <c r="B19" i="6"/>
  <c r="D7" i="8"/>
  <c r="E7" i="8"/>
  <c r="G7" i="8"/>
  <c r="H7" i="8"/>
  <c r="J7" i="8"/>
  <c r="K7" i="8"/>
  <c r="L7" i="8"/>
  <c r="D8" i="8"/>
  <c r="E8" i="8"/>
  <c r="G8" i="8"/>
  <c r="H8" i="8"/>
  <c r="J8" i="8"/>
  <c r="K8" i="8"/>
  <c r="L8" i="8"/>
  <c r="D9" i="8"/>
  <c r="E9" i="8"/>
  <c r="G9" i="8"/>
  <c r="H9" i="8"/>
  <c r="J9" i="8"/>
  <c r="K9" i="8"/>
  <c r="L9" i="8"/>
  <c r="D10" i="8"/>
  <c r="E10" i="8"/>
  <c r="G10" i="8"/>
  <c r="H10" i="8"/>
  <c r="J10" i="8"/>
  <c r="K10" i="8"/>
  <c r="L10" i="8"/>
  <c r="D11" i="8"/>
  <c r="E11" i="8"/>
  <c r="G11" i="8"/>
  <c r="H11" i="8"/>
  <c r="J11" i="8"/>
  <c r="K11" i="8"/>
  <c r="L11" i="8"/>
  <c r="D12" i="8"/>
  <c r="E12" i="8"/>
  <c r="G12" i="8"/>
  <c r="H12" i="8"/>
  <c r="J12" i="8"/>
  <c r="K12" i="8"/>
  <c r="L12" i="8"/>
  <c r="D13" i="8"/>
  <c r="E13" i="8"/>
  <c r="G13" i="8"/>
  <c r="H13" i="8"/>
  <c r="J13" i="8"/>
  <c r="K13" i="8"/>
  <c r="L13" i="8"/>
  <c r="D14" i="8"/>
  <c r="E14" i="8"/>
  <c r="G14" i="8"/>
  <c r="H14" i="8"/>
  <c r="J14" i="8"/>
  <c r="K14" i="8"/>
  <c r="L14" i="8"/>
  <c r="B15" i="8"/>
  <c r="C15" i="8"/>
  <c r="D15" i="8"/>
  <c r="E15" i="8"/>
  <c r="G15" i="8"/>
  <c r="H15" i="8"/>
  <c r="J15" i="8"/>
  <c r="K15" i="8"/>
  <c r="L15" i="8"/>
  <c r="B16" i="8"/>
  <c r="E16" i="8"/>
  <c r="H16" i="8"/>
  <c r="B17" i="8"/>
  <c r="D9" i="1"/>
  <c r="E9" i="1"/>
  <c r="F9" i="1"/>
  <c r="G9" i="1"/>
  <c r="E10" i="1"/>
  <c r="F10" i="1"/>
  <c r="G10" i="1"/>
  <c r="D11" i="1"/>
  <c r="E11" i="1"/>
  <c r="G11" i="1"/>
  <c r="C18" i="1"/>
  <c r="I18" i="1"/>
  <c r="C20" i="1"/>
  <c r="I20" i="1"/>
  <c r="C21" i="1"/>
  <c r="I21" i="1"/>
  <c r="I22" i="1"/>
  <c r="C24" i="1"/>
  <c r="I24" i="1"/>
  <c r="C25" i="1"/>
  <c r="C27" i="1"/>
  <c r="I27" i="1"/>
  <c r="C30" i="1"/>
</calcChain>
</file>

<file path=xl/sharedStrings.xml><?xml version="1.0" encoding="utf-8"?>
<sst xmlns="http://schemas.openxmlformats.org/spreadsheetml/2006/main" count="141" uniqueCount="59">
  <si>
    <t>Total</t>
  </si>
  <si>
    <t xml:space="preserve"> </t>
  </si>
  <si>
    <t>Assumptions</t>
  </si>
  <si>
    <t>URG</t>
  </si>
  <si>
    <t>DWR</t>
  </si>
  <si>
    <t>Total Bundled Sales</t>
  </si>
  <si>
    <t>CPUC Rate Proceeding</t>
  </si>
  <si>
    <t>SDG&amp;E A. 01-01-044</t>
  </si>
  <si>
    <t>Capped AB 265 Customers</t>
  </si>
  <si>
    <t>Cents/kWh</t>
  </si>
  <si>
    <t>AB 265 Customers Rev Req</t>
  </si>
  <si>
    <t xml:space="preserve">DWR Increase Rev Req </t>
  </si>
  <si>
    <t>DWR Rate Increase</t>
  </si>
  <si>
    <t xml:space="preserve">  </t>
  </si>
  <si>
    <t>DWR Revenue Requirement</t>
  </si>
  <si>
    <t>AB 265 Sales Times 6.5 cents/kWh</t>
  </si>
  <si>
    <t>ISO charges</t>
  </si>
  <si>
    <t>SDG&amp;E Revenue Requirement (URG)</t>
  </si>
  <si>
    <t>CTC Rate Removal</t>
  </si>
  <si>
    <t>DWR Billing Determinants</t>
  </si>
  <si>
    <t>Update July 22, 2001</t>
  </si>
  <si>
    <t>System</t>
  </si>
  <si>
    <t>SB 43 Customers</t>
  </si>
  <si>
    <t>AB 265 Customers</t>
  </si>
  <si>
    <t xml:space="preserve">Period </t>
  </si>
  <si>
    <t>GWh</t>
  </si>
  <si>
    <t>Current Rate</t>
  </si>
  <si>
    <t>Revenues</t>
  </si>
  <si>
    <t xml:space="preserve">Sales </t>
  </si>
  <si>
    <t>Sales</t>
  </si>
  <si>
    <t>Q1,2001</t>
  </si>
  <si>
    <t>Q2,2001</t>
  </si>
  <si>
    <t>Q3,2001</t>
  </si>
  <si>
    <t>Q4,2001</t>
  </si>
  <si>
    <t>Q1,2002</t>
  </si>
  <si>
    <t>Q2,2002</t>
  </si>
  <si>
    <t>Q3,2002</t>
  </si>
  <si>
    <t>Q4,2002</t>
  </si>
  <si>
    <t>Jan01-Dec02</t>
  </si>
  <si>
    <t>Oct01-Dec02</t>
  </si>
  <si>
    <t>Mar27-Dec02</t>
  </si>
  <si>
    <t>Other ISO charges</t>
  </si>
  <si>
    <t>Sales (GWh)</t>
  </si>
  <si>
    <t>AB X1 43 Sales Times 6.5 cents/kWh</t>
  </si>
  <si>
    <t>Capped ABX1 43 Customers</t>
  </si>
  <si>
    <t>Total Rate Increase</t>
  </si>
  <si>
    <t>AB X1 43 Customers Rev Req</t>
  </si>
  <si>
    <t>Notes:</t>
  </si>
  <si>
    <t>Revised with DWR Revenue Requirement</t>
  </si>
  <si>
    <t>Update August 7, 2001</t>
  </si>
  <si>
    <t>Oct01-Sept03</t>
  </si>
  <si>
    <t>Mar27-Dec03</t>
  </si>
  <si>
    <t>Sep01-Dec02</t>
  </si>
  <si>
    <t>Exhibit 14 (Scenario 3)</t>
  </si>
  <si>
    <t>System Average Rate Increase</t>
  </si>
  <si>
    <t>* The retroactive Rate increase credit of $91,602,885 from March 27, '01 to the effective date is included in the "AB X1 43 Sales times 6.5 cents/kWh"</t>
  </si>
  <si>
    <t>Update Determinants (September-01 to December-02)</t>
  </si>
  <si>
    <t>* The AB265 Revenue Requirement URG does not include the Other ISO Charges of $73,149,000 and the Grid Management Charges of $30,621,000 paid by SDG&amp;E for URG</t>
  </si>
  <si>
    <t xml:space="preserve">   per the agreement with DWR.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</si>
</sst>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.0_);_(* \(#,##0.0\);_(* &quot;-&quot;??_);_(@_)"/>
    <numFmt numFmtId="167" formatCode="_(* #,##0_);_(* \(#,##0\);_(* &quot;-&quot;??_);_(@_)"/>
    <numFmt numFmtId="168" formatCode="0.0%"/>
    <numFmt numFmtId="175" formatCode="_(&quot;$&quot;* #,##0_);_(&quot;$&quot;* \(#,##0\);_(&quot;$&quot;* &quot;-&quot;??_);_(@_)"/>
  </numFmts>
  <fonts count="1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2"/>
      <name val="Arial"/>
      <family val="2"/>
    </font>
    <font>
      <b/>
      <u/>
      <sz val="10"/>
      <name val="Arial"/>
      <family val="2"/>
    </font>
    <font>
      <u val="singleAccounting"/>
      <sz val="10"/>
      <name val="Arial"/>
      <family val="2"/>
    </font>
    <font>
      <b/>
      <u/>
      <sz val="12"/>
      <name val="Arial"/>
      <family val="2"/>
    </font>
    <font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u val="singleAccounting"/>
      <sz val="10"/>
      <color indexed="12"/>
      <name val="Arial"/>
      <family val="2"/>
    </font>
    <font>
      <u/>
      <sz val="10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2">
    <xf numFmtId="0" fontId="0" fillId="0" borderId="0" xfId="0"/>
    <xf numFmtId="44" fontId="0" fillId="0" borderId="0" xfId="2" applyFont="1"/>
    <xf numFmtId="2" fontId="0" fillId="0" borderId="0" xfId="0" applyNumberFormat="1"/>
    <xf numFmtId="9" fontId="0" fillId="0" borderId="0" xfId="3" applyFont="1"/>
    <xf numFmtId="0" fontId="0" fillId="0" borderId="0" xfId="0" applyBorder="1"/>
    <xf numFmtId="175" fontId="0" fillId="0" borderId="0" xfId="2" applyNumberFormat="1" applyFont="1" applyBorder="1"/>
    <xf numFmtId="175" fontId="3" fillId="0" borderId="0" xfId="2" applyNumberFormat="1" applyFont="1" applyBorder="1"/>
    <xf numFmtId="2" fontId="4" fillId="0" borderId="0" xfId="0" applyNumberFormat="1" applyFont="1" applyBorder="1"/>
    <xf numFmtId="2" fontId="3" fillId="0" borderId="0" xfId="0" applyNumberFormat="1" applyFont="1"/>
    <xf numFmtId="175" fontId="3" fillId="0" borderId="0" xfId="0" applyNumberFormat="1" applyFont="1"/>
    <xf numFmtId="175" fontId="3" fillId="0" borderId="0" xfId="0" applyNumberFormat="1" applyFont="1" applyBorder="1"/>
    <xf numFmtId="2" fontId="3" fillId="0" borderId="0" xfId="0" applyNumberFormat="1" applyFont="1" applyBorder="1"/>
    <xf numFmtId="43" fontId="3" fillId="0" borderId="0" xfId="1" applyFont="1" applyBorder="1"/>
    <xf numFmtId="0" fontId="3" fillId="0" borderId="0" xfId="0" applyFont="1" applyBorder="1"/>
    <xf numFmtId="9" fontId="4" fillId="0" borderId="0" xfId="3" applyFont="1" applyAlignment="1">
      <alignment horizontal="center"/>
    </xf>
    <xf numFmtId="9" fontId="3" fillId="0" borderId="0" xfId="3" applyFont="1" applyBorder="1"/>
    <xf numFmtId="43" fontId="3" fillId="0" borderId="0" xfId="0" applyNumberFormat="1" applyFont="1" applyBorder="1"/>
    <xf numFmtId="2" fontId="4" fillId="0" borderId="0" xfId="0" applyNumberFormat="1" applyFont="1" applyBorder="1" applyAlignment="1">
      <alignment horizontal="center"/>
    </xf>
    <xf numFmtId="175" fontId="0" fillId="0" borderId="0" xfId="0" applyNumberFormat="1" applyBorder="1"/>
    <xf numFmtId="2" fontId="2" fillId="0" borderId="0" xfId="0" applyNumberFormat="1" applyFont="1" applyBorder="1"/>
    <xf numFmtId="0" fontId="2" fillId="0" borderId="0" xfId="0" applyFont="1" applyBorder="1"/>
    <xf numFmtId="167" fontId="0" fillId="0" borderId="0" xfId="1" applyNumberFormat="1" applyFont="1" applyBorder="1"/>
    <xf numFmtId="44" fontId="3" fillId="0" borderId="0" xfId="2" applyFont="1" applyBorder="1"/>
    <xf numFmtId="44" fontId="0" fillId="0" borderId="0" xfId="2" applyFont="1" applyBorder="1"/>
    <xf numFmtId="175" fontId="4" fillId="0" borderId="0" xfId="0" applyNumberFormat="1" applyFont="1" applyBorder="1"/>
    <xf numFmtId="0" fontId="5" fillId="0" borderId="0" xfId="0" applyFont="1" applyBorder="1" applyAlignment="1">
      <alignment horizontal="center"/>
    </xf>
    <xf numFmtId="167" fontId="6" fillId="0" borderId="0" xfId="1" applyNumberFormat="1" applyFont="1" applyBorder="1"/>
    <xf numFmtId="2" fontId="2" fillId="0" borderId="1" xfId="0" applyNumberFormat="1" applyFont="1" applyBorder="1"/>
    <xf numFmtId="175" fontId="6" fillId="0" borderId="0" xfId="2" applyNumberFormat="1" applyFont="1" applyBorder="1"/>
    <xf numFmtId="167" fontId="8" fillId="0" borderId="0" xfId="1" applyNumberFormat="1" applyFont="1" applyBorder="1"/>
    <xf numFmtId="175" fontId="8" fillId="0" borderId="0" xfId="2" applyNumberFormat="1" applyFont="1" applyBorder="1"/>
    <xf numFmtId="0" fontId="8" fillId="0" borderId="0" xfId="0" applyFont="1" applyBorder="1"/>
    <xf numFmtId="167" fontId="0" fillId="0" borderId="0" xfId="1" applyNumberFormat="1" applyFont="1"/>
    <xf numFmtId="0" fontId="9" fillId="0" borderId="0" xfId="0" applyFont="1" applyAlignment="1">
      <alignment horizontal="right"/>
    </xf>
    <xf numFmtId="0" fontId="10" fillId="0" borderId="0" xfId="0" quotePrefix="1" applyFont="1" applyBorder="1"/>
    <xf numFmtId="43" fontId="9" fillId="0" borderId="0" xfId="1" applyFont="1" applyBorder="1"/>
    <xf numFmtId="167" fontId="8" fillId="0" borderId="0" xfId="1" applyNumberFormat="1" applyFont="1"/>
    <xf numFmtId="0" fontId="9" fillId="0" borderId="0" xfId="0" applyFont="1" applyBorder="1" applyAlignment="1">
      <alignment horizontal="right"/>
    </xf>
    <xf numFmtId="167" fontId="6" fillId="0" borderId="0" xfId="0" applyNumberFormat="1" applyFont="1" applyBorder="1"/>
    <xf numFmtId="2" fontId="0" fillId="0" borderId="0" xfId="0" applyNumberFormat="1" applyBorder="1"/>
    <xf numFmtId="44" fontId="6" fillId="0" borderId="0" xfId="2" applyFont="1" applyBorder="1"/>
    <xf numFmtId="9" fontId="0" fillId="0" borderId="0" xfId="3" applyFont="1" applyBorder="1"/>
    <xf numFmtId="167" fontId="0" fillId="0" borderId="0" xfId="0" applyNumberFormat="1" applyBorder="1"/>
    <xf numFmtId="43" fontId="0" fillId="0" borderId="0" xfId="0" applyNumberFormat="1" applyBorder="1"/>
    <xf numFmtId="167" fontId="11" fillId="0" borderId="0" xfId="1" applyNumberFormat="1" applyFont="1" applyBorder="1"/>
    <xf numFmtId="0" fontId="0" fillId="0" borderId="0" xfId="0" applyBorder="1" applyAlignment="1">
      <alignment horizontal="right"/>
    </xf>
    <xf numFmtId="9" fontId="0" fillId="0" borderId="0" xfId="0" applyNumberFormat="1" applyBorder="1"/>
    <xf numFmtId="2" fontId="5" fillId="0" borderId="0" xfId="0" applyNumberFormat="1" applyFont="1" applyBorder="1"/>
    <xf numFmtId="168" fontId="0" fillId="0" borderId="0" xfId="0" applyNumberFormat="1" applyBorder="1"/>
    <xf numFmtId="0" fontId="5" fillId="0" borderId="0" xfId="0" applyFont="1" applyBorder="1"/>
    <xf numFmtId="0" fontId="4" fillId="0" borderId="0" xfId="0" applyFont="1" applyBorder="1"/>
    <xf numFmtId="2" fontId="2" fillId="0" borderId="2" xfId="0" applyNumberFormat="1" applyFont="1" applyBorder="1"/>
    <xf numFmtId="2" fontId="2" fillId="0" borderId="3" xfId="0" applyNumberFormat="1" applyFont="1" applyBorder="1"/>
    <xf numFmtId="175" fontId="2" fillId="0" borderId="3" xfId="0" applyNumberFormat="1" applyFont="1" applyBorder="1"/>
    <xf numFmtId="0" fontId="6" fillId="0" borderId="3" xfId="0" applyFont="1" applyBorder="1"/>
    <xf numFmtId="44" fontId="6" fillId="0" borderId="0" xfId="2" applyFont="1"/>
    <xf numFmtId="44" fontId="1" fillId="0" borderId="0" xfId="2"/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7" fontId="1" fillId="0" borderId="6" xfId="1" applyNumberFormat="1" applyBorder="1"/>
    <xf numFmtId="175" fontId="1" fillId="0" borderId="7" xfId="2" applyNumberFormat="1" applyBorder="1"/>
    <xf numFmtId="166" fontId="1" fillId="0" borderId="0" xfId="1" applyNumberFormat="1" applyBorder="1"/>
    <xf numFmtId="175" fontId="0" fillId="0" borderId="0" xfId="0" applyNumberFormat="1"/>
    <xf numFmtId="167" fontId="1" fillId="0" borderId="0" xfId="1" applyNumberFormat="1" applyFont="1" applyBorder="1" applyAlignment="1">
      <alignment horizontal="center"/>
    </xf>
    <xf numFmtId="167" fontId="0" fillId="0" borderId="4" xfId="0" applyNumberFormat="1" applyBorder="1"/>
    <xf numFmtId="2" fontId="0" fillId="0" borderId="2" xfId="0" applyNumberFormat="1" applyBorder="1"/>
    <xf numFmtId="175" fontId="1" fillId="0" borderId="5" xfId="2" applyNumberFormat="1" applyBorder="1"/>
    <xf numFmtId="167" fontId="1" fillId="0" borderId="4" xfId="1" applyNumberFormat="1" applyBorder="1"/>
    <xf numFmtId="1" fontId="0" fillId="0" borderId="2" xfId="0" applyNumberFormat="1" applyBorder="1"/>
    <xf numFmtId="175" fontId="0" fillId="0" borderId="5" xfId="0" applyNumberFormat="1" applyBorder="1"/>
    <xf numFmtId="167" fontId="1" fillId="0" borderId="0" xfId="1" applyNumberFormat="1" applyFont="1" applyBorder="1"/>
    <xf numFmtId="167" fontId="1" fillId="0" borderId="0" xfId="1" applyNumberFormat="1" applyBorder="1"/>
    <xf numFmtId="1" fontId="0" fillId="0" borderId="0" xfId="0" applyNumberFormat="1" applyBorder="1"/>
    <xf numFmtId="167" fontId="1" fillId="0" borderId="0" xfId="1" applyNumberFormat="1"/>
    <xf numFmtId="43" fontId="0" fillId="0" borderId="0" xfId="0" applyNumberFormat="1"/>
    <xf numFmtId="167" fontId="0" fillId="0" borderId="0" xfId="0" applyNumberFormat="1"/>
    <xf numFmtId="0" fontId="0" fillId="0" borderId="0" xfId="0" applyAlignment="1">
      <alignment horizontal="center"/>
    </xf>
    <xf numFmtId="167" fontId="1" fillId="0" borderId="0" xfId="1" applyNumberFormat="1" applyFont="1" applyAlignment="1">
      <alignment horizontal="center"/>
    </xf>
    <xf numFmtId="9" fontId="0" fillId="0" borderId="0" xfId="3" applyNumberFormat="1" applyFont="1"/>
    <xf numFmtId="0" fontId="2" fillId="0" borderId="0" xfId="0" applyFont="1"/>
    <xf numFmtId="43" fontId="0" fillId="0" borderId="0" xfId="1" applyNumberFormat="1" applyFont="1" applyBorder="1"/>
    <xf numFmtId="43" fontId="6" fillId="0" borderId="0" xfId="1" applyNumberFormat="1" applyFont="1" applyBorder="1"/>
    <xf numFmtId="2" fontId="12" fillId="0" borderId="0" xfId="0" applyNumberFormat="1" applyFont="1" applyBorder="1"/>
    <xf numFmtId="2" fontId="2" fillId="0" borderId="8" xfId="0" applyNumberFormat="1" applyFont="1" applyBorder="1"/>
    <xf numFmtId="0" fontId="2" fillId="0" borderId="9" xfId="0" applyFont="1" applyBorder="1"/>
    <xf numFmtId="39" fontId="2" fillId="0" borderId="10" xfId="2" applyNumberFormat="1" applyFont="1" applyBorder="1"/>
    <xf numFmtId="44" fontId="13" fillId="0" borderId="0" xfId="2" applyFont="1" applyAlignment="1">
      <alignment horizontal="right"/>
    </xf>
    <xf numFmtId="44" fontId="0" fillId="0" borderId="0" xfId="2" applyFont="1" applyAlignment="1">
      <alignment horizontal="right"/>
    </xf>
    <xf numFmtId="39" fontId="2" fillId="0" borderId="0" xfId="2" applyNumberFormat="1" applyFont="1" applyBorder="1"/>
    <xf numFmtId="0" fontId="4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44" fontId="1" fillId="0" borderId="11" xfId="2" applyFont="1" applyBorder="1" applyAlignment="1">
      <alignment horizontal="center"/>
    </xf>
    <xf numFmtId="44" fontId="1" fillId="0" borderId="12" xfId="2" applyFont="1" applyBorder="1" applyAlignment="1">
      <alignment horizontal="center"/>
    </xf>
    <xf numFmtId="44" fontId="1" fillId="0" borderId="13" xfId="2" applyFont="1" applyBorder="1" applyAlignment="1">
      <alignment horizontal="center"/>
    </xf>
    <xf numFmtId="9" fontId="4" fillId="0" borderId="0" xfId="3" applyFont="1" applyAlignment="1">
      <alignment horizontal="center"/>
    </xf>
    <xf numFmtId="2" fontId="7" fillId="0" borderId="0" xfId="0" applyNumberFormat="1" applyFont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ows/TEMP/ALJ%20Exhibit%2014%20(Scenario%202)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ows/TEMP/ALJ%20Exhibit%2014%20(Scenario%203)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te Increase Model"/>
      <sheetName val="ISO Charges"/>
      <sheetName val="SDG&amp;E URG"/>
      <sheetName val="DWR Billing Determinants"/>
    </sheetNames>
    <sheetDataSet>
      <sheetData sheetId="0">
        <row r="11">
          <cell r="F11">
            <v>0.48636854325796269</v>
          </cell>
        </row>
        <row r="12">
          <cell r="F12">
            <v>0.51363145674203725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te Increase Model"/>
      <sheetName val="ISO Charges"/>
      <sheetName val="SDG&amp;E URG"/>
      <sheetName val="DWR Billing Determinants"/>
    </sheetNames>
    <sheetDataSet>
      <sheetData sheetId="0">
        <row r="11">
          <cell r="F11">
            <v>0.48636854325796269</v>
          </cell>
        </row>
        <row r="12">
          <cell r="F12">
            <v>0.51363145674203725</v>
          </cell>
        </row>
      </sheetData>
      <sheetData sheetId="1" refreshError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workbookViewId="0">
      <selection activeCell="B16" sqref="B16"/>
    </sheetView>
  </sheetViews>
  <sheetFormatPr defaultRowHeight="13.2" x14ac:dyDescent="0.25"/>
  <cols>
    <col min="1" max="1" width="11.88671875" bestFit="1" customWidth="1"/>
    <col min="2" max="2" width="7.6640625" customWidth="1"/>
    <col min="3" max="3" width="11.5546875" customWidth="1"/>
    <col min="4" max="4" width="11.33203125" bestFit="1" customWidth="1"/>
    <col min="5" max="6" width="11.44140625" bestFit="1" customWidth="1"/>
    <col min="7" max="8" width="11.33203125" bestFit="1" customWidth="1"/>
    <col min="9" max="9" width="11.44140625" bestFit="1" customWidth="1"/>
    <col min="10" max="10" width="9.6640625" bestFit="1" customWidth="1"/>
    <col min="11" max="11" width="11.33203125" bestFit="1" customWidth="1"/>
  </cols>
  <sheetData>
    <row r="1" spans="1:12" ht="15" x14ac:dyDescent="0.4">
      <c r="E1" s="55"/>
    </row>
    <row r="2" spans="1:12" ht="15" x14ac:dyDescent="0.25">
      <c r="A2" s="93" t="s">
        <v>19</v>
      </c>
      <c r="B2" s="93"/>
      <c r="C2" s="93"/>
      <c r="D2" s="93"/>
      <c r="E2" s="93"/>
      <c r="F2" s="93"/>
      <c r="G2" s="93"/>
      <c r="H2" s="93"/>
      <c r="I2" s="93"/>
      <c r="J2" s="93"/>
    </row>
    <row r="3" spans="1:12" ht="15" x14ac:dyDescent="0.25">
      <c r="A3" s="93" t="s">
        <v>20</v>
      </c>
      <c r="B3" s="93"/>
      <c r="C3" s="93"/>
      <c r="D3" s="93"/>
      <c r="E3" s="93"/>
      <c r="F3" s="93"/>
      <c r="G3" s="93"/>
      <c r="H3" s="93"/>
      <c r="I3" s="93"/>
      <c r="J3" s="93"/>
    </row>
    <row r="4" spans="1:12" x14ac:dyDescent="0.25">
      <c r="E4" s="56"/>
    </row>
    <row r="5" spans="1:12" x14ac:dyDescent="0.25">
      <c r="A5" s="4"/>
      <c r="B5" s="97" t="s">
        <v>21</v>
      </c>
      <c r="C5" s="98"/>
      <c r="D5" s="99"/>
      <c r="E5" s="94" t="s">
        <v>22</v>
      </c>
      <c r="F5" s="95"/>
      <c r="G5" s="96"/>
      <c r="H5" s="94" t="s">
        <v>23</v>
      </c>
      <c r="I5" s="95"/>
      <c r="J5" s="96"/>
    </row>
    <row r="6" spans="1:12" x14ac:dyDescent="0.25">
      <c r="A6" s="57" t="s">
        <v>24</v>
      </c>
      <c r="B6" s="58" t="s">
        <v>25</v>
      </c>
      <c r="C6" s="57" t="s">
        <v>26</v>
      </c>
      <c r="D6" s="59" t="s">
        <v>27</v>
      </c>
      <c r="E6" s="60" t="s">
        <v>28</v>
      </c>
      <c r="F6" s="57" t="s">
        <v>26</v>
      </c>
      <c r="G6" s="61" t="s">
        <v>27</v>
      </c>
      <c r="H6" s="60" t="s">
        <v>29</v>
      </c>
      <c r="I6" s="57" t="s">
        <v>26</v>
      </c>
      <c r="J6" s="61" t="s">
        <v>27</v>
      </c>
      <c r="K6" s="4"/>
    </row>
    <row r="7" spans="1:12" x14ac:dyDescent="0.25">
      <c r="A7" s="62" t="s">
        <v>30</v>
      </c>
      <c r="B7" s="63">
        <v>1096</v>
      </c>
      <c r="C7" s="39">
        <v>6.5</v>
      </c>
      <c r="D7" s="64">
        <f t="shared" ref="D7:D14" si="0">+B7*C7*10</f>
        <v>71240</v>
      </c>
      <c r="E7" s="63">
        <f>+B7*'[2]Rate Increase Model'!$F$12</f>
        <v>562.94007658927285</v>
      </c>
      <c r="F7" s="43">
        <v>6.5</v>
      </c>
      <c r="G7" s="64">
        <f>E7*F7*10</f>
        <v>36591.104978302741</v>
      </c>
      <c r="H7" s="63">
        <f>+B7*'[2]Rate Increase Model'!$F$11</f>
        <v>533.05992341072715</v>
      </c>
      <c r="I7" s="65">
        <v>6.5</v>
      </c>
      <c r="J7" s="64">
        <f t="shared" ref="J7:J14" si="1">+I7*H7*10</f>
        <v>34648.895021697259</v>
      </c>
      <c r="K7" s="66">
        <f t="shared" ref="K7:K14" si="2">+J7+G7</f>
        <v>71240</v>
      </c>
      <c r="L7" s="66">
        <f t="shared" ref="L7:L15" si="3">+K7-D7</f>
        <v>0</v>
      </c>
    </row>
    <row r="8" spans="1:12" x14ac:dyDescent="0.25">
      <c r="A8" s="62" t="s">
        <v>31</v>
      </c>
      <c r="B8" s="63">
        <v>1919</v>
      </c>
      <c r="C8" s="39">
        <v>6.5</v>
      </c>
      <c r="D8" s="64">
        <f t="shared" si="0"/>
        <v>124735</v>
      </c>
      <c r="E8" s="63">
        <f>+B8*'[2]Rate Increase Model'!$F$12</f>
        <v>985.6587654879695</v>
      </c>
      <c r="F8" s="43">
        <v>6.5</v>
      </c>
      <c r="G8" s="64">
        <f t="shared" ref="G8:G14" si="4">+F8*E8*10</f>
        <v>64067.819756718018</v>
      </c>
      <c r="H8" s="63">
        <f>+B8*'[2]Rate Increase Model'!$F$11</f>
        <v>933.34123451203038</v>
      </c>
      <c r="I8" s="65">
        <v>6.5</v>
      </c>
      <c r="J8" s="64">
        <f t="shared" si="1"/>
        <v>60667.180243281975</v>
      </c>
      <c r="K8" s="66">
        <f t="shared" si="2"/>
        <v>124735</v>
      </c>
      <c r="L8" s="66">
        <f t="shared" si="3"/>
        <v>0</v>
      </c>
    </row>
    <row r="9" spans="1:12" x14ac:dyDescent="0.25">
      <c r="A9" s="62" t="s">
        <v>32</v>
      </c>
      <c r="B9" s="63">
        <v>2443</v>
      </c>
      <c r="C9" s="39">
        <v>6.5</v>
      </c>
      <c r="D9" s="64">
        <f t="shared" si="0"/>
        <v>158795</v>
      </c>
      <c r="E9" s="63">
        <f>+B9*'[2]Rate Increase Model'!$F$12</f>
        <v>1254.801648820797</v>
      </c>
      <c r="F9" s="43">
        <v>6.5</v>
      </c>
      <c r="G9" s="64">
        <f t="shared" si="4"/>
        <v>81562.107173351804</v>
      </c>
      <c r="H9" s="63">
        <f>+B9*'[2]Rate Increase Model'!$F$11</f>
        <v>1188.198351179203</v>
      </c>
      <c r="I9" s="65">
        <v>6.5</v>
      </c>
      <c r="J9" s="64">
        <f t="shared" si="1"/>
        <v>77232.892826648196</v>
      </c>
      <c r="K9" s="66">
        <f t="shared" si="2"/>
        <v>158795</v>
      </c>
      <c r="L9" s="66">
        <f t="shared" si="3"/>
        <v>0</v>
      </c>
    </row>
    <row r="10" spans="1:12" x14ac:dyDescent="0.25">
      <c r="A10" s="62" t="s">
        <v>33</v>
      </c>
      <c r="B10" s="63">
        <v>2348</v>
      </c>
      <c r="C10" s="39">
        <v>6.5</v>
      </c>
      <c r="D10" s="64">
        <f t="shared" si="0"/>
        <v>152620</v>
      </c>
      <c r="E10" s="63">
        <f>+B10*'[2]Rate Increase Model'!$F$12</f>
        <v>1206.0066604303036</v>
      </c>
      <c r="F10" s="43">
        <v>6.5</v>
      </c>
      <c r="G10" s="64">
        <f t="shared" si="4"/>
        <v>78390.432927969727</v>
      </c>
      <c r="H10" s="63">
        <f>+B10*'[2]Rate Increase Model'!$F$11</f>
        <v>1141.9933395696964</v>
      </c>
      <c r="I10" s="65">
        <v>6.5</v>
      </c>
      <c r="J10" s="64">
        <f t="shared" si="1"/>
        <v>74229.567072030273</v>
      </c>
      <c r="K10" s="66">
        <f t="shared" si="2"/>
        <v>152620</v>
      </c>
      <c r="L10" s="66">
        <f t="shared" si="3"/>
        <v>0</v>
      </c>
    </row>
    <row r="11" spans="1:12" x14ac:dyDescent="0.25">
      <c r="A11" s="67" t="s">
        <v>34</v>
      </c>
      <c r="B11" s="63">
        <v>2514</v>
      </c>
      <c r="C11" s="39">
        <v>6.5</v>
      </c>
      <c r="D11" s="64">
        <f t="shared" si="0"/>
        <v>163410</v>
      </c>
      <c r="E11" s="63">
        <f>+B11*'[2]Rate Increase Model'!$F$12</f>
        <v>1291.2694822494816</v>
      </c>
      <c r="F11" s="43">
        <v>6.5</v>
      </c>
      <c r="G11" s="64">
        <f t="shared" si="4"/>
        <v>83932.516346216304</v>
      </c>
      <c r="H11" s="63">
        <f>+B11*'[2]Rate Increase Model'!$F$11</f>
        <v>1222.7305177505182</v>
      </c>
      <c r="I11" s="65">
        <v>6.5</v>
      </c>
      <c r="J11" s="64">
        <f t="shared" si="1"/>
        <v>79477.483653783682</v>
      </c>
      <c r="K11" s="66">
        <f t="shared" si="2"/>
        <v>163410</v>
      </c>
      <c r="L11" s="66">
        <f t="shared" si="3"/>
        <v>0</v>
      </c>
    </row>
    <row r="12" spans="1:12" x14ac:dyDescent="0.25">
      <c r="A12" s="62" t="s">
        <v>35</v>
      </c>
      <c r="B12" s="63">
        <v>2662</v>
      </c>
      <c r="C12" s="39">
        <v>6.5</v>
      </c>
      <c r="D12" s="64">
        <f t="shared" si="0"/>
        <v>173030</v>
      </c>
      <c r="E12" s="63">
        <f>+B12*'[2]Rate Increase Model'!$F$12</f>
        <v>1367.2869378473031</v>
      </c>
      <c r="F12" s="43">
        <v>6.5</v>
      </c>
      <c r="G12" s="64">
        <f t="shared" si="4"/>
        <v>88873.650960074709</v>
      </c>
      <c r="H12" s="63">
        <f>+B12*'[2]Rate Increase Model'!$F$11</f>
        <v>1294.7130621526967</v>
      </c>
      <c r="I12" s="65">
        <v>6.5</v>
      </c>
      <c r="J12" s="64">
        <f t="shared" si="1"/>
        <v>84156.349039925277</v>
      </c>
      <c r="K12" s="66">
        <f t="shared" si="2"/>
        <v>173030</v>
      </c>
      <c r="L12" s="66">
        <f t="shared" si="3"/>
        <v>0</v>
      </c>
    </row>
    <row r="13" spans="1:12" x14ac:dyDescent="0.25">
      <c r="A13" s="62" t="s">
        <v>36</v>
      </c>
      <c r="B13" s="63">
        <v>2994</v>
      </c>
      <c r="C13" s="39">
        <v>6.5</v>
      </c>
      <c r="D13" s="64">
        <f t="shared" si="0"/>
        <v>194610</v>
      </c>
      <c r="E13" s="63">
        <f>+B13*'[2]Rate Increase Model'!$F$12</f>
        <v>1537.8125814856596</v>
      </c>
      <c r="F13" s="43">
        <v>6.5</v>
      </c>
      <c r="G13" s="64">
        <f t="shared" si="4"/>
        <v>99957.817796567862</v>
      </c>
      <c r="H13" s="63">
        <f>+B13*'[2]Rate Increase Model'!$F$11</f>
        <v>1456.1874185143404</v>
      </c>
      <c r="I13" s="65">
        <v>6.5</v>
      </c>
      <c r="J13" s="64">
        <f t="shared" si="1"/>
        <v>94652.182203432138</v>
      </c>
      <c r="K13" s="66">
        <f t="shared" si="2"/>
        <v>194610</v>
      </c>
      <c r="L13" s="66">
        <f t="shared" si="3"/>
        <v>0</v>
      </c>
    </row>
    <row r="14" spans="1:12" x14ac:dyDescent="0.25">
      <c r="A14" s="62" t="s">
        <v>37</v>
      </c>
      <c r="B14" s="63">
        <v>2655</v>
      </c>
      <c r="C14" s="39">
        <v>6.5</v>
      </c>
      <c r="D14" s="64">
        <f t="shared" si="0"/>
        <v>172575</v>
      </c>
      <c r="E14" s="63">
        <f>+B14*'[2]Rate Increase Model'!$F$12</f>
        <v>1363.6915176501088</v>
      </c>
      <c r="F14" s="43">
        <v>6.5</v>
      </c>
      <c r="G14" s="64">
        <f t="shared" si="4"/>
        <v>88639.948647257086</v>
      </c>
      <c r="H14" s="63">
        <f>+B14*'[2]Rate Increase Model'!$F$11</f>
        <v>1291.3084823498909</v>
      </c>
      <c r="I14" s="65">
        <v>6.5</v>
      </c>
      <c r="J14" s="64">
        <f t="shared" si="1"/>
        <v>83935.051352742899</v>
      </c>
      <c r="K14" s="66">
        <f t="shared" si="2"/>
        <v>172575</v>
      </c>
      <c r="L14" s="66">
        <f t="shared" si="3"/>
        <v>0</v>
      </c>
    </row>
    <row r="15" spans="1:12" x14ac:dyDescent="0.25">
      <c r="A15" s="4" t="s">
        <v>38</v>
      </c>
      <c r="B15" s="68">
        <f>SUM(B7:B14)</f>
        <v>18631</v>
      </c>
      <c r="C15" s="69">
        <f>SUM(C7:C14)/8</f>
        <v>6.5</v>
      </c>
      <c r="D15" s="70">
        <f>SUM(D7:D14)</f>
        <v>1211015</v>
      </c>
      <c r="E15" s="71">
        <f>SUM(E7:E14)</f>
        <v>9569.4676705608981</v>
      </c>
      <c r="F15" s="72" t="s">
        <v>1</v>
      </c>
      <c r="G15" s="73">
        <f>SUM(G7:G14)</f>
        <v>622015.39858645818</v>
      </c>
      <c r="H15" s="71">
        <f>SUM(H7:H14)</f>
        <v>9061.5323294391037</v>
      </c>
      <c r="I15" s="72" t="s">
        <v>1</v>
      </c>
      <c r="J15" s="73">
        <f>SUM(J7:J14)</f>
        <v>588999.60141354171</v>
      </c>
      <c r="K15" s="66">
        <f>SUM(K7:K14)</f>
        <v>1211015</v>
      </c>
      <c r="L15" s="66">
        <f t="shared" si="3"/>
        <v>0</v>
      </c>
    </row>
    <row r="16" spans="1:12" x14ac:dyDescent="0.25">
      <c r="A16" s="4" t="s">
        <v>52</v>
      </c>
      <c r="B16" s="42">
        <f>SUM(B10:B14)+B9*30/92</f>
        <v>13969.630434782608</v>
      </c>
      <c r="C16" s="74" t="s">
        <v>1</v>
      </c>
      <c r="D16" s="4"/>
      <c r="E16" s="75">
        <f>SUM(E10:E14)</f>
        <v>6766.0671796628567</v>
      </c>
      <c r="F16" s="4"/>
      <c r="G16" s="4"/>
      <c r="H16" s="75">
        <f>SUM(H10:H14)</f>
        <v>6406.9328203371433</v>
      </c>
      <c r="I16" s="76" t="s">
        <v>1</v>
      </c>
      <c r="J16" s="4"/>
      <c r="K16" s="66"/>
    </row>
    <row r="17" spans="1:7" x14ac:dyDescent="0.25">
      <c r="A17" t="s">
        <v>40</v>
      </c>
      <c r="B17" s="77">
        <f>SUM(B8:B14)+5/53*B7</f>
        <v>17638.396226415094</v>
      </c>
      <c r="G17" s="78"/>
    </row>
    <row r="18" spans="1:7" x14ac:dyDescent="0.25">
      <c r="F18" s="79"/>
    </row>
    <row r="19" spans="1:7" x14ac:dyDescent="0.25">
      <c r="C19" s="79"/>
    </row>
    <row r="20" spans="1:7" x14ac:dyDescent="0.25">
      <c r="C20" s="78"/>
      <c r="D20" s="78"/>
      <c r="F20" s="78"/>
      <c r="G20" s="78"/>
    </row>
    <row r="21" spans="1:7" x14ac:dyDescent="0.25">
      <c r="F21" s="78"/>
      <c r="G21" s="78"/>
    </row>
    <row r="22" spans="1:7" x14ac:dyDescent="0.25">
      <c r="G22" s="78"/>
    </row>
    <row r="23" spans="1:7" x14ac:dyDescent="0.25">
      <c r="C23" s="80"/>
      <c r="D23" s="81"/>
    </row>
    <row r="24" spans="1:7" x14ac:dyDescent="0.25">
      <c r="B24" s="77"/>
      <c r="C24" s="77"/>
      <c r="D24" s="77"/>
      <c r="E24" s="77"/>
    </row>
    <row r="26" spans="1:7" x14ac:dyDescent="0.25">
      <c r="B26" s="79"/>
      <c r="C26" s="77"/>
      <c r="D26" s="77"/>
      <c r="E26" s="77"/>
    </row>
    <row r="27" spans="1:7" x14ac:dyDescent="0.25">
      <c r="D27" s="77"/>
    </row>
    <row r="28" spans="1:7" x14ac:dyDescent="0.25">
      <c r="B28" s="77"/>
      <c r="C28" s="77"/>
      <c r="D28" s="77"/>
      <c r="E28" s="77"/>
    </row>
  </sheetData>
  <mergeCells count="5">
    <mergeCell ref="A2:J2"/>
    <mergeCell ref="E5:G5"/>
    <mergeCell ref="H5:J5"/>
    <mergeCell ref="B5:D5"/>
    <mergeCell ref="A3:J3"/>
  </mergeCells>
  <pageMargins left="0.75" right="0.75" top="1" bottom="1" header="0.5" footer="0.5"/>
  <pageSetup orientation="landscape" horizontalDpi="4294967292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77"/>
  <sheetViews>
    <sheetView tabSelected="1" topLeftCell="B9" zoomScale="75" zoomScaleNormal="75" workbookViewId="0">
      <selection activeCell="B37" sqref="B37"/>
    </sheetView>
  </sheetViews>
  <sheetFormatPr defaultRowHeight="13.2" x14ac:dyDescent="0.25"/>
  <cols>
    <col min="1" max="1" width="31.6640625" hidden="1" customWidth="1"/>
    <col min="2" max="2" width="52.88671875" customWidth="1"/>
    <col min="3" max="3" width="15.6640625" customWidth="1"/>
    <col min="4" max="4" width="18.109375" customWidth="1"/>
    <col min="5" max="5" width="17.109375" customWidth="1"/>
    <col min="6" max="6" width="4.88671875" bestFit="1" customWidth="1"/>
    <col min="7" max="7" width="15.44140625" customWidth="1"/>
    <col min="8" max="8" width="2.6640625" customWidth="1"/>
    <col min="9" max="9" width="14.88671875" customWidth="1"/>
    <col min="10" max="11" width="11.5546875" bestFit="1" customWidth="1"/>
    <col min="12" max="13" width="14" bestFit="1" customWidth="1"/>
    <col min="14" max="16" width="11.5546875" bestFit="1" customWidth="1"/>
    <col min="17" max="17" width="13.6640625" customWidth="1"/>
    <col min="18" max="18" width="14" bestFit="1" customWidth="1"/>
    <col min="19" max="22" width="11.5546875" bestFit="1" customWidth="1"/>
    <col min="23" max="23" width="12.88671875" customWidth="1"/>
    <col min="24" max="24" width="8.109375" bestFit="1" customWidth="1"/>
    <col min="25" max="25" width="12.6640625" customWidth="1"/>
    <col min="26" max="27" width="8.44140625" bestFit="1" customWidth="1"/>
  </cols>
  <sheetData>
    <row r="1" spans="2:31" x14ac:dyDescent="0.25">
      <c r="B1" s="2"/>
      <c r="C1" s="3"/>
      <c r="D1" s="1"/>
      <c r="E1" s="1"/>
      <c r="F1" s="1"/>
      <c r="G1" s="1"/>
      <c r="H1" s="1"/>
      <c r="I1" s="1"/>
      <c r="N1" s="23"/>
      <c r="O1" s="23"/>
      <c r="P1" s="23"/>
      <c r="Q1" s="23"/>
      <c r="R1" s="23"/>
      <c r="S1" s="23"/>
      <c r="T1" s="1"/>
      <c r="U1" s="1"/>
      <c r="V1" s="1"/>
      <c r="W1" s="1"/>
      <c r="X1" s="1"/>
      <c r="Y1" s="1"/>
      <c r="Z1" s="1"/>
    </row>
    <row r="2" spans="2:31" ht="15.6" x14ac:dyDescent="0.3">
      <c r="B2" s="100" t="s">
        <v>6</v>
      </c>
      <c r="C2" s="100"/>
      <c r="D2" s="100"/>
      <c r="E2" s="100"/>
      <c r="F2" s="100"/>
      <c r="G2" s="1"/>
      <c r="H2" s="1"/>
      <c r="I2" s="1"/>
      <c r="J2" s="90" t="s">
        <v>53</v>
      </c>
      <c r="N2" s="23"/>
      <c r="O2" s="23"/>
      <c r="P2" s="23"/>
      <c r="Q2" s="23"/>
      <c r="R2" s="23"/>
      <c r="S2" s="23"/>
      <c r="T2" s="1"/>
      <c r="U2" s="1"/>
      <c r="V2" s="1"/>
      <c r="W2" s="1"/>
      <c r="X2" s="1"/>
      <c r="Y2" s="1"/>
      <c r="Z2" s="1"/>
    </row>
    <row r="3" spans="2:31" ht="16.8" x14ac:dyDescent="0.4">
      <c r="B3" s="100" t="s">
        <v>7</v>
      </c>
      <c r="C3" s="100"/>
      <c r="D3" s="100"/>
      <c r="E3" s="100"/>
      <c r="F3" s="100"/>
      <c r="G3" s="1"/>
      <c r="H3" s="1"/>
      <c r="I3" s="1"/>
      <c r="J3" s="91" t="s">
        <v>48</v>
      </c>
      <c r="N3" s="23"/>
      <c r="O3" s="23"/>
      <c r="P3" s="40"/>
      <c r="Q3" s="23"/>
      <c r="R3" s="23"/>
      <c r="S3" s="23"/>
      <c r="T3" s="1"/>
      <c r="U3" s="1"/>
      <c r="V3" s="1"/>
      <c r="W3" s="1"/>
      <c r="X3" s="1"/>
      <c r="Y3" s="1"/>
      <c r="Z3" s="1"/>
    </row>
    <row r="4" spans="2:31" ht="15" x14ac:dyDescent="0.25">
      <c r="B4" s="14"/>
      <c r="C4" s="14"/>
      <c r="D4" s="14"/>
      <c r="E4" s="14"/>
      <c r="F4" s="14"/>
      <c r="G4" s="1"/>
      <c r="H4" s="1"/>
      <c r="I4" s="1"/>
      <c r="J4" s="91" t="s">
        <v>49</v>
      </c>
      <c r="N4" s="23"/>
      <c r="O4" s="23"/>
      <c r="P4" s="23"/>
      <c r="Q4" s="23"/>
      <c r="R4" s="23"/>
      <c r="S4" s="41"/>
      <c r="T4" s="1"/>
      <c r="U4" s="1"/>
      <c r="V4" s="1"/>
      <c r="W4" s="1"/>
      <c r="X4" s="1"/>
      <c r="Y4" s="1"/>
      <c r="Z4" s="1"/>
    </row>
    <row r="5" spans="2:31" ht="13.8" thickBot="1" x14ac:dyDescent="0.3">
      <c r="C5" s="15"/>
      <c r="D5" s="22"/>
      <c r="E5" s="22"/>
      <c r="F5" s="22"/>
      <c r="G5" s="23"/>
      <c r="H5" s="23"/>
      <c r="I5" s="23"/>
      <c r="N5" s="23"/>
      <c r="O5" s="23"/>
      <c r="P5" s="4"/>
      <c r="Q5" s="4"/>
      <c r="R5" s="42"/>
      <c r="S5" s="4"/>
      <c r="T5" s="1"/>
      <c r="U5" s="1"/>
      <c r="V5" s="1"/>
      <c r="W5" s="1"/>
      <c r="X5" s="1"/>
      <c r="Y5" s="1"/>
      <c r="Z5" s="1"/>
    </row>
    <row r="6" spans="2:31" ht="13.8" thickBot="1" x14ac:dyDescent="0.3">
      <c r="B6" s="27" t="s">
        <v>2</v>
      </c>
      <c r="C6" s="11"/>
      <c r="D6" s="25"/>
      <c r="E6" s="25"/>
      <c r="G6" s="25"/>
      <c r="H6" s="4"/>
      <c r="I6" s="4"/>
      <c r="N6" s="4"/>
      <c r="O6" s="4"/>
      <c r="P6" s="4"/>
      <c r="Q6" s="4"/>
      <c r="R6" s="4"/>
      <c r="S6" s="4"/>
    </row>
    <row r="7" spans="2:31" x14ac:dyDescent="0.25">
      <c r="B7" s="13" t="s">
        <v>56</v>
      </c>
      <c r="C7" s="11"/>
      <c r="D7" s="25"/>
      <c r="E7" s="25"/>
      <c r="G7" s="25"/>
      <c r="H7" s="4"/>
      <c r="I7" s="4"/>
      <c r="N7" s="4"/>
      <c r="O7" s="4"/>
      <c r="P7" s="4"/>
      <c r="Q7" s="4"/>
      <c r="R7" s="4"/>
      <c r="S7" s="4"/>
    </row>
    <row r="8" spans="2:31" x14ac:dyDescent="0.25">
      <c r="B8" s="13" t="s">
        <v>42</v>
      </c>
      <c r="D8" s="25" t="s">
        <v>3</v>
      </c>
      <c r="E8" s="25" t="s">
        <v>4</v>
      </c>
      <c r="F8" s="83"/>
      <c r="G8" s="25" t="s">
        <v>0</v>
      </c>
      <c r="H8" s="4"/>
      <c r="I8" s="4"/>
      <c r="N8" s="4"/>
      <c r="O8" s="4"/>
      <c r="P8" s="4"/>
      <c r="Q8" s="4"/>
      <c r="R8" s="4"/>
      <c r="S8" s="4"/>
    </row>
    <row r="9" spans="2:31" x14ac:dyDescent="0.25">
      <c r="B9" s="13" t="s">
        <v>8</v>
      </c>
      <c r="C9" s="15">
        <v>0.7</v>
      </c>
      <c r="D9" s="21">
        <f>D11</f>
        <v>9947.8416664350298</v>
      </c>
      <c r="E9" s="21">
        <f>+G9-D9</f>
        <v>6794.3888044173145</v>
      </c>
      <c r="F9" s="3">
        <f>+E9/E11</f>
        <v>0.48636854325796253</v>
      </c>
      <c r="G9" s="84">
        <f>G11*C9</f>
        <v>16742.230470852344</v>
      </c>
      <c r="H9" s="4"/>
      <c r="I9" s="42"/>
      <c r="N9" s="4"/>
      <c r="O9" s="4"/>
      <c r="P9" s="31"/>
      <c r="Q9" s="4"/>
      <c r="R9" s="4"/>
      <c r="S9" s="4"/>
      <c r="U9" s="33"/>
      <c r="V9" s="33"/>
    </row>
    <row r="10" spans="2:31" ht="15" x14ac:dyDescent="0.4">
      <c r="B10" s="13" t="s">
        <v>44</v>
      </c>
      <c r="C10" s="15">
        <v>0.3</v>
      </c>
      <c r="D10" s="85">
        <v>0</v>
      </c>
      <c r="E10" s="26">
        <f>+G10</f>
        <v>7175.2416303652908</v>
      </c>
      <c r="F10" s="82">
        <f>+E10/E11</f>
        <v>0.51363145674203725</v>
      </c>
      <c r="G10" s="26">
        <f>+G11*C10</f>
        <v>7175.2416303652908</v>
      </c>
      <c r="H10" s="4"/>
      <c r="I10" s="21"/>
      <c r="N10" s="4"/>
      <c r="O10" s="30"/>
      <c r="P10" s="29"/>
      <c r="Q10" s="4"/>
      <c r="R10" s="4"/>
      <c r="S10" s="4"/>
      <c r="U10" s="36"/>
      <c r="V10" s="36"/>
    </row>
    <row r="11" spans="2:31" x14ac:dyDescent="0.25">
      <c r="B11" s="13" t="s">
        <v>5</v>
      </c>
      <c r="C11" s="11"/>
      <c r="D11" s="29">
        <f>+G11-E11</f>
        <v>9947.8416664350298</v>
      </c>
      <c r="E11" s="21">
        <f>'DWR Billing Determinants (3)'!B16</f>
        <v>13969.630434782608</v>
      </c>
      <c r="G11" s="36">
        <f>+E11/E13</f>
        <v>23917.472101217638</v>
      </c>
      <c r="H11" s="4"/>
      <c r="I11" s="4"/>
      <c r="N11" s="4"/>
      <c r="O11" s="30"/>
      <c r="P11" s="21"/>
      <c r="Q11" s="4"/>
      <c r="R11" s="4"/>
      <c r="S11" s="43"/>
      <c r="U11" s="32"/>
    </row>
    <row r="12" spans="2:31" x14ac:dyDescent="0.25">
      <c r="B12" s="13"/>
      <c r="C12" s="11"/>
      <c r="D12" s="29"/>
      <c r="E12" s="21"/>
      <c r="G12" s="36"/>
      <c r="H12" s="4"/>
      <c r="I12" s="4"/>
      <c r="N12" s="4"/>
      <c r="O12" s="30"/>
      <c r="P12" s="21"/>
      <c r="Q12" s="4"/>
      <c r="R12" s="4"/>
      <c r="S12" s="43"/>
      <c r="U12" s="32"/>
    </row>
    <row r="13" spans="2:31" ht="15" x14ac:dyDescent="0.4">
      <c r="B13" s="13"/>
      <c r="C13" s="11"/>
      <c r="D13" s="15">
        <v>0.41592362371475627</v>
      </c>
      <c r="E13" s="15">
        <v>0.58407637628524356</v>
      </c>
      <c r="F13" s="13"/>
      <c r="G13" s="4"/>
      <c r="H13" s="4"/>
      <c r="I13" s="4"/>
      <c r="J13" s="4"/>
      <c r="K13" s="4"/>
      <c r="L13" s="4"/>
      <c r="M13" s="4"/>
      <c r="N13" s="4"/>
      <c r="O13" s="18"/>
      <c r="P13" s="26"/>
      <c r="Q13" s="4"/>
      <c r="R13" s="4"/>
      <c r="S13" s="43"/>
      <c r="T13" s="4"/>
      <c r="U13" s="21"/>
      <c r="V13" s="4"/>
      <c r="W13" s="4"/>
      <c r="X13" s="4"/>
      <c r="Y13" s="4"/>
      <c r="Z13" s="4"/>
      <c r="AA13" s="4"/>
      <c r="AB13" s="4"/>
      <c r="AC13" s="4"/>
      <c r="AD13" s="4"/>
      <c r="AE13" s="4"/>
    </row>
    <row r="14" spans="2:31" ht="15.6" x14ac:dyDescent="0.3">
      <c r="B14" s="101"/>
      <c r="C14" s="101"/>
      <c r="D14" s="101"/>
      <c r="E14" s="101"/>
      <c r="F14" s="10"/>
      <c r="G14" s="4"/>
      <c r="H14" s="4"/>
      <c r="I14" s="4"/>
      <c r="J14" s="4"/>
      <c r="K14" s="4"/>
      <c r="L14" s="4"/>
      <c r="M14" s="4"/>
      <c r="N14" s="4"/>
      <c r="O14" s="4"/>
      <c r="P14" s="42"/>
      <c r="Q14" s="4"/>
      <c r="R14" s="4"/>
      <c r="S14" s="4"/>
      <c r="T14" s="4"/>
      <c r="U14" s="21"/>
      <c r="V14" s="4"/>
      <c r="W14" s="4"/>
      <c r="X14" s="4"/>
      <c r="Y14" s="4"/>
      <c r="Z14" s="4"/>
      <c r="AA14" s="4"/>
      <c r="AB14" s="4"/>
      <c r="AC14" s="4"/>
      <c r="AD14" s="4"/>
      <c r="AE14" s="4"/>
    </row>
    <row r="15" spans="2:31" ht="15" x14ac:dyDescent="0.25">
      <c r="B15" s="17"/>
      <c r="C15" s="17"/>
      <c r="D15" s="17"/>
      <c r="E15" s="17"/>
      <c r="F15" s="10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21"/>
      <c r="V15" s="4"/>
      <c r="W15" s="4"/>
      <c r="X15" s="4"/>
      <c r="Y15" s="4"/>
      <c r="Z15" s="4"/>
      <c r="AA15" s="4"/>
      <c r="AB15" s="4"/>
      <c r="AC15" s="4"/>
      <c r="AD15" s="4"/>
      <c r="AE15" s="4"/>
    </row>
    <row r="16" spans="2:31" ht="15.6" thickBot="1" x14ac:dyDescent="0.45">
      <c r="B16" s="52" t="s">
        <v>46</v>
      </c>
      <c r="C16" s="6"/>
      <c r="D16" s="4"/>
      <c r="E16" s="53" t="s">
        <v>10</v>
      </c>
      <c r="F16" s="54"/>
      <c r="G16" s="5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21"/>
      <c r="V16" s="4"/>
      <c r="W16" s="4"/>
      <c r="X16" s="4"/>
      <c r="Y16" s="43"/>
      <c r="Z16" s="4"/>
      <c r="AA16" s="4"/>
      <c r="AB16" s="4"/>
      <c r="AC16" s="4"/>
      <c r="AD16" s="4"/>
      <c r="AE16" s="4"/>
    </row>
    <row r="17" spans="2:31" x14ac:dyDescent="0.25">
      <c r="B17" s="4"/>
      <c r="C17" s="6" t="s">
        <v>1</v>
      </c>
      <c r="D17" s="11" t="s">
        <v>1</v>
      </c>
      <c r="E17" s="10"/>
      <c r="F17" s="10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8"/>
      <c r="W17" s="48"/>
      <c r="X17" s="4"/>
      <c r="Y17" s="4"/>
      <c r="Z17" s="4"/>
      <c r="AA17" s="4"/>
      <c r="AB17" s="4"/>
      <c r="AC17" s="4"/>
      <c r="AD17" s="4"/>
      <c r="AE17" s="4"/>
    </row>
    <row r="18" spans="2:31" x14ac:dyDescent="0.25">
      <c r="B18" s="11" t="s">
        <v>14</v>
      </c>
      <c r="C18" s="6">
        <f>2068441*E10/E11</f>
        <v>1062416.3640149564</v>
      </c>
      <c r="D18" s="11" t="s">
        <v>1</v>
      </c>
      <c r="E18" s="11" t="s">
        <v>14</v>
      </c>
      <c r="F18" s="4"/>
      <c r="G18" s="4"/>
      <c r="H18" s="4"/>
      <c r="I18" s="10">
        <f>2068441-C18</f>
        <v>1006024.6359850436</v>
      </c>
      <c r="J18" s="4"/>
      <c r="K18" s="4"/>
      <c r="L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</row>
    <row r="19" spans="2:31" x14ac:dyDescent="0.25">
      <c r="B19" s="11" t="s">
        <v>41</v>
      </c>
      <c r="C19" s="6">
        <v>0</v>
      </c>
      <c r="D19" s="11"/>
      <c r="E19" s="11" t="s">
        <v>16</v>
      </c>
      <c r="F19" s="4"/>
      <c r="G19" s="4"/>
      <c r="H19" s="4"/>
      <c r="I19" s="10">
        <v>0</v>
      </c>
      <c r="J19" s="4"/>
      <c r="K19" s="4"/>
      <c r="L19" s="4"/>
      <c r="N19" s="4"/>
      <c r="O19" s="4"/>
      <c r="P19" s="4"/>
      <c r="Q19" s="4"/>
      <c r="R19" s="4"/>
      <c r="S19" s="4"/>
      <c r="T19" s="4"/>
      <c r="U19" s="4"/>
      <c r="V19" s="46"/>
      <c r="W19" s="46"/>
      <c r="X19" s="4"/>
      <c r="Y19" s="4"/>
      <c r="Z19" s="4"/>
      <c r="AA19" s="4"/>
      <c r="AB19" s="4"/>
      <c r="AC19" s="4"/>
      <c r="AD19" s="4"/>
      <c r="AE19" s="4"/>
    </row>
    <row r="20" spans="2:31" ht="15" x14ac:dyDescent="0.4">
      <c r="B20" s="4" t="s">
        <v>43</v>
      </c>
      <c r="C20" s="28">
        <f>(-6.5*('DWR Billing Determinants'!E15+D10)*10)+(-91602.88588)</f>
        <v>-713618.28446645837</v>
      </c>
      <c r="D20" s="11"/>
      <c r="E20" s="11" t="s">
        <v>17</v>
      </c>
      <c r="F20" s="10"/>
      <c r="G20" s="4"/>
      <c r="H20" s="4"/>
      <c r="I20" s="10">
        <f>D9*6.5*10</f>
        <v>646609.70831827703</v>
      </c>
      <c r="J20" s="10" t="s">
        <v>1</v>
      </c>
      <c r="K20" s="4"/>
      <c r="L20" s="4"/>
      <c r="N20" s="4"/>
      <c r="O20" s="4"/>
      <c r="P20" s="4"/>
      <c r="Q20" s="4"/>
      <c r="R20" s="4"/>
      <c r="S20" s="4"/>
      <c r="T20" s="4"/>
      <c r="U20" s="4"/>
      <c r="V20" s="43"/>
      <c r="W20" s="43"/>
      <c r="X20" s="4"/>
      <c r="Y20" s="4"/>
      <c r="Z20" s="4"/>
      <c r="AA20" s="4"/>
      <c r="AB20" s="4"/>
      <c r="AC20" s="4"/>
      <c r="AD20" s="4"/>
      <c r="AE20" s="4"/>
    </row>
    <row r="21" spans="2:31" ht="15" x14ac:dyDescent="0.4">
      <c r="B21" s="11" t="s">
        <v>11</v>
      </c>
      <c r="C21" s="6">
        <f>SUM(C18:C20)</f>
        <v>348798.07954849803</v>
      </c>
      <c r="D21" s="11"/>
      <c r="E21" s="10" t="s">
        <v>15</v>
      </c>
      <c r="F21" s="10"/>
      <c r="G21" s="4"/>
      <c r="H21" s="4"/>
      <c r="I21" s="28">
        <f>-6.5*('DWR Billing Determinants'!H15+D9)*10</f>
        <v>-1235609.3097318187</v>
      </c>
      <c r="J21" s="4"/>
      <c r="K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</row>
    <row r="22" spans="2:31" x14ac:dyDescent="0.25">
      <c r="B22" s="4"/>
      <c r="C22" s="6" t="s">
        <v>1</v>
      </c>
      <c r="D22" s="11"/>
      <c r="E22" s="11" t="s">
        <v>11</v>
      </c>
      <c r="F22" s="4"/>
      <c r="G22" s="4"/>
      <c r="H22" s="4"/>
      <c r="I22" s="18">
        <f>SUM(I18:I21)</f>
        <v>417025.03457150189</v>
      </c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</row>
    <row r="23" spans="2:31" x14ac:dyDescent="0.25">
      <c r="B23" s="4" t="s">
        <v>1</v>
      </c>
      <c r="C23" s="4"/>
      <c r="D23" s="4"/>
      <c r="E23" s="4"/>
      <c r="F23" s="13" t="s">
        <v>13</v>
      </c>
      <c r="G23" s="10" t="s">
        <v>1</v>
      </c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</row>
    <row r="24" spans="2:31" x14ac:dyDescent="0.25">
      <c r="B24" s="19" t="s">
        <v>12</v>
      </c>
      <c r="C24" s="19">
        <f>C21/G10/10</f>
        <v>4.8611335689714021</v>
      </c>
      <c r="D24" s="20" t="s">
        <v>9</v>
      </c>
      <c r="E24" s="19" t="s">
        <v>12</v>
      </c>
      <c r="F24" s="4"/>
      <c r="G24" s="4"/>
      <c r="H24" s="4"/>
      <c r="I24" s="19">
        <f>I22/G9/10</f>
        <v>2.4908570891884945</v>
      </c>
      <c r="J24" s="20" t="s">
        <v>9</v>
      </c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</row>
    <row r="25" spans="2:31" x14ac:dyDescent="0.25">
      <c r="B25" s="19" t="s">
        <v>18</v>
      </c>
      <c r="C25" s="51">
        <f>-0.66</f>
        <v>-0.66</v>
      </c>
      <c r="D25" s="20" t="s">
        <v>9</v>
      </c>
      <c r="E25" s="11"/>
      <c r="F25" s="4"/>
      <c r="G25" s="4"/>
      <c r="H25" s="4"/>
      <c r="I25" s="51">
        <v>0</v>
      </c>
      <c r="J25" s="20" t="s">
        <v>9</v>
      </c>
      <c r="K25" s="4"/>
      <c r="L25" s="4"/>
      <c r="M25" s="4"/>
      <c r="N25" s="4"/>
      <c r="O25" s="4"/>
      <c r="P25" s="18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</row>
    <row r="26" spans="2:31" x14ac:dyDescent="0.25">
      <c r="B26" s="4"/>
      <c r="C26" s="4"/>
      <c r="D26" s="4"/>
      <c r="E26" s="10"/>
      <c r="F26" s="4"/>
      <c r="G26" s="4"/>
      <c r="H26" s="4"/>
      <c r="I26" s="4"/>
      <c r="J26" s="4"/>
      <c r="K26" s="4"/>
      <c r="L26" s="4"/>
      <c r="M26" s="4"/>
      <c r="N26" s="4"/>
      <c r="O26" s="42"/>
      <c r="P26" s="43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</row>
    <row r="27" spans="2:31" x14ac:dyDescent="0.25">
      <c r="B27" s="19" t="s">
        <v>45</v>
      </c>
      <c r="C27" s="19">
        <f>C24+C25</f>
        <v>4.201133568971402</v>
      </c>
      <c r="D27" s="20" t="s">
        <v>9</v>
      </c>
      <c r="E27" s="10"/>
      <c r="F27" s="10"/>
      <c r="G27" s="4"/>
      <c r="H27" s="4"/>
      <c r="I27" s="19">
        <f>I24+I25</f>
        <v>2.4908570891884945</v>
      </c>
      <c r="J27" s="20" t="s">
        <v>9</v>
      </c>
      <c r="K27" s="4"/>
      <c r="L27" s="4"/>
      <c r="M27" s="4"/>
      <c r="N27" s="43"/>
      <c r="O27" s="4"/>
      <c r="P27" s="43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</row>
    <row r="28" spans="2:31" x14ac:dyDescent="0.25">
      <c r="B28" s="19"/>
      <c r="C28" s="19"/>
      <c r="D28" s="20"/>
      <c r="E28" s="10"/>
      <c r="F28" s="10"/>
      <c r="G28" s="4"/>
      <c r="H28" s="4"/>
      <c r="I28" s="19"/>
      <c r="J28" s="20"/>
      <c r="K28" s="4"/>
      <c r="L28" s="4"/>
      <c r="M28" s="4"/>
      <c r="N28" s="43"/>
      <c r="O28" s="4"/>
      <c r="P28" s="43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</row>
    <row r="29" spans="2:31" ht="13.8" thickBot="1" x14ac:dyDescent="0.3">
      <c r="B29" s="47"/>
      <c r="C29" s="10"/>
      <c r="D29" s="20"/>
      <c r="E29" s="12"/>
      <c r="F29" s="10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</row>
    <row r="30" spans="2:31" ht="13.8" thickBot="1" x14ac:dyDescent="0.3">
      <c r="B30" s="87" t="s">
        <v>54</v>
      </c>
      <c r="C30" s="89">
        <f>C27*G10/G11+I24*G9/G11</f>
        <v>3.0039400331233663</v>
      </c>
      <c r="D30" s="88" t="s">
        <v>9</v>
      </c>
      <c r="E30" s="10"/>
      <c r="F30" s="10"/>
      <c r="G30" s="4"/>
      <c r="H30" s="4"/>
      <c r="I30" s="4"/>
      <c r="J30" s="4"/>
      <c r="K30" s="4"/>
      <c r="L30" s="4"/>
      <c r="M30" s="4"/>
      <c r="N30" s="43"/>
      <c r="O30" s="4"/>
      <c r="P30" s="21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</row>
    <row r="31" spans="2:31" x14ac:dyDescent="0.25">
      <c r="B31" s="19"/>
      <c r="C31" s="92"/>
      <c r="D31" s="20"/>
      <c r="E31" s="10"/>
      <c r="F31" s="10"/>
      <c r="G31" s="4"/>
      <c r="H31" s="4"/>
      <c r="I31" s="4"/>
      <c r="J31" s="4"/>
      <c r="K31" s="4"/>
      <c r="L31" s="4"/>
      <c r="M31" s="4"/>
      <c r="N31" s="43"/>
      <c r="O31" s="4"/>
      <c r="P31" s="21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</row>
    <row r="32" spans="2:31" ht="15" x14ac:dyDescent="0.4">
      <c r="B32" s="11"/>
      <c r="C32" s="6"/>
      <c r="D32" s="12"/>
      <c r="E32" s="10"/>
      <c r="F32" s="10"/>
      <c r="G32" s="4"/>
      <c r="H32" s="4"/>
      <c r="I32" s="4"/>
      <c r="J32" s="4"/>
      <c r="K32" s="4"/>
      <c r="L32" s="4"/>
      <c r="M32" s="4"/>
      <c r="N32" s="4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</row>
    <row r="33" spans="2:31" x14ac:dyDescent="0.25">
      <c r="B33" s="86" t="s">
        <v>47</v>
      </c>
      <c r="C33" s="6"/>
      <c r="D33" s="11"/>
      <c r="E33" s="10"/>
      <c r="F33" s="10"/>
      <c r="G33" s="4"/>
      <c r="H33" s="4"/>
      <c r="I33" s="4"/>
      <c r="J33" s="4"/>
      <c r="K33" s="4"/>
      <c r="L33" s="4"/>
      <c r="M33" s="4"/>
      <c r="N33" s="42"/>
      <c r="O33" s="4"/>
      <c r="P33" s="42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</row>
    <row r="34" spans="2:31" x14ac:dyDescent="0.25">
      <c r="B34" s="8"/>
      <c r="C34" s="6"/>
      <c r="D34" s="8"/>
      <c r="E34" s="9"/>
      <c r="F34" s="9"/>
      <c r="N34" s="4"/>
      <c r="O34" s="4"/>
      <c r="P34" s="29"/>
      <c r="Q34" s="4"/>
      <c r="R34" s="4"/>
      <c r="S34" s="4"/>
    </row>
    <row r="35" spans="2:31" ht="15" x14ac:dyDescent="0.4">
      <c r="B35" t="s">
        <v>57</v>
      </c>
      <c r="N35" s="4"/>
      <c r="O35" s="4"/>
      <c r="P35" s="26"/>
      <c r="Q35" s="4"/>
      <c r="R35" s="4"/>
      <c r="S35" s="4"/>
    </row>
    <row r="36" spans="2:31" ht="15" x14ac:dyDescent="0.4">
      <c r="B36" t="s">
        <v>58</v>
      </c>
      <c r="N36" s="4"/>
      <c r="O36" s="4"/>
      <c r="P36" s="26"/>
      <c r="Q36" s="4"/>
      <c r="R36" s="4"/>
      <c r="S36" s="4"/>
    </row>
    <row r="37" spans="2:31" x14ac:dyDescent="0.25">
      <c r="B37" t="s">
        <v>55</v>
      </c>
      <c r="G37" s="4"/>
      <c r="N37" s="4"/>
      <c r="O37" s="4"/>
      <c r="P37" s="21"/>
      <c r="Q37" s="4"/>
      <c r="R37" s="4"/>
      <c r="S37" s="4"/>
    </row>
    <row r="38" spans="2:31" x14ac:dyDescent="0.25">
      <c r="N38" s="4"/>
      <c r="O38" s="4"/>
      <c r="P38" s="4"/>
      <c r="Q38" s="4"/>
      <c r="R38" s="4"/>
      <c r="S38" s="4"/>
    </row>
    <row r="39" spans="2:31" x14ac:dyDescent="0.25">
      <c r="N39" s="4"/>
      <c r="O39" s="4"/>
      <c r="P39" s="45"/>
      <c r="Q39" s="4"/>
      <c r="R39" s="4"/>
      <c r="S39" s="4"/>
    </row>
    <row r="40" spans="2:31" x14ac:dyDescent="0.25">
      <c r="N40" s="4"/>
      <c r="O40" s="4"/>
      <c r="P40" s="18"/>
      <c r="Q40" s="46"/>
      <c r="R40" s="4"/>
      <c r="S40" s="4"/>
    </row>
    <row r="41" spans="2:31" x14ac:dyDescent="0.25">
      <c r="N41" s="4"/>
      <c r="O41" s="4"/>
      <c r="P41" s="18"/>
      <c r="Q41" s="46"/>
      <c r="R41" s="4"/>
      <c r="S41" s="4"/>
    </row>
    <row r="42" spans="2:31" x14ac:dyDescent="0.25">
      <c r="N42" s="4"/>
      <c r="O42" s="4"/>
      <c r="P42" s="4"/>
      <c r="Q42" s="4"/>
      <c r="R42" s="4"/>
      <c r="S42" s="4"/>
    </row>
    <row r="49" spans="2:13" x14ac:dyDescent="0.25">
      <c r="B49" s="37"/>
      <c r="C49" s="35"/>
      <c r="D49" s="34"/>
      <c r="E49" s="10"/>
      <c r="F49" s="4"/>
      <c r="G49" s="4"/>
      <c r="H49" s="4"/>
      <c r="I49" s="35"/>
      <c r="J49" s="34"/>
      <c r="K49" s="4"/>
      <c r="L49" s="4"/>
      <c r="M49" s="4"/>
    </row>
    <row r="50" spans="2:13" x14ac:dyDescent="0.25">
      <c r="B50" s="37"/>
      <c r="C50" s="35"/>
      <c r="D50" s="34"/>
      <c r="E50" s="10"/>
      <c r="F50" s="4"/>
      <c r="G50" s="4"/>
      <c r="H50" s="4"/>
      <c r="I50" s="35"/>
      <c r="J50" s="34"/>
      <c r="K50" s="4"/>
      <c r="L50" s="4"/>
      <c r="M50" s="4"/>
    </row>
    <row r="51" spans="2:13" x14ac:dyDescent="0.25">
      <c r="B51" s="11"/>
      <c r="C51" s="6"/>
      <c r="D51" s="4"/>
      <c r="E51" s="10"/>
      <c r="F51" s="4"/>
      <c r="G51" s="4"/>
      <c r="H51" s="4"/>
      <c r="I51" s="4"/>
      <c r="J51" s="4"/>
      <c r="K51" s="4"/>
      <c r="L51" s="4"/>
      <c r="M51" s="4"/>
    </row>
    <row r="52" spans="2:13" x14ac:dyDescent="0.25">
      <c r="B52" s="19"/>
      <c r="C52" s="19"/>
      <c r="D52" s="20"/>
      <c r="E52" s="10"/>
      <c r="F52" s="4"/>
      <c r="G52" s="4"/>
      <c r="H52" s="4"/>
      <c r="I52" s="4"/>
      <c r="J52" s="4"/>
      <c r="K52" s="4"/>
      <c r="L52" s="4"/>
      <c r="M52" s="4"/>
    </row>
    <row r="53" spans="2:13" x14ac:dyDescent="0.25">
      <c r="B53" s="11"/>
      <c r="C53" s="11"/>
      <c r="D53" s="13"/>
      <c r="E53" s="10"/>
      <c r="F53" s="10"/>
      <c r="G53" s="4"/>
      <c r="H53" s="4"/>
      <c r="I53" s="4"/>
      <c r="J53" s="4"/>
      <c r="K53" s="4"/>
      <c r="L53" s="4"/>
      <c r="M53" s="4"/>
    </row>
    <row r="54" spans="2:13" x14ac:dyDescent="0.25">
      <c r="B54" s="11"/>
      <c r="C54" s="6"/>
      <c r="D54" s="11"/>
      <c r="E54" s="10"/>
      <c r="F54" s="10"/>
      <c r="G54" s="4"/>
      <c r="H54" s="4"/>
      <c r="I54" s="4"/>
      <c r="J54" s="4"/>
      <c r="K54" s="4"/>
      <c r="L54" s="4"/>
      <c r="M54" s="4"/>
    </row>
    <row r="55" spans="2:13" x14ac:dyDescent="0.25">
      <c r="B55" s="11"/>
      <c r="C55" s="6"/>
      <c r="D55" s="11"/>
      <c r="E55" s="10"/>
      <c r="F55" s="10"/>
      <c r="G55" s="4"/>
      <c r="H55" s="4"/>
      <c r="I55" s="4"/>
    </row>
    <row r="56" spans="2:13" ht="15.6" x14ac:dyDescent="0.3">
      <c r="B56" s="101"/>
      <c r="C56" s="101"/>
      <c r="D56" s="101"/>
      <c r="E56" s="10"/>
      <c r="F56" s="10"/>
      <c r="G56" s="4"/>
      <c r="H56" s="4"/>
      <c r="I56" s="4"/>
    </row>
    <row r="57" spans="2:13" ht="15" x14ac:dyDescent="0.25">
      <c r="B57" s="17"/>
      <c r="C57" s="17"/>
      <c r="D57" s="17"/>
      <c r="E57" s="10"/>
      <c r="F57" s="10"/>
      <c r="G57" s="4"/>
      <c r="H57" s="4"/>
      <c r="I57" s="4"/>
    </row>
    <row r="58" spans="2:13" x14ac:dyDescent="0.25">
      <c r="B58" s="11"/>
      <c r="C58" s="6"/>
      <c r="D58" s="16"/>
      <c r="E58" s="10"/>
      <c r="F58" s="10"/>
      <c r="G58" s="4"/>
      <c r="H58" s="4"/>
      <c r="I58" s="4"/>
    </row>
    <row r="59" spans="2:13" x14ac:dyDescent="0.25">
      <c r="B59" s="11"/>
      <c r="C59" s="6"/>
      <c r="D59" s="16"/>
      <c r="E59" s="10"/>
      <c r="F59" s="10"/>
      <c r="G59" s="4"/>
      <c r="H59" s="4"/>
      <c r="I59" s="4"/>
    </row>
    <row r="60" spans="2:13" x14ac:dyDescent="0.25">
      <c r="B60" s="11"/>
      <c r="C60" s="6"/>
      <c r="D60" s="16"/>
      <c r="E60" s="10"/>
      <c r="F60" s="10"/>
      <c r="G60" s="4"/>
      <c r="H60" s="4"/>
      <c r="I60" s="4"/>
    </row>
    <row r="61" spans="2:13" x14ac:dyDescent="0.25">
      <c r="B61" s="11"/>
      <c r="C61" s="6"/>
      <c r="D61" s="16"/>
      <c r="E61" s="10"/>
      <c r="F61" s="10"/>
      <c r="G61" s="4"/>
      <c r="H61" s="4"/>
      <c r="I61" s="4"/>
    </row>
    <row r="62" spans="2:13" x14ac:dyDescent="0.25">
      <c r="B62" s="11"/>
      <c r="C62" s="11"/>
      <c r="D62" s="13"/>
      <c r="E62" s="10"/>
      <c r="F62" s="10"/>
      <c r="G62" s="49"/>
      <c r="H62" s="4"/>
      <c r="I62" s="4"/>
    </row>
    <row r="63" spans="2:13" x14ac:dyDescent="0.25">
      <c r="B63" s="11"/>
      <c r="C63" s="6"/>
      <c r="D63" s="16"/>
      <c r="E63" s="10"/>
      <c r="F63" s="10"/>
      <c r="G63" s="4"/>
      <c r="H63" s="4"/>
      <c r="I63" s="4"/>
    </row>
    <row r="64" spans="2:13" x14ac:dyDescent="0.25">
      <c r="B64" s="11"/>
      <c r="C64" s="6"/>
      <c r="D64" s="16"/>
      <c r="E64" s="10"/>
      <c r="F64" s="10"/>
      <c r="G64" s="4"/>
      <c r="H64" s="4"/>
      <c r="I64" s="4"/>
    </row>
    <row r="65" spans="2:9" x14ac:dyDescent="0.25">
      <c r="B65" s="11"/>
      <c r="C65" s="6"/>
      <c r="D65" s="16"/>
      <c r="E65" s="10"/>
      <c r="F65" s="10"/>
      <c r="G65" s="18"/>
      <c r="H65" s="4"/>
      <c r="I65" s="4"/>
    </row>
    <row r="66" spans="2:9" ht="15" x14ac:dyDescent="0.4">
      <c r="B66" s="11"/>
      <c r="C66" s="6"/>
      <c r="D66" s="16"/>
      <c r="E66" s="10"/>
      <c r="F66" s="10"/>
      <c r="G66" s="38"/>
      <c r="H66" s="4"/>
      <c r="I66" s="4"/>
    </row>
    <row r="67" spans="2:9" x14ac:dyDescent="0.25">
      <c r="B67" s="11"/>
      <c r="C67" s="4"/>
      <c r="D67" s="4"/>
      <c r="E67" s="10"/>
      <c r="F67" s="10"/>
      <c r="G67" s="18"/>
      <c r="H67" s="4"/>
      <c r="I67" s="39"/>
    </row>
    <row r="68" spans="2:9" x14ac:dyDescent="0.25">
      <c r="B68" s="11"/>
      <c r="C68" s="18"/>
      <c r="D68" s="11"/>
      <c r="E68" s="10"/>
      <c r="F68" s="10"/>
      <c r="G68" s="4"/>
      <c r="H68" s="4"/>
      <c r="I68" s="4"/>
    </row>
    <row r="69" spans="2:9" x14ac:dyDescent="0.25">
      <c r="B69" s="11"/>
      <c r="C69" s="5"/>
      <c r="D69" s="11"/>
      <c r="E69" s="10"/>
      <c r="F69" s="10"/>
      <c r="G69" s="4"/>
      <c r="H69" s="4"/>
      <c r="I69" s="4"/>
    </row>
    <row r="70" spans="2:9" x14ac:dyDescent="0.25">
      <c r="B70" s="11"/>
      <c r="C70" s="42"/>
      <c r="D70" s="11"/>
      <c r="E70" s="10"/>
      <c r="F70" s="10"/>
      <c r="G70" s="4"/>
      <c r="H70" s="4"/>
      <c r="I70" s="4"/>
    </row>
    <row r="71" spans="2:9" ht="15" x14ac:dyDescent="0.25">
      <c r="B71" s="7"/>
      <c r="C71" s="18"/>
      <c r="D71" s="11"/>
      <c r="E71" s="24"/>
      <c r="F71" s="24"/>
      <c r="G71" s="4"/>
      <c r="H71" s="4"/>
      <c r="I71" s="4"/>
    </row>
    <row r="72" spans="2:9" ht="15" x14ac:dyDescent="0.25">
      <c r="B72" s="11"/>
      <c r="C72" s="7"/>
      <c r="D72" s="50"/>
      <c r="E72" s="24"/>
      <c r="F72" s="24"/>
      <c r="G72" s="4"/>
      <c r="H72" s="4"/>
      <c r="I72" s="4"/>
    </row>
    <row r="73" spans="2:9" ht="15" x14ac:dyDescent="0.25">
      <c r="B73" s="7"/>
      <c r="C73" s="7"/>
      <c r="D73" s="50"/>
      <c r="E73" s="24"/>
      <c r="F73" s="24"/>
      <c r="G73" s="4"/>
      <c r="H73" s="4"/>
      <c r="I73" s="4"/>
    </row>
    <row r="74" spans="2:9" ht="15" x14ac:dyDescent="0.25">
      <c r="B74" s="7"/>
      <c r="C74" s="7"/>
      <c r="D74" s="50"/>
      <c r="E74" s="24"/>
      <c r="F74" s="24"/>
      <c r="G74" s="4"/>
      <c r="H74" s="4"/>
      <c r="I74" s="4"/>
    </row>
    <row r="75" spans="2:9" x14ac:dyDescent="0.25">
      <c r="B75" s="4"/>
      <c r="C75" s="4"/>
      <c r="D75" s="4"/>
      <c r="E75" s="4"/>
      <c r="F75" s="4"/>
      <c r="G75" s="4"/>
      <c r="H75" s="4"/>
      <c r="I75" s="4"/>
    </row>
    <row r="76" spans="2:9" x14ac:dyDescent="0.25">
      <c r="B76" s="4"/>
      <c r="C76" s="4"/>
      <c r="D76" s="4"/>
      <c r="E76" s="4"/>
      <c r="F76" s="4"/>
      <c r="G76" s="4"/>
      <c r="H76" s="4"/>
      <c r="I76" s="4"/>
    </row>
    <row r="77" spans="2:9" x14ac:dyDescent="0.25">
      <c r="B77" s="4"/>
      <c r="C77" s="4"/>
      <c r="D77" s="4"/>
      <c r="E77" s="4"/>
      <c r="F77" s="4"/>
      <c r="G77" s="4"/>
      <c r="H77" s="4"/>
      <c r="I77" s="4"/>
    </row>
  </sheetData>
  <mergeCells count="4">
    <mergeCell ref="B2:F2"/>
    <mergeCell ref="B3:F3"/>
    <mergeCell ref="B14:E14"/>
    <mergeCell ref="B56:D56"/>
  </mergeCells>
  <printOptions horizontalCentered="1"/>
  <pageMargins left="0" right="0" top="0.47" bottom="0.5" header="0" footer="0.25"/>
  <pageSetup scale="90" orientation="landscape" r:id="rId1"/>
  <headerFooter alignWithMargins="0">
    <oddFooter>&amp;L&amp;8&amp;F   &amp;A&amp;R&amp;8&amp;D  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workbookViewId="0">
      <selection activeCell="B19" sqref="B19"/>
    </sheetView>
  </sheetViews>
  <sheetFormatPr defaultRowHeight="13.2" x14ac:dyDescent="0.25"/>
  <cols>
    <col min="1" max="1" width="11.88671875" bestFit="1" customWidth="1"/>
    <col min="2" max="2" width="7.6640625" customWidth="1"/>
    <col min="3" max="3" width="11.5546875" customWidth="1"/>
    <col min="4" max="4" width="11.33203125" bestFit="1" customWidth="1"/>
    <col min="5" max="6" width="11.44140625" bestFit="1" customWidth="1"/>
    <col min="7" max="8" width="11.33203125" bestFit="1" customWidth="1"/>
    <col min="9" max="9" width="11.44140625" bestFit="1" customWidth="1"/>
    <col min="10" max="10" width="9.6640625" bestFit="1" customWidth="1"/>
    <col min="11" max="11" width="11.33203125" bestFit="1" customWidth="1"/>
  </cols>
  <sheetData>
    <row r="1" spans="1:12" ht="15" x14ac:dyDescent="0.4">
      <c r="E1" s="55"/>
    </row>
    <row r="2" spans="1:12" ht="15" x14ac:dyDescent="0.25">
      <c r="A2" s="93" t="s">
        <v>19</v>
      </c>
      <c r="B2" s="93"/>
      <c r="C2" s="93"/>
      <c r="D2" s="93"/>
      <c r="E2" s="93"/>
      <c r="F2" s="93"/>
      <c r="G2" s="93"/>
      <c r="H2" s="93"/>
      <c r="I2" s="93"/>
      <c r="J2" s="93"/>
    </row>
    <row r="3" spans="1:12" ht="15" x14ac:dyDescent="0.25">
      <c r="A3" s="93" t="s">
        <v>20</v>
      </c>
      <c r="B3" s="93"/>
      <c r="C3" s="93"/>
      <c r="D3" s="93"/>
      <c r="E3" s="93"/>
      <c r="F3" s="93"/>
      <c r="G3" s="93"/>
      <c r="H3" s="93"/>
      <c r="I3" s="93"/>
      <c r="J3" s="93"/>
    </row>
    <row r="4" spans="1:12" x14ac:dyDescent="0.25">
      <c r="E4" s="56"/>
    </row>
    <row r="5" spans="1:12" x14ac:dyDescent="0.25">
      <c r="A5" s="4"/>
      <c r="B5" s="97" t="s">
        <v>21</v>
      </c>
      <c r="C5" s="98"/>
      <c r="D5" s="99"/>
      <c r="E5" s="94" t="s">
        <v>22</v>
      </c>
      <c r="F5" s="95"/>
      <c r="G5" s="96"/>
      <c r="H5" s="94" t="s">
        <v>23</v>
      </c>
      <c r="I5" s="95"/>
      <c r="J5" s="96"/>
    </row>
    <row r="6" spans="1:12" x14ac:dyDescent="0.25">
      <c r="A6" s="57" t="s">
        <v>24</v>
      </c>
      <c r="B6" s="58" t="s">
        <v>25</v>
      </c>
      <c r="C6" s="57" t="s">
        <v>26</v>
      </c>
      <c r="D6" s="59" t="s">
        <v>27</v>
      </c>
      <c r="E6" s="60" t="s">
        <v>28</v>
      </c>
      <c r="F6" s="57" t="s">
        <v>26</v>
      </c>
      <c r="G6" s="61" t="s">
        <v>27</v>
      </c>
      <c r="H6" s="60" t="s">
        <v>29</v>
      </c>
      <c r="I6" s="57" t="s">
        <v>26</v>
      </c>
      <c r="J6" s="61" t="s">
        <v>27</v>
      </c>
      <c r="K6" s="4"/>
    </row>
    <row r="7" spans="1:12" x14ac:dyDescent="0.25">
      <c r="A7" s="62" t="s">
        <v>30</v>
      </c>
      <c r="B7" s="63">
        <v>1096</v>
      </c>
      <c r="C7" s="39">
        <v>6.5</v>
      </c>
      <c r="D7" s="64">
        <f t="shared" ref="D7:D14" si="0">+B7*C7*10</f>
        <v>71240</v>
      </c>
      <c r="E7" s="63">
        <f>+B7*'[1]Rate Increase Model'!$F$12</f>
        <v>562.94007658927285</v>
      </c>
      <c r="F7" s="43">
        <v>6.5</v>
      </c>
      <c r="G7" s="64">
        <f>E7*F7*10</f>
        <v>36591.104978302741</v>
      </c>
      <c r="H7" s="63">
        <f>+B7*'[1]Rate Increase Model'!$F$11</f>
        <v>533.05992341072715</v>
      </c>
      <c r="I7" s="65">
        <v>6.5</v>
      </c>
      <c r="J7" s="64">
        <f t="shared" ref="J7:J14" si="1">+I7*H7*10</f>
        <v>34648.895021697259</v>
      </c>
      <c r="K7" s="66">
        <f t="shared" ref="K7:K14" si="2">+J7+G7</f>
        <v>71240</v>
      </c>
      <c r="L7" s="66">
        <f t="shared" ref="L7:L15" si="3">+K7-D7</f>
        <v>0</v>
      </c>
    </row>
    <row r="8" spans="1:12" x14ac:dyDescent="0.25">
      <c r="A8" s="62" t="s">
        <v>31</v>
      </c>
      <c r="B8" s="63">
        <v>1919</v>
      </c>
      <c r="C8" s="39">
        <v>6.5</v>
      </c>
      <c r="D8" s="64">
        <f t="shared" si="0"/>
        <v>124735</v>
      </c>
      <c r="E8" s="63">
        <f>+B8*'[1]Rate Increase Model'!$F$12</f>
        <v>985.6587654879695</v>
      </c>
      <c r="F8" s="43">
        <v>6.5</v>
      </c>
      <c r="G8" s="64">
        <f t="shared" ref="G8:G14" si="4">+F8*E8*10</f>
        <v>64067.819756718018</v>
      </c>
      <c r="H8" s="63">
        <f>+B8*'[1]Rate Increase Model'!$F$11</f>
        <v>933.34123451203038</v>
      </c>
      <c r="I8" s="65">
        <v>6.5</v>
      </c>
      <c r="J8" s="64">
        <f t="shared" si="1"/>
        <v>60667.180243281975</v>
      </c>
      <c r="K8" s="66">
        <f t="shared" si="2"/>
        <v>124735</v>
      </c>
      <c r="L8" s="66">
        <f t="shared" si="3"/>
        <v>0</v>
      </c>
    </row>
    <row r="9" spans="1:12" x14ac:dyDescent="0.25">
      <c r="A9" s="62" t="s">
        <v>32</v>
      </c>
      <c r="B9" s="63">
        <v>2443</v>
      </c>
      <c r="C9" s="39">
        <v>6.5</v>
      </c>
      <c r="D9" s="64">
        <f t="shared" si="0"/>
        <v>158795</v>
      </c>
      <c r="E9" s="63">
        <f>+B9*'[1]Rate Increase Model'!$F$12</f>
        <v>1254.801648820797</v>
      </c>
      <c r="F9" s="43">
        <v>6.5</v>
      </c>
      <c r="G9" s="64">
        <f t="shared" si="4"/>
        <v>81562.107173351804</v>
      </c>
      <c r="H9" s="63">
        <f>+B9*'[1]Rate Increase Model'!$F$11</f>
        <v>1188.198351179203</v>
      </c>
      <c r="I9" s="65">
        <v>6.5</v>
      </c>
      <c r="J9" s="64">
        <f t="shared" si="1"/>
        <v>77232.892826648196</v>
      </c>
      <c r="K9" s="66">
        <f t="shared" si="2"/>
        <v>158795</v>
      </c>
      <c r="L9" s="66">
        <f t="shared" si="3"/>
        <v>0</v>
      </c>
    </row>
    <row r="10" spans="1:12" x14ac:dyDescent="0.25">
      <c r="A10" s="62" t="s">
        <v>33</v>
      </c>
      <c r="B10" s="63">
        <v>2348</v>
      </c>
      <c r="C10" s="39">
        <v>6.5</v>
      </c>
      <c r="D10" s="64">
        <f t="shared" si="0"/>
        <v>152620</v>
      </c>
      <c r="E10" s="63">
        <f>+B10*'[1]Rate Increase Model'!$F$12</f>
        <v>1206.0066604303036</v>
      </c>
      <c r="F10" s="43">
        <v>6.5</v>
      </c>
      <c r="G10" s="64">
        <f t="shared" si="4"/>
        <v>78390.432927969727</v>
      </c>
      <c r="H10" s="63">
        <f>+B10*'[1]Rate Increase Model'!$F$11</f>
        <v>1141.9933395696964</v>
      </c>
      <c r="I10" s="65">
        <v>6.5</v>
      </c>
      <c r="J10" s="64">
        <f t="shared" si="1"/>
        <v>74229.567072030273</v>
      </c>
      <c r="K10" s="66">
        <f t="shared" si="2"/>
        <v>152620</v>
      </c>
      <c r="L10" s="66">
        <f t="shared" si="3"/>
        <v>0</v>
      </c>
    </row>
    <row r="11" spans="1:12" x14ac:dyDescent="0.25">
      <c r="A11" s="67" t="s">
        <v>34</v>
      </c>
      <c r="B11" s="63">
        <v>2514</v>
      </c>
      <c r="C11" s="39">
        <v>6.5</v>
      </c>
      <c r="D11" s="64">
        <f t="shared" si="0"/>
        <v>163410</v>
      </c>
      <c r="E11" s="63">
        <f>+B11*'[1]Rate Increase Model'!$F$12</f>
        <v>1291.2694822494816</v>
      </c>
      <c r="F11" s="43">
        <v>6.5</v>
      </c>
      <c r="G11" s="64">
        <f t="shared" si="4"/>
        <v>83932.516346216304</v>
      </c>
      <c r="H11" s="63">
        <f>+B11*'[1]Rate Increase Model'!$F$11</f>
        <v>1222.7305177505182</v>
      </c>
      <c r="I11" s="65">
        <v>6.5</v>
      </c>
      <c r="J11" s="64">
        <f t="shared" si="1"/>
        <v>79477.483653783682</v>
      </c>
      <c r="K11" s="66">
        <f t="shared" si="2"/>
        <v>163410</v>
      </c>
      <c r="L11" s="66">
        <f t="shared" si="3"/>
        <v>0</v>
      </c>
    </row>
    <row r="12" spans="1:12" x14ac:dyDescent="0.25">
      <c r="A12" s="62" t="s">
        <v>35</v>
      </c>
      <c r="B12" s="63">
        <v>2662</v>
      </c>
      <c r="C12" s="39">
        <v>6.5</v>
      </c>
      <c r="D12" s="64">
        <f t="shared" si="0"/>
        <v>173030</v>
      </c>
      <c r="E12" s="63">
        <f>+B12*'[1]Rate Increase Model'!$F$12</f>
        <v>1367.2869378473031</v>
      </c>
      <c r="F12" s="43">
        <v>6.5</v>
      </c>
      <c r="G12" s="64">
        <f t="shared" si="4"/>
        <v>88873.650960074709</v>
      </c>
      <c r="H12" s="63">
        <f>+B12*'[1]Rate Increase Model'!$F$11</f>
        <v>1294.7130621526967</v>
      </c>
      <c r="I12" s="65">
        <v>6.5</v>
      </c>
      <c r="J12" s="64">
        <f t="shared" si="1"/>
        <v>84156.349039925277</v>
      </c>
      <c r="K12" s="66">
        <f t="shared" si="2"/>
        <v>173030</v>
      </c>
      <c r="L12" s="66">
        <f t="shared" si="3"/>
        <v>0</v>
      </c>
    </row>
    <row r="13" spans="1:12" x14ac:dyDescent="0.25">
      <c r="A13" s="62" t="s">
        <v>36</v>
      </c>
      <c r="B13" s="63">
        <v>2994</v>
      </c>
      <c r="C13" s="39">
        <v>6.5</v>
      </c>
      <c r="D13" s="64">
        <f t="shared" si="0"/>
        <v>194610</v>
      </c>
      <c r="E13" s="63">
        <f>+B13*'[1]Rate Increase Model'!$F$12</f>
        <v>1537.8125814856596</v>
      </c>
      <c r="F13" s="43">
        <v>6.5</v>
      </c>
      <c r="G13" s="64">
        <f t="shared" si="4"/>
        <v>99957.817796567862</v>
      </c>
      <c r="H13" s="63">
        <f>+B13*'[1]Rate Increase Model'!$F$11</f>
        <v>1456.1874185143404</v>
      </c>
      <c r="I13" s="65">
        <v>6.5</v>
      </c>
      <c r="J13" s="64">
        <f t="shared" si="1"/>
        <v>94652.182203432138</v>
      </c>
      <c r="K13" s="66">
        <f t="shared" si="2"/>
        <v>194610</v>
      </c>
      <c r="L13" s="66">
        <f t="shared" si="3"/>
        <v>0</v>
      </c>
    </row>
    <row r="14" spans="1:12" x14ac:dyDescent="0.25">
      <c r="A14" s="62" t="s">
        <v>37</v>
      </c>
      <c r="B14" s="63">
        <v>2655</v>
      </c>
      <c r="C14" s="39">
        <v>6.5</v>
      </c>
      <c r="D14" s="64">
        <f t="shared" si="0"/>
        <v>172575</v>
      </c>
      <c r="E14" s="63">
        <f>+B14*'[1]Rate Increase Model'!$F$12</f>
        <v>1363.6915176501088</v>
      </c>
      <c r="F14" s="43">
        <v>6.5</v>
      </c>
      <c r="G14" s="64">
        <f t="shared" si="4"/>
        <v>88639.948647257086</v>
      </c>
      <c r="H14" s="63">
        <f>+B14*'[1]Rate Increase Model'!$F$11</f>
        <v>1291.3084823498909</v>
      </c>
      <c r="I14" s="65">
        <v>6.5</v>
      </c>
      <c r="J14" s="64">
        <f t="shared" si="1"/>
        <v>83935.051352742899</v>
      </c>
      <c r="K14" s="66">
        <f t="shared" si="2"/>
        <v>172575</v>
      </c>
      <c r="L14" s="66">
        <f t="shared" si="3"/>
        <v>0</v>
      </c>
    </row>
    <row r="15" spans="1:12" x14ac:dyDescent="0.25">
      <c r="A15" s="4" t="s">
        <v>38</v>
      </c>
      <c r="B15" s="68">
        <f>SUM(B7:B14)</f>
        <v>18631</v>
      </c>
      <c r="C15" s="69">
        <f>SUM(C7:C14)/8</f>
        <v>6.5</v>
      </c>
      <c r="D15" s="70">
        <f>SUM(D7:D14)</f>
        <v>1211015</v>
      </c>
      <c r="E15" s="71">
        <f>SUM(E7:E14)</f>
        <v>9569.4676705608981</v>
      </c>
      <c r="F15" s="72" t="s">
        <v>1</v>
      </c>
      <c r="G15" s="73">
        <f>SUM(G7:G14)</f>
        <v>622015.39858645818</v>
      </c>
      <c r="H15" s="71">
        <f>SUM(H7:H14)</f>
        <v>9061.5323294391037</v>
      </c>
      <c r="I15" s="72" t="s">
        <v>1</v>
      </c>
      <c r="J15" s="73">
        <f>SUM(J7:J14)</f>
        <v>588999.60141354171</v>
      </c>
      <c r="K15" s="66">
        <f>SUM(K7:K14)</f>
        <v>1211015</v>
      </c>
      <c r="L15" s="66">
        <f t="shared" si="3"/>
        <v>0</v>
      </c>
    </row>
    <row r="16" spans="1:12" x14ac:dyDescent="0.25">
      <c r="A16" s="4" t="s">
        <v>39</v>
      </c>
      <c r="B16" s="42">
        <f>SUM(B10:B14)</f>
        <v>13173</v>
      </c>
      <c r="C16" s="74" t="s">
        <v>1</v>
      </c>
      <c r="D16" s="4"/>
      <c r="E16" s="75">
        <f>SUM(E10:E14)</f>
        <v>6766.0671796628567</v>
      </c>
      <c r="F16" s="4"/>
      <c r="G16" s="4"/>
      <c r="H16" s="75">
        <f>SUM(H10:H14)</f>
        <v>6406.9328203371433</v>
      </c>
      <c r="I16" s="76" t="s">
        <v>1</v>
      </c>
      <c r="J16" s="4"/>
      <c r="K16" s="66"/>
    </row>
    <row r="17" spans="1:7" x14ac:dyDescent="0.25">
      <c r="A17" t="s">
        <v>40</v>
      </c>
      <c r="B17" s="77">
        <f>SUM(B8:B14)+5/53*B7</f>
        <v>17638.396226415094</v>
      </c>
      <c r="G17" s="78"/>
    </row>
    <row r="18" spans="1:7" x14ac:dyDescent="0.25">
      <c r="A18" t="s">
        <v>50</v>
      </c>
      <c r="B18" s="79">
        <f>B16+B11+B12+B13</f>
        <v>21343</v>
      </c>
      <c r="F18" s="79"/>
    </row>
    <row r="19" spans="1:7" x14ac:dyDescent="0.25">
      <c r="A19" t="s">
        <v>51</v>
      </c>
      <c r="B19" s="79">
        <f>B18+B17-B16</f>
        <v>25808.39622641509</v>
      </c>
      <c r="C19" s="79"/>
    </row>
    <row r="20" spans="1:7" x14ac:dyDescent="0.25">
      <c r="B20" s="79"/>
      <c r="C20" s="78"/>
      <c r="D20" s="78"/>
      <c r="F20" s="78"/>
      <c r="G20" s="78"/>
    </row>
    <row r="21" spans="1:7" x14ac:dyDescent="0.25">
      <c r="F21" s="78"/>
      <c r="G21" s="78"/>
    </row>
    <row r="22" spans="1:7" x14ac:dyDescent="0.25">
      <c r="G22" s="78"/>
    </row>
    <row r="23" spans="1:7" x14ac:dyDescent="0.25">
      <c r="C23" s="80"/>
      <c r="D23" s="81"/>
    </row>
    <row r="24" spans="1:7" x14ac:dyDescent="0.25">
      <c r="B24" s="77"/>
      <c r="C24" s="77"/>
      <c r="D24" s="77"/>
      <c r="E24" s="77"/>
    </row>
    <row r="26" spans="1:7" x14ac:dyDescent="0.25">
      <c r="B26" s="79"/>
      <c r="C26" s="77"/>
      <c r="D26" s="77"/>
      <c r="E26" s="77"/>
    </row>
    <row r="27" spans="1:7" x14ac:dyDescent="0.25">
      <c r="D27" s="77"/>
    </row>
    <row r="28" spans="1:7" x14ac:dyDescent="0.25">
      <c r="B28" s="77"/>
      <c r="C28" s="77"/>
      <c r="D28" s="77"/>
      <c r="E28" s="77"/>
    </row>
  </sheetData>
  <mergeCells count="5">
    <mergeCell ref="A2:J2"/>
    <mergeCell ref="E5:G5"/>
    <mergeCell ref="H5:J5"/>
    <mergeCell ref="B5:D5"/>
    <mergeCell ref="A3:J3"/>
  </mergeCells>
  <pageMargins left="0.75" right="0.75" top="1" bottom="1" header="0.5" footer="0.5"/>
  <pageSetup orientation="landscape" horizontalDpi="4294967292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workbookViewId="0">
      <selection activeCell="H21" sqref="H21"/>
    </sheetView>
  </sheetViews>
  <sheetFormatPr defaultRowHeight="13.2" x14ac:dyDescent="0.25"/>
  <cols>
    <col min="1" max="1" width="11.88671875" bestFit="1" customWidth="1"/>
    <col min="2" max="2" width="7.6640625" customWidth="1"/>
    <col min="3" max="3" width="11.5546875" customWidth="1"/>
    <col min="4" max="4" width="11.33203125" bestFit="1" customWidth="1"/>
    <col min="5" max="6" width="11.44140625" bestFit="1" customWidth="1"/>
    <col min="7" max="8" width="11.33203125" bestFit="1" customWidth="1"/>
    <col min="9" max="9" width="11.44140625" bestFit="1" customWidth="1"/>
    <col min="10" max="10" width="9.6640625" bestFit="1" customWidth="1"/>
    <col min="11" max="11" width="11.33203125" bestFit="1" customWidth="1"/>
  </cols>
  <sheetData>
    <row r="1" spans="1:12" ht="15" x14ac:dyDescent="0.4">
      <c r="E1" s="55"/>
    </row>
    <row r="2" spans="1:12" ht="15" x14ac:dyDescent="0.25">
      <c r="A2" s="93" t="s">
        <v>19</v>
      </c>
      <c r="B2" s="93"/>
      <c r="C2" s="93"/>
      <c r="D2" s="93"/>
      <c r="E2" s="93"/>
      <c r="F2" s="93"/>
      <c r="G2" s="93"/>
      <c r="H2" s="93"/>
      <c r="I2" s="93"/>
      <c r="J2" s="93"/>
    </row>
    <row r="3" spans="1:12" ht="15" x14ac:dyDescent="0.25">
      <c r="A3" s="93" t="s">
        <v>20</v>
      </c>
      <c r="B3" s="93"/>
      <c r="C3" s="93"/>
      <c r="D3" s="93"/>
      <c r="E3" s="93"/>
      <c r="F3" s="93"/>
      <c r="G3" s="93"/>
      <c r="H3" s="93"/>
      <c r="I3" s="93"/>
      <c r="J3" s="93"/>
    </row>
    <row r="4" spans="1:12" x14ac:dyDescent="0.25">
      <c r="E4" s="56"/>
    </row>
    <row r="5" spans="1:12" x14ac:dyDescent="0.25">
      <c r="A5" s="4"/>
      <c r="B5" s="97" t="s">
        <v>21</v>
      </c>
      <c r="C5" s="98"/>
      <c r="D5" s="99"/>
      <c r="E5" s="94" t="s">
        <v>22</v>
      </c>
      <c r="F5" s="95"/>
      <c r="G5" s="96"/>
      <c r="H5" s="94" t="s">
        <v>23</v>
      </c>
      <c r="I5" s="95"/>
      <c r="J5" s="96"/>
    </row>
    <row r="6" spans="1:12" x14ac:dyDescent="0.25">
      <c r="A6" s="57" t="s">
        <v>24</v>
      </c>
      <c r="B6" s="58" t="s">
        <v>25</v>
      </c>
      <c r="C6" s="57" t="s">
        <v>26</v>
      </c>
      <c r="D6" s="59" t="s">
        <v>27</v>
      </c>
      <c r="E6" s="60" t="s">
        <v>28</v>
      </c>
      <c r="F6" s="57" t="s">
        <v>26</v>
      </c>
      <c r="G6" s="61" t="s">
        <v>27</v>
      </c>
      <c r="H6" s="60" t="s">
        <v>29</v>
      </c>
      <c r="I6" s="57" t="s">
        <v>26</v>
      </c>
      <c r="J6" s="61" t="s">
        <v>27</v>
      </c>
      <c r="K6" s="4"/>
    </row>
    <row r="7" spans="1:12" x14ac:dyDescent="0.25">
      <c r="A7" s="62" t="s">
        <v>30</v>
      </c>
      <c r="B7" s="63">
        <v>1096</v>
      </c>
      <c r="C7" s="39">
        <v>6.5</v>
      </c>
      <c r="D7" s="64">
        <f t="shared" ref="D7:D14" si="0">+B7*C7*10</f>
        <v>71240</v>
      </c>
      <c r="E7" s="63">
        <v>562.94007658927285</v>
      </c>
      <c r="F7" s="43">
        <v>6.5</v>
      </c>
      <c r="G7" s="64">
        <f>E7*F7*10</f>
        <v>36591.104978302741</v>
      </c>
      <c r="H7" s="63">
        <v>533.05992341072715</v>
      </c>
      <c r="I7" s="65">
        <v>6.5</v>
      </c>
      <c r="J7" s="64">
        <f t="shared" ref="J7:J14" si="1">+I7*H7*10</f>
        <v>34648.895021697259</v>
      </c>
      <c r="K7" s="66">
        <f t="shared" ref="K7:K14" si="2">+J7+G7</f>
        <v>71240</v>
      </c>
      <c r="L7" s="66">
        <f t="shared" ref="L7:L15" si="3">+K7-D7</f>
        <v>0</v>
      </c>
    </row>
    <row r="8" spans="1:12" x14ac:dyDescent="0.25">
      <c r="A8" s="62" t="s">
        <v>31</v>
      </c>
      <c r="B8" s="63">
        <v>1919</v>
      </c>
      <c r="C8" s="39">
        <v>6.5</v>
      </c>
      <c r="D8" s="64">
        <f t="shared" si="0"/>
        <v>124735</v>
      </c>
      <c r="E8" s="63">
        <v>985.6587654879695</v>
      </c>
      <c r="F8" s="43">
        <v>6.5</v>
      </c>
      <c r="G8" s="64">
        <f t="shared" ref="G8:G14" si="4">+F8*E8*10</f>
        <v>64067.819756718018</v>
      </c>
      <c r="H8" s="63">
        <v>933.34123451203038</v>
      </c>
      <c r="I8" s="65">
        <v>6.5</v>
      </c>
      <c r="J8" s="64">
        <f t="shared" si="1"/>
        <v>60667.180243281975</v>
      </c>
      <c r="K8" s="66">
        <f t="shared" si="2"/>
        <v>124735</v>
      </c>
      <c r="L8" s="66">
        <f t="shared" si="3"/>
        <v>0</v>
      </c>
    </row>
    <row r="9" spans="1:12" x14ac:dyDescent="0.25">
      <c r="A9" s="62" t="s">
        <v>32</v>
      </c>
      <c r="B9" s="63">
        <v>2443</v>
      </c>
      <c r="C9" s="39">
        <v>6.5</v>
      </c>
      <c r="D9" s="64">
        <f t="shared" si="0"/>
        <v>158795</v>
      </c>
      <c r="E9" s="63">
        <v>1254.801648820797</v>
      </c>
      <c r="F9" s="43">
        <v>6.5</v>
      </c>
      <c r="G9" s="64">
        <f t="shared" si="4"/>
        <v>81562.107173351804</v>
      </c>
      <c r="H9" s="63">
        <v>1188.198351179203</v>
      </c>
      <c r="I9" s="65">
        <v>6.5</v>
      </c>
      <c r="J9" s="64">
        <f t="shared" si="1"/>
        <v>77232.892826648196</v>
      </c>
      <c r="K9" s="66">
        <f t="shared" si="2"/>
        <v>158795</v>
      </c>
      <c r="L9" s="66">
        <f t="shared" si="3"/>
        <v>0</v>
      </c>
    </row>
    <row r="10" spans="1:12" x14ac:dyDescent="0.25">
      <c r="A10" s="62" t="s">
        <v>33</v>
      </c>
      <c r="B10" s="63">
        <v>2348</v>
      </c>
      <c r="C10" s="39">
        <v>6.5</v>
      </c>
      <c r="D10" s="64">
        <f t="shared" si="0"/>
        <v>152620</v>
      </c>
      <c r="E10" s="63">
        <v>1206.0066604303036</v>
      </c>
      <c r="F10" s="43">
        <v>6.5</v>
      </c>
      <c r="G10" s="64">
        <f t="shared" si="4"/>
        <v>78390.432927969727</v>
      </c>
      <c r="H10" s="63">
        <v>1141.9933395696964</v>
      </c>
      <c r="I10" s="65">
        <v>6.5</v>
      </c>
      <c r="J10" s="64">
        <f t="shared" si="1"/>
        <v>74229.567072030273</v>
      </c>
      <c r="K10" s="66">
        <f t="shared" si="2"/>
        <v>152620</v>
      </c>
      <c r="L10" s="66">
        <f t="shared" si="3"/>
        <v>0</v>
      </c>
    </row>
    <row r="11" spans="1:12" x14ac:dyDescent="0.25">
      <c r="A11" s="67" t="s">
        <v>34</v>
      </c>
      <c r="B11" s="63">
        <v>2514</v>
      </c>
      <c r="C11" s="39">
        <v>6.5</v>
      </c>
      <c r="D11" s="64">
        <f t="shared" si="0"/>
        <v>163410</v>
      </c>
      <c r="E11" s="63">
        <v>1291.2694822494816</v>
      </c>
      <c r="F11" s="43">
        <v>6.5</v>
      </c>
      <c r="G11" s="64">
        <f t="shared" si="4"/>
        <v>83932.516346216304</v>
      </c>
      <c r="H11" s="63">
        <v>1222.7305177505182</v>
      </c>
      <c r="I11" s="65">
        <v>6.5</v>
      </c>
      <c r="J11" s="64">
        <f t="shared" si="1"/>
        <v>79477.483653783682</v>
      </c>
      <c r="K11" s="66">
        <f t="shared" si="2"/>
        <v>163410</v>
      </c>
      <c r="L11" s="66">
        <f t="shared" si="3"/>
        <v>0</v>
      </c>
    </row>
    <row r="12" spans="1:12" x14ac:dyDescent="0.25">
      <c r="A12" s="62" t="s">
        <v>35</v>
      </c>
      <c r="B12" s="63">
        <v>2662</v>
      </c>
      <c r="C12" s="39">
        <v>6.5</v>
      </c>
      <c r="D12" s="64">
        <f t="shared" si="0"/>
        <v>173030</v>
      </c>
      <c r="E12" s="63">
        <v>1367.2869378473031</v>
      </c>
      <c r="F12" s="43">
        <v>6.5</v>
      </c>
      <c r="G12" s="64">
        <f t="shared" si="4"/>
        <v>88873.650960074709</v>
      </c>
      <c r="H12" s="63">
        <v>1294.7130621526967</v>
      </c>
      <c r="I12" s="65">
        <v>6.5</v>
      </c>
      <c r="J12" s="64">
        <f t="shared" si="1"/>
        <v>84156.349039925277</v>
      </c>
      <c r="K12" s="66">
        <f t="shared" si="2"/>
        <v>173030</v>
      </c>
      <c r="L12" s="66">
        <f t="shared" si="3"/>
        <v>0</v>
      </c>
    </row>
    <row r="13" spans="1:12" x14ac:dyDescent="0.25">
      <c r="A13" s="62" t="s">
        <v>36</v>
      </c>
      <c r="B13" s="63">
        <v>2994</v>
      </c>
      <c r="C13" s="39">
        <v>6.5</v>
      </c>
      <c r="D13" s="64">
        <f t="shared" si="0"/>
        <v>194610</v>
      </c>
      <c r="E13" s="63">
        <v>1537.8125814856596</v>
      </c>
      <c r="F13" s="43">
        <v>6.5</v>
      </c>
      <c r="G13" s="64">
        <f t="shared" si="4"/>
        <v>99957.817796567862</v>
      </c>
      <c r="H13" s="63">
        <v>1456.1874185143404</v>
      </c>
      <c r="I13" s="65">
        <v>6.5</v>
      </c>
      <c r="J13" s="64">
        <f t="shared" si="1"/>
        <v>94652.182203432138</v>
      </c>
      <c r="K13" s="66">
        <f t="shared" si="2"/>
        <v>194610</v>
      </c>
      <c r="L13" s="66">
        <f t="shared" si="3"/>
        <v>0</v>
      </c>
    </row>
    <row r="14" spans="1:12" x14ac:dyDescent="0.25">
      <c r="A14" s="62" t="s">
        <v>37</v>
      </c>
      <c r="B14" s="63">
        <v>2655</v>
      </c>
      <c r="C14" s="39">
        <v>6.5</v>
      </c>
      <c r="D14" s="64">
        <f t="shared" si="0"/>
        <v>172575</v>
      </c>
      <c r="E14" s="63">
        <v>1363.6915176501088</v>
      </c>
      <c r="F14" s="43">
        <v>6.5</v>
      </c>
      <c r="G14" s="64">
        <f t="shared" si="4"/>
        <v>88639.948647257086</v>
      </c>
      <c r="H14" s="63">
        <v>1291.3084823498909</v>
      </c>
      <c r="I14" s="65">
        <v>6.5</v>
      </c>
      <c r="J14" s="64">
        <f t="shared" si="1"/>
        <v>83935.051352742899</v>
      </c>
      <c r="K14" s="66">
        <f t="shared" si="2"/>
        <v>172575</v>
      </c>
      <c r="L14" s="66">
        <f t="shared" si="3"/>
        <v>0</v>
      </c>
    </row>
    <row r="15" spans="1:12" x14ac:dyDescent="0.25">
      <c r="A15" s="4" t="s">
        <v>38</v>
      </c>
      <c r="B15" s="68">
        <f>SUM(B7:B14)</f>
        <v>18631</v>
      </c>
      <c r="C15" s="69">
        <f>SUM(C7:C14)/8</f>
        <v>6.5</v>
      </c>
      <c r="D15" s="70">
        <f>SUM(D7:D14)</f>
        <v>1211015</v>
      </c>
      <c r="E15" s="71">
        <v>9569.4676705608981</v>
      </c>
      <c r="F15" s="72" t="s">
        <v>1</v>
      </c>
      <c r="G15" s="73">
        <f>SUM(G7:G14)</f>
        <v>622015.39858645818</v>
      </c>
      <c r="H15" s="71">
        <v>9061.5323294391037</v>
      </c>
      <c r="I15" s="72" t="s">
        <v>1</v>
      </c>
      <c r="J15" s="73">
        <f>SUM(J7:J14)</f>
        <v>588999.60141354171</v>
      </c>
      <c r="K15" s="66">
        <f>SUM(K7:K14)</f>
        <v>1211015</v>
      </c>
      <c r="L15" s="66">
        <f t="shared" si="3"/>
        <v>0</v>
      </c>
    </row>
    <row r="16" spans="1:12" x14ac:dyDescent="0.25">
      <c r="A16" s="4" t="s">
        <v>39</v>
      </c>
      <c r="B16" s="42">
        <f>SUM(B10:B14)</f>
        <v>13173</v>
      </c>
      <c r="C16" s="74" t="s">
        <v>1</v>
      </c>
      <c r="D16" s="4"/>
      <c r="E16" s="75">
        <f>SUM(E10:E14)</f>
        <v>6766.0671796628567</v>
      </c>
      <c r="F16" s="4"/>
      <c r="G16" s="4"/>
      <c r="H16" s="75">
        <f>SUM(H10:H14)</f>
        <v>6406.9328203371433</v>
      </c>
      <c r="I16" s="76" t="s">
        <v>1</v>
      </c>
      <c r="J16" s="4"/>
      <c r="K16" s="66"/>
    </row>
    <row r="17" spans="1:7" x14ac:dyDescent="0.25">
      <c r="A17" t="s">
        <v>40</v>
      </c>
      <c r="B17" s="77">
        <f>SUM(B8:B14)+5/53*B7</f>
        <v>17638.396226415094</v>
      </c>
      <c r="G17" s="78"/>
    </row>
    <row r="18" spans="1:7" x14ac:dyDescent="0.25">
      <c r="F18" s="79"/>
    </row>
    <row r="19" spans="1:7" x14ac:dyDescent="0.25">
      <c r="C19" s="79"/>
    </row>
    <row r="20" spans="1:7" x14ac:dyDescent="0.25">
      <c r="C20" s="78"/>
      <c r="D20" s="78"/>
      <c r="F20" s="78"/>
      <c r="G20" s="78"/>
    </row>
    <row r="21" spans="1:7" x14ac:dyDescent="0.25">
      <c r="F21" s="78"/>
      <c r="G21" s="78"/>
    </row>
    <row r="22" spans="1:7" x14ac:dyDescent="0.25">
      <c r="G22" s="78"/>
    </row>
    <row r="23" spans="1:7" x14ac:dyDescent="0.25">
      <c r="C23" s="80"/>
      <c r="D23" s="81"/>
    </row>
    <row r="24" spans="1:7" x14ac:dyDescent="0.25">
      <c r="B24" s="77"/>
      <c r="C24" s="77"/>
      <c r="D24" s="77"/>
      <c r="E24" s="77"/>
    </row>
    <row r="26" spans="1:7" x14ac:dyDescent="0.25">
      <c r="B26" s="79"/>
      <c r="C26" s="77"/>
      <c r="D26" s="77"/>
      <c r="E26" s="77"/>
    </row>
    <row r="27" spans="1:7" x14ac:dyDescent="0.25">
      <c r="D27" s="77"/>
    </row>
    <row r="28" spans="1:7" x14ac:dyDescent="0.25">
      <c r="B28" s="77"/>
      <c r="C28" s="77"/>
      <c r="D28" s="77"/>
      <c r="E28" s="77"/>
    </row>
  </sheetData>
  <mergeCells count="5">
    <mergeCell ref="A2:J2"/>
    <mergeCell ref="E5:G5"/>
    <mergeCell ref="H5:J5"/>
    <mergeCell ref="B5:D5"/>
    <mergeCell ref="A3:J3"/>
  </mergeCells>
  <pageMargins left="0.75" right="0.75" top="1" bottom="1" header="0.5" footer="0.5"/>
  <pageSetup orientation="landscape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DWR Billing Determinants (3)</vt:lpstr>
      <vt:lpstr>Rate Increase Model</vt:lpstr>
      <vt:lpstr>DWR Billing Determinants (2)</vt:lpstr>
      <vt:lpstr>DWR Billing Determinants</vt:lpstr>
      <vt:lpstr>'DWR Billing Determinants'!Print_Area</vt:lpstr>
      <vt:lpstr>'DWR Billing Determinants (2)'!Print_Area</vt:lpstr>
      <vt:lpstr>'DWR Billing Determinants (3)'!Print_Area</vt:lpstr>
      <vt:lpstr>'Rate Increase Model'!Print_Area</vt:lpstr>
      <vt:lpstr>'Rate Increase Model'!Print_Titles</vt:lpstr>
    </vt:vector>
  </TitlesOfParts>
  <Company>Sempra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jstraman</dc:creator>
  <cp:lastModifiedBy>Havlíček Jan</cp:lastModifiedBy>
  <cp:lastPrinted>2001-08-17T04:44:21Z</cp:lastPrinted>
  <dcterms:created xsi:type="dcterms:W3CDTF">2001-04-12T22:40:34Z</dcterms:created>
  <dcterms:modified xsi:type="dcterms:W3CDTF">2023-09-10T16:06:14Z</dcterms:modified>
</cp:coreProperties>
</file>