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activeTab="2"/>
  </bookViews>
  <sheets>
    <sheet name="Assumptions" sheetId="2" r:id="rId1"/>
    <sheet name="Legacy" sheetId="1" r:id="rId2"/>
    <sheet name="New" sheetId="4" r:id="rId3"/>
  </sheets>
  <definedNames>
    <definedName name="_xlnm.Print_Area" localSheetId="0">Assumptions!$A$1:$P$73</definedName>
    <definedName name="_xlnm.Print_Area" localSheetId="1">Legacy!$A$1:$R$48</definedName>
    <definedName name="_xlnm.Print_Area" localSheetId="2">New!$A$1:$R$48</definedName>
  </definedNames>
  <calcPr calcId="92512"/>
</workbook>
</file>

<file path=xl/calcChain.xml><?xml version="1.0" encoding="utf-8"?>
<calcChain xmlns="http://schemas.openxmlformats.org/spreadsheetml/2006/main">
  <c r="C5" i="2" l="1"/>
  <c r="C6" i="2"/>
  <c r="C7" i="2"/>
  <c r="B9" i="2"/>
  <c r="C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C14" i="2"/>
  <c r="C15" i="2"/>
  <c r="K15" i="2"/>
  <c r="L15" i="2"/>
  <c r="M15" i="2"/>
  <c r="N15" i="2"/>
  <c r="O15" i="2"/>
  <c r="A16" i="2"/>
  <c r="B16" i="2"/>
  <c r="C16" i="2"/>
  <c r="B19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B26" i="2"/>
  <c r="C26" i="2"/>
  <c r="D26" i="2"/>
  <c r="K26" i="2"/>
  <c r="L26" i="2"/>
  <c r="M26" i="2"/>
  <c r="N26" i="2"/>
  <c r="O26" i="2"/>
  <c r="B27" i="2"/>
  <c r="C27" i="2"/>
  <c r="D27" i="2"/>
  <c r="B28" i="2"/>
  <c r="C28" i="2"/>
  <c r="D28" i="2"/>
  <c r="B29" i="2"/>
  <c r="C29" i="2"/>
  <c r="D29" i="2"/>
  <c r="K32" i="2"/>
  <c r="L32" i="2"/>
  <c r="M32" i="2"/>
  <c r="N32" i="2"/>
  <c r="O32" i="2"/>
  <c r="K33" i="2"/>
  <c r="L33" i="2"/>
  <c r="M33" i="2"/>
  <c r="N33" i="2"/>
  <c r="O33" i="2"/>
  <c r="K34" i="2"/>
  <c r="L34" i="2"/>
  <c r="M34" i="2"/>
  <c r="N34" i="2"/>
  <c r="O34" i="2"/>
  <c r="K35" i="2"/>
  <c r="L35" i="2"/>
  <c r="M35" i="2"/>
  <c r="N35" i="2"/>
  <c r="O35" i="2"/>
  <c r="B36" i="2"/>
  <c r="C36" i="2"/>
  <c r="K37" i="2"/>
  <c r="L37" i="2"/>
  <c r="M37" i="2"/>
  <c r="N37" i="2"/>
  <c r="O37" i="2"/>
  <c r="K45" i="2"/>
  <c r="L45" i="2"/>
  <c r="M45" i="2"/>
  <c r="N45" i="2"/>
  <c r="O45" i="2"/>
  <c r="K46" i="2"/>
  <c r="L46" i="2"/>
  <c r="M46" i="2"/>
  <c r="N46" i="2"/>
  <c r="O46" i="2"/>
  <c r="K47" i="2"/>
  <c r="L47" i="2"/>
  <c r="M47" i="2"/>
  <c r="N47" i="2"/>
  <c r="O47" i="2"/>
  <c r="K48" i="2"/>
  <c r="L48" i="2"/>
  <c r="M48" i="2"/>
  <c r="N48" i="2"/>
  <c r="O48" i="2"/>
  <c r="K50" i="2"/>
  <c r="L50" i="2"/>
  <c r="M50" i="2"/>
  <c r="N50" i="2"/>
  <c r="O50" i="2"/>
  <c r="K56" i="2"/>
  <c r="L56" i="2"/>
  <c r="M56" i="2"/>
  <c r="N56" i="2"/>
  <c r="O56" i="2"/>
  <c r="K57" i="2"/>
  <c r="L57" i="2"/>
  <c r="M57" i="2"/>
  <c r="N57" i="2"/>
  <c r="O57" i="2"/>
  <c r="K58" i="2"/>
  <c r="L58" i="2"/>
  <c r="M58" i="2"/>
  <c r="N58" i="2"/>
  <c r="O58" i="2"/>
  <c r="K59" i="2"/>
  <c r="L59" i="2"/>
  <c r="M59" i="2"/>
  <c r="N59" i="2"/>
  <c r="O59" i="2"/>
  <c r="K61" i="2"/>
  <c r="L61" i="2"/>
  <c r="M61" i="2"/>
  <c r="N61" i="2"/>
  <c r="O61" i="2"/>
  <c r="K67" i="2"/>
  <c r="L67" i="2"/>
  <c r="M67" i="2"/>
  <c r="N67" i="2"/>
  <c r="O67" i="2"/>
  <c r="K68" i="2"/>
  <c r="L68" i="2"/>
  <c r="M68" i="2"/>
  <c r="N68" i="2"/>
  <c r="O68" i="2"/>
  <c r="K69" i="2"/>
  <c r="L69" i="2"/>
  <c r="M69" i="2"/>
  <c r="N69" i="2"/>
  <c r="O69" i="2"/>
  <c r="K70" i="2"/>
  <c r="L70" i="2"/>
  <c r="M70" i="2"/>
  <c r="N70" i="2"/>
  <c r="O70" i="2"/>
  <c r="K72" i="2"/>
  <c r="L72" i="2"/>
  <c r="M72" i="2"/>
  <c r="N72" i="2"/>
  <c r="O72" i="2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B44" i="1"/>
  <c r="C44" i="1"/>
  <c r="D44" i="1"/>
  <c r="E44" i="1"/>
  <c r="F44" i="1"/>
  <c r="G44" i="1"/>
  <c r="H44" i="1"/>
  <c r="I44" i="1"/>
  <c r="J44" i="1"/>
  <c r="K44" i="1"/>
  <c r="L44" i="1"/>
  <c r="M44" i="1"/>
  <c r="B10" i="4"/>
  <c r="C10" i="4"/>
  <c r="D10" i="4"/>
  <c r="E10" i="4"/>
  <c r="F10" i="4"/>
  <c r="G10" i="4"/>
  <c r="H10" i="4"/>
  <c r="I10" i="4"/>
  <c r="J10" i="4"/>
  <c r="K10" i="4"/>
  <c r="L10" i="4"/>
  <c r="M10" i="4"/>
  <c r="B11" i="4"/>
  <c r="C11" i="4"/>
  <c r="D11" i="4"/>
  <c r="E11" i="4"/>
  <c r="F11" i="4"/>
  <c r="G11" i="4"/>
  <c r="H11" i="4"/>
  <c r="I11" i="4"/>
  <c r="J11" i="4"/>
  <c r="K11" i="4"/>
  <c r="L11" i="4"/>
  <c r="M11" i="4"/>
  <c r="B12" i="4"/>
  <c r="C12" i="4"/>
  <c r="D12" i="4"/>
  <c r="E12" i="4"/>
  <c r="F12" i="4"/>
  <c r="G12" i="4"/>
  <c r="H12" i="4"/>
  <c r="I12" i="4"/>
  <c r="J12" i="4"/>
  <c r="K12" i="4"/>
  <c r="L12" i="4"/>
  <c r="M12" i="4"/>
  <c r="B13" i="4"/>
  <c r="C13" i="4"/>
  <c r="D13" i="4"/>
  <c r="E13" i="4"/>
  <c r="F13" i="4"/>
  <c r="G13" i="4"/>
  <c r="H13" i="4"/>
  <c r="I13" i="4"/>
  <c r="J13" i="4"/>
  <c r="K13" i="4"/>
  <c r="L13" i="4"/>
  <c r="M13" i="4"/>
  <c r="B14" i="4"/>
  <c r="C14" i="4"/>
  <c r="D14" i="4"/>
  <c r="E14" i="4"/>
  <c r="F14" i="4"/>
  <c r="G14" i="4"/>
  <c r="H14" i="4"/>
  <c r="I14" i="4"/>
  <c r="J14" i="4"/>
  <c r="K14" i="4"/>
  <c r="L14" i="4"/>
  <c r="M14" i="4"/>
  <c r="B25" i="4"/>
  <c r="C25" i="4"/>
  <c r="D25" i="4"/>
  <c r="E25" i="4"/>
  <c r="F25" i="4"/>
  <c r="G25" i="4"/>
  <c r="H25" i="4"/>
  <c r="I25" i="4"/>
  <c r="J25" i="4"/>
  <c r="K25" i="4"/>
  <c r="L25" i="4"/>
  <c r="M25" i="4"/>
  <c r="B26" i="4"/>
  <c r="C26" i="4"/>
  <c r="D26" i="4"/>
  <c r="E26" i="4"/>
  <c r="F26" i="4"/>
  <c r="G26" i="4"/>
  <c r="H26" i="4"/>
  <c r="I26" i="4"/>
  <c r="J26" i="4"/>
  <c r="K26" i="4"/>
  <c r="L26" i="4"/>
  <c r="M26" i="4"/>
  <c r="B27" i="4"/>
  <c r="C27" i="4"/>
  <c r="D27" i="4"/>
  <c r="E27" i="4"/>
  <c r="F27" i="4"/>
  <c r="G27" i="4"/>
  <c r="H27" i="4"/>
  <c r="I27" i="4"/>
  <c r="J27" i="4"/>
  <c r="K27" i="4"/>
  <c r="L27" i="4"/>
  <c r="M27" i="4"/>
  <c r="B28" i="4"/>
  <c r="C28" i="4"/>
  <c r="D28" i="4"/>
  <c r="E28" i="4"/>
  <c r="F28" i="4"/>
  <c r="G28" i="4"/>
  <c r="H28" i="4"/>
  <c r="I28" i="4"/>
  <c r="J28" i="4"/>
  <c r="K28" i="4"/>
  <c r="L28" i="4"/>
  <c r="M28" i="4"/>
  <c r="B29" i="4"/>
  <c r="C29" i="4"/>
  <c r="D29" i="4"/>
  <c r="E29" i="4"/>
  <c r="F29" i="4"/>
  <c r="G29" i="4"/>
  <c r="H29" i="4"/>
  <c r="I29" i="4"/>
  <c r="J29" i="4"/>
  <c r="K29" i="4"/>
  <c r="L29" i="4"/>
  <c r="M29" i="4"/>
  <c r="U38" i="4"/>
  <c r="V38" i="4"/>
  <c r="B40" i="4"/>
  <c r="C40" i="4"/>
  <c r="D40" i="4"/>
  <c r="E40" i="4"/>
  <c r="F40" i="4"/>
  <c r="G40" i="4"/>
  <c r="H40" i="4"/>
  <c r="I40" i="4"/>
  <c r="J40" i="4"/>
  <c r="K40" i="4"/>
  <c r="L40" i="4"/>
  <c r="M40" i="4"/>
  <c r="B41" i="4"/>
  <c r="C41" i="4"/>
  <c r="D41" i="4"/>
  <c r="E41" i="4"/>
  <c r="F41" i="4"/>
  <c r="G41" i="4"/>
  <c r="H41" i="4"/>
  <c r="I41" i="4"/>
  <c r="J41" i="4"/>
  <c r="K41" i="4"/>
  <c r="L41" i="4"/>
  <c r="M41" i="4"/>
  <c r="B42" i="4"/>
  <c r="C42" i="4"/>
  <c r="D42" i="4"/>
  <c r="E42" i="4"/>
  <c r="F42" i="4"/>
  <c r="G42" i="4"/>
  <c r="H42" i="4"/>
  <c r="I42" i="4"/>
  <c r="J42" i="4"/>
  <c r="K42" i="4"/>
  <c r="L42" i="4"/>
  <c r="M42" i="4"/>
  <c r="B43" i="4"/>
  <c r="C43" i="4"/>
  <c r="D43" i="4"/>
  <c r="E43" i="4"/>
  <c r="F43" i="4"/>
  <c r="G43" i="4"/>
  <c r="H43" i="4"/>
  <c r="I43" i="4"/>
  <c r="J43" i="4"/>
  <c r="K43" i="4"/>
  <c r="L43" i="4"/>
  <c r="M43" i="4"/>
  <c r="B44" i="4"/>
  <c r="C44" i="4"/>
  <c r="D44" i="4"/>
  <c r="E44" i="4"/>
  <c r="F44" i="4"/>
  <c r="G44" i="4"/>
  <c r="H44" i="4"/>
  <c r="I44" i="4"/>
  <c r="J44" i="4"/>
  <c r="K44" i="4"/>
  <c r="L44" i="4"/>
  <c r="M44" i="4"/>
</calcChain>
</file>

<file path=xl/sharedStrings.xml><?xml version="1.0" encoding="utf-8"?>
<sst xmlns="http://schemas.openxmlformats.org/spreadsheetml/2006/main" count="180" uniqueCount="54">
  <si>
    <t>ANNUAL SALES</t>
  </si>
  <si>
    <t>PG&amp;E</t>
  </si>
  <si>
    <t>Edison</t>
  </si>
  <si>
    <t>SDG&amp;E</t>
  </si>
  <si>
    <t>Total</t>
  </si>
  <si>
    <t>BONDS</t>
  </si>
  <si>
    <t>Amount Raised</t>
  </si>
  <si>
    <t>Rate</t>
  </si>
  <si>
    <t>Interest</t>
  </si>
  <si>
    <t>ASSUMED DISCOUNT RATES</t>
  </si>
  <si>
    <t>Bonds</t>
  </si>
  <si>
    <t>Contracts</t>
  </si>
  <si>
    <t>Undercollection</t>
  </si>
  <si>
    <t>DWR'S COST ALLOCATION - 2001&amp;2002 (USD billions)</t>
  </si>
  <si>
    <t>Share</t>
  </si>
  <si>
    <t>Above market contract costs</t>
  </si>
  <si>
    <t>OTHER COSTS</t>
  </si>
  <si>
    <t>Regulatory Assets</t>
  </si>
  <si>
    <t>Amortization (years)</t>
  </si>
  <si>
    <t xml:space="preserve">Utility Undercollection </t>
  </si>
  <si>
    <t xml:space="preserve">Bonds </t>
  </si>
  <si>
    <t xml:space="preserve">Contracts </t>
  </si>
  <si>
    <t>Employee Transition</t>
  </si>
  <si>
    <t>Power Purchase Obligations</t>
  </si>
  <si>
    <t xml:space="preserve">Nuclear Incremental </t>
  </si>
  <si>
    <t>CTC Exempts</t>
  </si>
  <si>
    <t>Probability</t>
  </si>
  <si>
    <t>Scenario</t>
  </si>
  <si>
    <t>% Collected</t>
  </si>
  <si>
    <t>Utility Undercollection</t>
  </si>
  <si>
    <t>SCE</t>
  </si>
  <si>
    <t>SDGE</t>
  </si>
  <si>
    <t xml:space="preserve">Above Market Contract Cost </t>
  </si>
  <si>
    <t>Above Market Contract Cost</t>
  </si>
  <si>
    <t>LEGACY CUSTOMERS (DA as of 9/17 - switched back and forth)</t>
  </si>
  <si>
    <t>NEW CUSTOMERS (DA for first time as of 10/1/01)</t>
  </si>
  <si>
    <t>ASSUMPTIONS/DATA</t>
  </si>
  <si>
    <r>
      <t>SCENARIO ANALYSIS (</t>
    </r>
    <r>
      <rPr>
        <b/>
        <sz val="10"/>
        <color indexed="48"/>
        <rFont val="Arial"/>
        <family val="2"/>
      </rPr>
      <t>scenario numbers</t>
    </r>
    <r>
      <rPr>
        <b/>
        <sz val="10"/>
        <rFont val="Arial"/>
        <family val="2"/>
      </rPr>
      <t xml:space="preserve"> can be changed)</t>
    </r>
  </si>
  <si>
    <t>KEY</t>
  </si>
  <si>
    <t>Impacts all DA customers</t>
  </si>
  <si>
    <t>Impact is prorated</t>
  </si>
  <si>
    <t>Legacy Customers</t>
  </si>
  <si>
    <t>New Customers</t>
  </si>
  <si>
    <t>CTC Costs</t>
  </si>
  <si>
    <t xml:space="preserve">FTA Related </t>
  </si>
  <si>
    <t>Costs do not apply</t>
  </si>
  <si>
    <t>Sub Total</t>
  </si>
  <si>
    <t>Regulatory Costs</t>
  </si>
  <si>
    <t>Regulatory Cost</t>
  </si>
  <si>
    <t xml:space="preserve">Total </t>
  </si>
  <si>
    <t>$</t>
  </si>
  <si>
    <t>Scenario 1-</t>
  </si>
  <si>
    <t>Scenario 2-</t>
  </si>
  <si>
    <t>Scenario 3-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</si>
</sst>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0.0%"/>
    <numFmt numFmtId="169" formatCode="&quot;$&quot;#,##0.0000_);[Red]\(&quot;$&quot;#,##0.0000\)"/>
    <numFmt numFmtId="171" formatCode="_(* #,##0_);_(* \(#,##0\);_(* &quot;-&quot;??_);_(@_)"/>
    <numFmt numFmtId="177" formatCode="&quot;$&quot;#,##0.0000"/>
    <numFmt numFmtId="178" formatCode="_(&quot;$&quot;* #,##0.000_);_(&quot;$&quot;* \(#,##0.000\);_(&quot;$&quot;* &quot;-&quot;??_);_(@_)"/>
    <numFmt numFmtId="179" formatCode="0.0000%"/>
  </numFmts>
  <fonts count="12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i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color indexed="48"/>
      <name val="Arial"/>
      <family val="2"/>
    </font>
    <font>
      <b/>
      <sz val="10"/>
      <name val="Arial"/>
      <family val="2"/>
    </font>
    <font>
      <b/>
      <sz val="10"/>
      <color indexed="4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0" xfId="0" applyFont="1" applyBorder="1"/>
    <xf numFmtId="0" fontId="4" fillId="0" borderId="2" xfId="0" applyFont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71" fontId="3" fillId="0" borderId="0" xfId="1" applyNumberFormat="1" applyFont="1" applyBorder="1"/>
    <xf numFmtId="166" fontId="3" fillId="0" borderId="6" xfId="3" applyNumberFormat="1" applyFont="1" applyBorder="1"/>
    <xf numFmtId="166" fontId="3" fillId="0" borderId="0" xfId="3" applyNumberFormat="1" applyFont="1" applyBorder="1"/>
    <xf numFmtId="0" fontId="3" fillId="0" borderId="6" xfId="0" applyFont="1" applyBorder="1"/>
    <xf numFmtId="0" fontId="3" fillId="0" borderId="7" xfId="0" applyFont="1" applyBorder="1"/>
    <xf numFmtId="171" fontId="3" fillId="0" borderId="1" xfId="1" applyNumberFormat="1" applyFont="1" applyBorder="1"/>
    <xf numFmtId="166" fontId="3" fillId="0" borderId="8" xfId="3" applyNumberFormat="1" applyFont="1" applyBorder="1"/>
    <xf numFmtId="0" fontId="4" fillId="0" borderId="2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3" fillId="0" borderId="5" xfId="2" applyNumberFormat="1" applyFont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165" fontId="3" fillId="0" borderId="6" xfId="2" applyNumberFormat="1" applyFont="1" applyBorder="1" applyAlignment="1">
      <alignment horizontal="center"/>
    </xf>
    <xf numFmtId="165" fontId="3" fillId="0" borderId="0" xfId="2" applyNumberFormat="1" applyFont="1" applyBorder="1" applyAlignment="1">
      <alignment horizontal="center"/>
    </xf>
    <xf numFmtId="165" fontId="3" fillId="0" borderId="7" xfId="2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center"/>
    </xf>
    <xf numFmtId="165" fontId="3" fillId="0" borderId="8" xfId="2" applyNumberFormat="1" applyFont="1" applyBorder="1" applyAlignment="1">
      <alignment horizontal="center"/>
    </xf>
    <xf numFmtId="165" fontId="3" fillId="0" borderId="0" xfId="2" applyNumberFormat="1" applyFont="1"/>
    <xf numFmtId="10" fontId="2" fillId="0" borderId="0" xfId="3" applyNumberFormat="1" applyFont="1"/>
    <xf numFmtId="10" fontId="2" fillId="0" borderId="4" xfId="3" applyNumberFormat="1" applyFont="1" applyBorder="1"/>
    <xf numFmtId="10" fontId="2" fillId="0" borderId="0" xfId="3" applyNumberFormat="1" applyFont="1" applyBorder="1"/>
    <xf numFmtId="165" fontId="3" fillId="0" borderId="5" xfId="2" applyNumberFormat="1" applyFont="1" applyBorder="1"/>
    <xf numFmtId="10" fontId="2" fillId="0" borderId="6" xfId="3" applyNumberFormat="1" applyFont="1" applyBorder="1"/>
    <xf numFmtId="165" fontId="3" fillId="0" borderId="7" xfId="2" applyNumberFormat="1" applyFont="1" applyBorder="1"/>
    <xf numFmtId="10" fontId="2" fillId="0" borderId="8" xfId="3" applyNumberFormat="1" applyFont="1" applyBorder="1"/>
    <xf numFmtId="165" fontId="3" fillId="0" borderId="0" xfId="2" applyNumberFormat="1" applyFont="1" applyBorder="1"/>
    <xf numFmtId="0" fontId="2" fillId="0" borderId="4" xfId="0" applyFont="1" applyBorder="1"/>
    <xf numFmtId="0" fontId="2" fillId="0" borderId="0" xfId="0" applyFont="1" applyBorder="1"/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166" fontId="6" fillId="0" borderId="0" xfId="3" applyNumberFormat="1" applyFont="1" applyBorder="1" applyAlignment="1">
      <alignment horizontal="center"/>
    </xf>
    <xf numFmtId="44" fontId="3" fillId="0" borderId="0" xfId="2" applyFont="1" applyBorder="1"/>
    <xf numFmtId="44" fontId="3" fillId="0" borderId="6" xfId="2" applyFont="1" applyBorder="1"/>
    <xf numFmtId="44" fontId="3" fillId="0" borderId="10" xfId="2" applyFont="1" applyBorder="1"/>
    <xf numFmtId="44" fontId="3" fillId="0" borderId="11" xfId="2" applyFont="1" applyBorder="1"/>
    <xf numFmtId="166" fontId="6" fillId="0" borderId="1" xfId="3" applyNumberFormat="1" applyFont="1" applyBorder="1" applyAlignment="1">
      <alignment horizontal="center"/>
    </xf>
    <xf numFmtId="44" fontId="3" fillId="0" borderId="1" xfId="0" applyNumberFormat="1" applyFont="1" applyBorder="1"/>
    <xf numFmtId="44" fontId="3" fillId="0" borderId="8" xfId="0" applyNumberFormat="1" applyFont="1" applyBorder="1"/>
    <xf numFmtId="44" fontId="3" fillId="0" borderId="0" xfId="0" applyNumberFormat="1" applyFont="1" applyBorder="1"/>
    <xf numFmtId="0" fontId="3" fillId="0" borderId="6" xfId="0" applyFont="1" applyBorder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0" fontId="2" fillId="0" borderId="7" xfId="0" applyFont="1" applyBorder="1"/>
    <xf numFmtId="0" fontId="3" fillId="0" borderId="0" xfId="0" applyFont="1" applyAlignment="1"/>
    <xf numFmtId="169" fontId="3" fillId="0" borderId="0" xfId="0" applyNumberFormat="1" applyFont="1" applyAlignment="1">
      <alignment horizontal="center"/>
    </xf>
    <xf numFmtId="169" fontId="3" fillId="0" borderId="0" xfId="0" applyNumberFormat="1" applyFont="1"/>
    <xf numFmtId="0" fontId="2" fillId="0" borderId="0" xfId="0" applyFont="1" applyAlignment="1">
      <alignment horizontal="left"/>
    </xf>
    <xf numFmtId="177" fontId="3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9" fontId="3" fillId="0" borderId="0" xfId="0" applyNumberFormat="1" applyFont="1" applyFill="1" applyBorder="1" applyAlignment="1">
      <alignment horizontal="center"/>
    </xf>
    <xf numFmtId="169" fontId="3" fillId="0" borderId="0" xfId="0" applyNumberFormat="1" applyFont="1" applyFill="1" applyBorder="1"/>
    <xf numFmtId="0" fontId="4" fillId="0" borderId="0" xfId="0" applyFont="1" applyFill="1" applyBorder="1" applyAlignment="1">
      <alignment horizontal="center"/>
    </xf>
    <xf numFmtId="178" fontId="3" fillId="0" borderId="0" xfId="2" applyNumberFormat="1" applyFont="1" applyBorder="1" applyAlignment="1">
      <alignment horizontal="center"/>
    </xf>
    <xf numFmtId="179" fontId="3" fillId="0" borderId="0" xfId="3" applyNumberFormat="1" applyFont="1" applyBorder="1"/>
    <xf numFmtId="0" fontId="3" fillId="0" borderId="3" xfId="0" applyFont="1" applyFill="1" applyBorder="1" applyAlignment="1"/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9" fontId="3" fillId="0" borderId="0" xfId="0" applyNumberFormat="1" applyFont="1" applyFill="1" applyBorder="1" applyAlignment="1">
      <alignment horizontal="center"/>
    </xf>
    <xf numFmtId="0" fontId="3" fillId="0" borderId="5" xfId="0" applyFont="1" applyFill="1" applyBorder="1"/>
    <xf numFmtId="0" fontId="2" fillId="0" borderId="6" xfId="0" applyFont="1" applyFill="1" applyBorder="1" applyAlignment="1">
      <alignment horizontal="left"/>
    </xf>
    <xf numFmtId="9" fontId="3" fillId="0" borderId="6" xfId="0" applyNumberFormat="1" applyFont="1" applyFill="1" applyBorder="1" applyAlignment="1">
      <alignment horizontal="center"/>
    </xf>
    <xf numFmtId="169" fontId="3" fillId="0" borderId="6" xfId="0" applyNumberFormat="1" applyFont="1" applyFill="1" applyBorder="1"/>
    <xf numFmtId="169" fontId="3" fillId="0" borderId="1" xfId="0" applyNumberFormat="1" applyFont="1" applyFill="1" applyBorder="1"/>
    <xf numFmtId="169" fontId="3" fillId="0" borderId="8" xfId="0" applyNumberFormat="1" applyFont="1" applyFill="1" applyBorder="1"/>
    <xf numFmtId="0" fontId="3" fillId="0" borderId="0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7" fillId="0" borderId="0" xfId="0" applyFont="1" applyFill="1" applyBorder="1" applyAlignment="1"/>
    <xf numFmtId="0" fontId="2" fillId="0" borderId="7" xfId="0" applyFont="1" applyFill="1" applyBorder="1" applyAlignment="1"/>
    <xf numFmtId="0" fontId="3" fillId="0" borderId="1" xfId="0" applyFont="1" applyFill="1" applyBorder="1" applyAlignment="1"/>
    <xf numFmtId="0" fontId="3" fillId="0" borderId="8" xfId="0" applyFont="1" applyFill="1" applyBorder="1" applyAlignment="1"/>
    <xf numFmtId="0" fontId="3" fillId="0" borderId="7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69" fontId="3" fillId="2" borderId="5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" fontId="3" fillId="0" borderId="0" xfId="3" applyNumberFormat="1" applyFont="1" applyBorder="1"/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0" fillId="0" borderId="3" xfId="0" applyBorder="1"/>
    <xf numFmtId="0" fontId="3" fillId="0" borderId="2" xfId="0" applyFont="1" applyFill="1" applyBorder="1" applyAlignment="1"/>
    <xf numFmtId="0" fontId="3" fillId="0" borderId="4" xfId="0" applyFont="1" applyFill="1" applyBorder="1" applyAlignment="1"/>
    <xf numFmtId="0" fontId="8" fillId="0" borderId="0" xfId="0" applyFont="1" applyFill="1" applyBorder="1" applyAlignment="1"/>
    <xf numFmtId="0" fontId="9" fillId="3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10" fillId="0" borderId="2" xfId="0" applyFont="1" applyBorder="1"/>
    <xf numFmtId="0" fontId="10" fillId="0" borderId="0" xfId="0" applyFont="1" applyBorder="1"/>
    <xf numFmtId="0" fontId="4" fillId="5" borderId="2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5" borderId="1" xfId="0" applyFill="1" applyBorder="1"/>
    <xf numFmtId="0" fontId="0" fillId="5" borderId="8" xfId="0" applyFill="1" applyBorder="1"/>
    <xf numFmtId="0" fontId="2" fillId="6" borderId="0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center"/>
    </xf>
    <xf numFmtId="0" fontId="0" fillId="0" borderId="5" xfId="0" applyFill="1" applyBorder="1"/>
    <xf numFmtId="0" fontId="2" fillId="0" borderId="2" xfId="0" applyFont="1" applyBorder="1"/>
    <xf numFmtId="0" fontId="9" fillId="3" borderId="5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  <xf numFmtId="171" fontId="3" fillId="0" borderId="0" xfId="1" applyNumberFormat="1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5" borderId="9" xfId="0" applyFont="1" applyFill="1" applyBorder="1" applyAlignment="1">
      <alignment horizontal="left" vertical="top" wrapText="1"/>
    </xf>
    <xf numFmtId="0" fontId="3" fillId="5" borderId="10" xfId="0" applyFont="1" applyFill="1" applyBorder="1" applyAlignment="1">
      <alignment horizontal="left" vertical="top" wrapText="1"/>
    </xf>
    <xf numFmtId="0" fontId="3" fillId="5" borderId="11" xfId="0" applyFont="1" applyFill="1" applyBorder="1" applyAlignment="1">
      <alignment horizontal="left" vertical="top" wrapText="1"/>
    </xf>
    <xf numFmtId="177" fontId="0" fillId="0" borderId="1" xfId="0" applyNumberFormat="1" applyBorder="1"/>
    <xf numFmtId="177" fontId="0" fillId="0" borderId="0" xfId="0" applyNumberFormat="1" applyBorder="1"/>
    <xf numFmtId="177" fontId="0" fillId="0" borderId="6" xfId="0" applyNumberFormat="1" applyBorder="1"/>
    <xf numFmtId="177" fontId="0" fillId="0" borderId="0" xfId="0" applyNumberFormat="1" applyFill="1" applyBorder="1"/>
    <xf numFmtId="177" fontId="0" fillId="0" borderId="6" xfId="0" applyNumberFormat="1" applyFill="1" applyBorder="1"/>
    <xf numFmtId="177" fontId="0" fillId="0" borderId="1" xfId="0" applyNumberFormat="1" applyFill="1" applyBorder="1"/>
    <xf numFmtId="0" fontId="2" fillId="7" borderId="0" xfId="0" applyFont="1" applyFill="1" applyBorder="1" applyAlignment="1">
      <alignment horizontal="center" wrapText="1"/>
    </xf>
    <xf numFmtId="0" fontId="3" fillId="7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 wrapText="1"/>
    </xf>
    <xf numFmtId="0" fontId="2" fillId="0" borderId="13" xfId="0" applyFont="1" applyFill="1" applyBorder="1" applyAlignment="1">
      <alignment horizontal="center" wrapText="1"/>
    </xf>
    <xf numFmtId="0" fontId="2" fillId="0" borderId="14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2"/>
  <sheetViews>
    <sheetView zoomScale="75" zoomScaleNormal="75" workbookViewId="0">
      <selection activeCell="E15" sqref="E15"/>
    </sheetView>
  </sheetViews>
  <sheetFormatPr defaultRowHeight="13.2" x14ac:dyDescent="0.25"/>
  <cols>
    <col min="1" max="1" width="18.44140625" customWidth="1"/>
    <col min="2" max="2" width="21" customWidth="1"/>
    <col min="3" max="3" width="14.88671875" customWidth="1"/>
    <col min="4" max="4" width="22.5546875" customWidth="1"/>
    <col min="7" max="7" width="15.44140625" customWidth="1"/>
    <col min="8" max="8" width="13.109375" customWidth="1"/>
    <col min="9" max="9" width="14.88671875" customWidth="1"/>
    <col min="10" max="10" width="20.33203125" customWidth="1"/>
    <col min="14" max="14" width="9.33203125" customWidth="1"/>
  </cols>
  <sheetData>
    <row r="1" spans="1:16" x14ac:dyDescent="0.25">
      <c r="G1" s="109"/>
      <c r="H1" s="109"/>
      <c r="I1" s="109"/>
      <c r="J1" s="109"/>
      <c r="K1" s="109"/>
      <c r="L1" s="109"/>
      <c r="M1" s="109"/>
      <c r="N1" s="109"/>
      <c r="O1" s="109"/>
      <c r="P1" s="109"/>
    </row>
    <row r="2" spans="1:16" ht="14.4" thickBot="1" x14ac:dyDescent="0.3">
      <c r="A2" s="1" t="s">
        <v>36</v>
      </c>
      <c r="B2" s="1"/>
      <c r="C2" s="2"/>
      <c r="D2" s="2"/>
      <c r="E2" s="2"/>
      <c r="I2" s="115" t="s">
        <v>37</v>
      </c>
      <c r="J2" s="109"/>
      <c r="K2" s="109"/>
      <c r="L2" s="109"/>
      <c r="M2" s="109"/>
      <c r="N2" s="109"/>
      <c r="O2" s="109"/>
      <c r="P2" s="109"/>
    </row>
    <row r="3" spans="1:16" ht="14.4" thickBot="1" x14ac:dyDescent="0.3">
      <c r="A3" s="2"/>
      <c r="B3" s="2"/>
      <c r="C3" s="3"/>
      <c r="D3" s="4"/>
      <c r="E3" s="4"/>
      <c r="I3" s="106" t="s">
        <v>38</v>
      </c>
      <c r="J3" s="129" t="s">
        <v>51</v>
      </c>
      <c r="K3" s="99" t="s">
        <v>39</v>
      </c>
      <c r="L3" s="99"/>
      <c r="M3" s="107"/>
      <c r="N3" s="109"/>
      <c r="O3" s="109"/>
      <c r="P3" s="109"/>
    </row>
    <row r="4" spans="1:16" ht="13.8" x14ac:dyDescent="0.25">
      <c r="A4" s="5" t="s">
        <v>0</v>
      </c>
      <c r="B4" s="6"/>
      <c r="C4" s="7"/>
      <c r="D4" s="4"/>
      <c r="E4" s="4"/>
      <c r="I4" s="108"/>
      <c r="J4" s="128" t="s">
        <v>52</v>
      </c>
      <c r="K4" s="109" t="s">
        <v>40</v>
      </c>
      <c r="L4" s="109"/>
      <c r="M4" s="110"/>
      <c r="N4" s="109"/>
      <c r="O4" s="109"/>
      <c r="P4" s="109"/>
    </row>
    <row r="5" spans="1:16" ht="14.4" thickBot="1" x14ac:dyDescent="0.3">
      <c r="A5" s="8" t="s">
        <v>1</v>
      </c>
      <c r="B5" s="9">
        <v>80000000</v>
      </c>
      <c r="C5" s="10">
        <f>+B5/$B$9</f>
        <v>0.449438202247191</v>
      </c>
      <c r="D5" s="11"/>
      <c r="E5" s="95"/>
      <c r="I5" s="111"/>
      <c r="J5" s="130" t="s">
        <v>53</v>
      </c>
      <c r="K5" s="112" t="s">
        <v>45</v>
      </c>
      <c r="L5" s="112"/>
      <c r="M5" s="113"/>
      <c r="N5" s="109"/>
      <c r="O5" s="109"/>
      <c r="P5" s="109"/>
    </row>
    <row r="6" spans="1:16" ht="14.4" thickBot="1" x14ac:dyDescent="0.3">
      <c r="A6" s="8" t="s">
        <v>2</v>
      </c>
      <c r="B6" s="9">
        <v>82000000</v>
      </c>
      <c r="C6" s="10">
        <f>+B6/$B$9</f>
        <v>0.4606741573033708</v>
      </c>
      <c r="D6" s="11"/>
      <c r="E6" s="95"/>
      <c r="H6" s="4" t="s">
        <v>41</v>
      </c>
      <c r="I6" s="4"/>
      <c r="J6" s="4"/>
      <c r="K6" s="109"/>
      <c r="L6" s="109"/>
      <c r="M6" s="109"/>
      <c r="N6" s="109"/>
      <c r="O6" s="109"/>
      <c r="P6" s="109"/>
    </row>
    <row r="7" spans="1:16" ht="13.8" x14ac:dyDescent="0.25">
      <c r="A7" s="8" t="s">
        <v>3</v>
      </c>
      <c r="B7" s="9">
        <v>16000000</v>
      </c>
      <c r="C7" s="10">
        <f>+B7/$B$9</f>
        <v>8.98876404494382E-2</v>
      </c>
      <c r="D7" s="11"/>
      <c r="E7" s="95"/>
      <c r="G7" s="4"/>
      <c r="H7" s="125" t="s">
        <v>1</v>
      </c>
      <c r="I7" s="6"/>
      <c r="J7" s="6"/>
      <c r="K7" s="99"/>
      <c r="L7" s="99"/>
      <c r="M7" s="99"/>
      <c r="N7" s="99"/>
      <c r="O7" s="107"/>
      <c r="P7" s="109"/>
    </row>
    <row r="8" spans="1:16" ht="13.8" x14ac:dyDescent="0.25">
      <c r="A8" s="8"/>
      <c r="B8" s="9"/>
      <c r="C8" s="12"/>
      <c r="D8" s="4"/>
      <c r="E8" s="4"/>
      <c r="G8" s="42"/>
      <c r="H8" s="8"/>
      <c r="I8" s="4"/>
      <c r="J8" s="109"/>
      <c r="K8" s="64"/>
      <c r="L8" s="64"/>
      <c r="M8" s="109"/>
      <c r="N8" s="109"/>
      <c r="O8" s="110"/>
      <c r="P8" s="109"/>
    </row>
    <row r="9" spans="1:16" ht="28.2" thickBot="1" x14ac:dyDescent="0.3">
      <c r="A9" s="13" t="s">
        <v>4</v>
      </c>
      <c r="B9" s="14">
        <f>SUM(B5:B7)</f>
        <v>178000000</v>
      </c>
      <c r="C9" s="15">
        <f>+B9/$B$9</f>
        <v>1</v>
      </c>
      <c r="D9" s="11"/>
      <c r="E9" s="11"/>
      <c r="G9" s="90"/>
      <c r="H9" s="126" t="s">
        <v>27</v>
      </c>
      <c r="I9" s="109"/>
      <c r="J9" s="122" t="s">
        <v>18</v>
      </c>
      <c r="K9" s="123">
        <v>5</v>
      </c>
      <c r="L9" s="123">
        <v>7</v>
      </c>
      <c r="M9" s="123">
        <v>10</v>
      </c>
      <c r="N9" s="123">
        <v>12</v>
      </c>
      <c r="O9" s="127">
        <v>15</v>
      </c>
      <c r="P9" s="109"/>
    </row>
    <row r="10" spans="1:16" ht="14.4" thickBot="1" x14ac:dyDescent="0.3">
      <c r="A10" s="1"/>
      <c r="B10" s="1"/>
      <c r="C10" s="2"/>
      <c r="D10" s="2"/>
      <c r="E10" s="2"/>
      <c r="G10" s="90"/>
      <c r="H10" s="103">
        <v>3</v>
      </c>
      <c r="I10" s="4" t="s">
        <v>29</v>
      </c>
      <c r="J10" s="4"/>
      <c r="K10" s="137">
        <f>HLOOKUP($H10,Legacy!$B$4:$E$14,7)</f>
        <v>1.5279204052376306E-2</v>
      </c>
      <c r="L10" s="137">
        <f>HLOOKUP($H10,Legacy!$B$4:$E$14,8)</f>
        <v>1.1568650814857095E-2</v>
      </c>
      <c r="M10" s="137">
        <f>HLOOKUP($H10,Legacy!$B$4:$E$14,9)</f>
        <v>8.8167599413067413E-3</v>
      </c>
      <c r="N10" s="137">
        <f>HLOOKUP($H10,Legacy!$B$4:$E$14,10)</f>
        <v>7.763555491599434E-3</v>
      </c>
      <c r="O10" s="138">
        <f>HLOOKUP($H10,Legacy!$B$4:$E$14,11)</f>
        <v>6.7302698339742036E-3</v>
      </c>
      <c r="P10" s="109"/>
    </row>
    <row r="11" spans="1:16" ht="13.8" x14ac:dyDescent="0.25">
      <c r="A11" s="16" t="s">
        <v>5</v>
      </c>
      <c r="B11" s="6"/>
      <c r="C11" s="7"/>
      <c r="D11" s="4"/>
      <c r="E11" s="4"/>
      <c r="G11" s="90"/>
      <c r="H11" s="103">
        <v>2</v>
      </c>
      <c r="I11" s="4" t="s">
        <v>10</v>
      </c>
      <c r="J11" s="4"/>
      <c r="K11" s="137">
        <f>HLOOKUP($H11,Legacy!$G$4:$I$14,7)</f>
        <v>2.6858654646001764E-3</v>
      </c>
      <c r="L11" s="137">
        <f>HLOOKUP($H11,Legacy!$G$4:$I$14,8)</f>
        <v>2.0336032943293865E-3</v>
      </c>
      <c r="M11" s="137">
        <f>HLOOKUP($H11,Legacy!$G$4:$I$14,9)</f>
        <v>1.5498602515451789E-3</v>
      </c>
      <c r="N11" s="137">
        <f>HLOOKUP($H11,Legacy!$G$4:$I$14,10)</f>
        <v>1.3647219780503535E-3</v>
      </c>
      <c r="O11" s="138">
        <f>HLOOKUP($H11,Legacy!$G$4:$I$14,11)</f>
        <v>1.183085143214663E-3</v>
      </c>
      <c r="P11" s="109"/>
    </row>
    <row r="12" spans="1:16" ht="13.8" x14ac:dyDescent="0.25">
      <c r="A12" s="17" t="s">
        <v>6</v>
      </c>
      <c r="B12" s="18" t="s">
        <v>7</v>
      </c>
      <c r="C12" s="19" t="s">
        <v>8</v>
      </c>
      <c r="D12" s="20"/>
      <c r="E12" s="20"/>
      <c r="G12" s="4"/>
      <c r="H12" s="103">
        <v>1</v>
      </c>
      <c r="I12" s="4" t="s">
        <v>21</v>
      </c>
      <c r="J12" s="4"/>
      <c r="K12" s="137">
        <f>HLOOKUP($H12,Legacy!$K$4:$M$14,7)</f>
        <v>4.3939809734038632E-3</v>
      </c>
      <c r="L12" s="137">
        <f>HLOOKUP($H12,Legacy!$K$4:$M$14,8)</f>
        <v>3.3958302818253212E-3</v>
      </c>
      <c r="M12" s="137">
        <f>HLOOKUP($H12,Legacy!$K$4:$M$14,9)</f>
        <v>2.6631295155017617E-3</v>
      </c>
      <c r="N12" s="137">
        <f>HLOOKUP($H12,Legacy!$K$4:$M$14,10)</f>
        <v>2.3867768953702152E-3</v>
      </c>
      <c r="O12" s="138">
        <f>HLOOKUP($H12,Legacy!$K$4:$M$14,11)</f>
        <v>2.1202970184337954E-3</v>
      </c>
      <c r="P12" s="109"/>
    </row>
    <row r="13" spans="1:16" ht="13.8" x14ac:dyDescent="0.25">
      <c r="A13" s="22"/>
      <c r="B13" s="23"/>
      <c r="C13" s="24"/>
      <c r="D13" s="23"/>
      <c r="E13" s="23"/>
      <c r="G13" s="71"/>
      <c r="H13" s="108" t="s">
        <v>46</v>
      </c>
      <c r="I13" s="4"/>
      <c r="J13" s="4"/>
      <c r="K13" s="137">
        <f>SUM(K10:K12)</f>
        <v>2.2359050490380346E-2</v>
      </c>
      <c r="L13" s="137">
        <f>SUM(L10:L12)</f>
        <v>1.6998084391011803E-2</v>
      </c>
      <c r="M13" s="137">
        <f>SUM(M10:M12)</f>
        <v>1.3029749708353681E-2</v>
      </c>
      <c r="N13" s="137">
        <f>SUM(N10:N12)</f>
        <v>1.1515054365020004E-2</v>
      </c>
      <c r="O13" s="138">
        <f>SUM(O10:O12)</f>
        <v>1.0033651995622662E-2</v>
      </c>
      <c r="P13" s="109"/>
    </row>
    <row r="14" spans="1:16" ht="13.8" x14ac:dyDescent="0.25">
      <c r="A14" s="25">
        <v>8500</v>
      </c>
      <c r="B14" s="26">
        <v>5.7700000000000001E-2</v>
      </c>
      <c r="C14" s="27">
        <f>+A14*B14</f>
        <v>490.45</v>
      </c>
      <c r="D14" s="28"/>
      <c r="E14" s="70"/>
      <c r="G14" s="4"/>
      <c r="H14" s="108"/>
      <c r="I14" s="4" t="s">
        <v>47</v>
      </c>
      <c r="J14" s="4"/>
      <c r="K14" s="139"/>
      <c r="L14" s="139"/>
      <c r="M14" s="139"/>
      <c r="N14" s="139"/>
      <c r="O14" s="140"/>
      <c r="P14" s="109"/>
    </row>
    <row r="15" spans="1:16" ht="14.4" thickBot="1" x14ac:dyDescent="0.3">
      <c r="A15" s="25">
        <v>4000</v>
      </c>
      <c r="B15" s="26">
        <v>7.7700000000000005E-2</v>
      </c>
      <c r="C15" s="27">
        <f>+A15*B15</f>
        <v>310.8</v>
      </c>
      <c r="D15" s="28"/>
      <c r="E15" s="28"/>
      <c r="G15" s="4"/>
      <c r="H15" s="111" t="s">
        <v>4</v>
      </c>
      <c r="I15" s="112"/>
      <c r="J15" s="112"/>
      <c r="K15" s="136">
        <f>SUM(K13:K14)</f>
        <v>2.2359050490380346E-2</v>
      </c>
      <c r="L15" s="136">
        <f>SUM(L13:L14)</f>
        <v>1.6998084391011803E-2</v>
      </c>
      <c r="M15" s="136">
        <f>SUM(M13:M14)</f>
        <v>1.3029749708353681E-2</v>
      </c>
      <c r="N15" s="136">
        <f>SUM(N13:N14)</f>
        <v>1.1515054365020004E-2</v>
      </c>
      <c r="O15" s="136">
        <f>SUM(O13:O14)</f>
        <v>1.0033651995622662E-2</v>
      </c>
      <c r="P15" s="109"/>
    </row>
    <row r="16" spans="1:16" ht="14.4" thickBot="1" x14ac:dyDescent="0.3">
      <c r="A16" s="29">
        <f>+A14+A15</f>
        <v>12500</v>
      </c>
      <c r="B16" s="30">
        <f>+C16/A16</f>
        <v>6.4100000000000004E-2</v>
      </c>
      <c r="C16" s="31">
        <f>+C15+C14</f>
        <v>801.25</v>
      </c>
      <c r="D16" s="28"/>
      <c r="E16" s="28"/>
      <c r="G16" s="20"/>
      <c r="H16" s="109"/>
      <c r="I16" s="109"/>
      <c r="J16" s="109"/>
      <c r="K16" s="109"/>
      <c r="L16" s="109"/>
      <c r="M16" s="109"/>
      <c r="N16" s="109"/>
      <c r="O16" s="109"/>
      <c r="P16" s="109"/>
    </row>
    <row r="17" spans="1:16" ht="14.4" thickBot="1" x14ac:dyDescent="0.3">
      <c r="A17" s="32"/>
      <c r="B17" s="32"/>
      <c r="C17" s="33"/>
      <c r="D17" s="33"/>
      <c r="E17" s="33"/>
      <c r="G17" s="23"/>
      <c r="H17" s="109"/>
      <c r="I17" s="109"/>
      <c r="J17" s="109"/>
      <c r="K17" s="109"/>
      <c r="L17" s="109"/>
      <c r="M17" s="109"/>
      <c r="N17" s="109"/>
      <c r="O17" s="109"/>
      <c r="P17" s="109"/>
    </row>
    <row r="18" spans="1:16" ht="13.8" x14ac:dyDescent="0.25">
      <c r="A18" s="5" t="s">
        <v>9</v>
      </c>
      <c r="B18" s="34"/>
      <c r="C18" s="35"/>
      <c r="D18" s="35"/>
      <c r="E18" s="35"/>
      <c r="G18" s="28"/>
      <c r="H18" s="125" t="s">
        <v>30</v>
      </c>
      <c r="I18" s="6"/>
      <c r="J18" s="6"/>
      <c r="K18" s="99"/>
      <c r="L18" s="99"/>
      <c r="M18" s="99"/>
      <c r="N18" s="99"/>
      <c r="O18" s="107"/>
      <c r="P18" s="109"/>
    </row>
    <row r="19" spans="1:16" ht="13.8" x14ac:dyDescent="0.25">
      <c r="A19" s="36" t="s">
        <v>10</v>
      </c>
      <c r="B19" s="37">
        <f>B16</f>
        <v>6.4100000000000004E-2</v>
      </c>
      <c r="C19" s="35"/>
      <c r="D19" s="35"/>
      <c r="E19" s="35"/>
      <c r="G19" s="28"/>
      <c r="H19" s="8"/>
      <c r="I19" s="4"/>
      <c r="J19" s="109"/>
      <c r="K19" s="64"/>
      <c r="L19" s="64"/>
      <c r="M19" s="109"/>
      <c r="N19" s="109"/>
      <c r="O19" s="110"/>
      <c r="P19" s="109"/>
    </row>
    <row r="20" spans="1:16" ht="27.6" x14ac:dyDescent="0.25">
      <c r="A20" s="36" t="s">
        <v>11</v>
      </c>
      <c r="B20" s="37">
        <v>0.09</v>
      </c>
      <c r="C20" s="35"/>
      <c r="D20" s="35"/>
      <c r="E20" s="35"/>
      <c r="G20" s="28"/>
      <c r="H20" s="126" t="s">
        <v>27</v>
      </c>
      <c r="I20" s="109"/>
      <c r="J20" s="122" t="s">
        <v>18</v>
      </c>
      <c r="K20" s="123">
        <v>5</v>
      </c>
      <c r="L20" s="123">
        <v>7</v>
      </c>
      <c r="M20" s="123">
        <v>10</v>
      </c>
      <c r="N20" s="123">
        <v>12</v>
      </c>
      <c r="O20" s="127">
        <v>15</v>
      </c>
      <c r="P20" s="109"/>
    </row>
    <row r="21" spans="1:16" ht="13.8" x14ac:dyDescent="0.25">
      <c r="A21" s="36" t="s">
        <v>12</v>
      </c>
      <c r="B21" s="37">
        <v>6.4100000000000004E-2</v>
      </c>
      <c r="C21" s="35"/>
      <c r="D21" s="35"/>
      <c r="E21" s="35"/>
      <c r="G21" s="35"/>
      <c r="H21" s="103">
        <v>1</v>
      </c>
      <c r="I21" s="4" t="s">
        <v>29</v>
      </c>
      <c r="J21" s="4"/>
      <c r="K21" s="137">
        <f>HLOOKUP($H21,Legacy!$B$19:$E$29,7)</f>
        <v>7.7869987889795508E-3</v>
      </c>
      <c r="L21" s="137">
        <f>HLOOKUP($H21,Legacy!$B$19:$E$29,8)</f>
        <v>5.8959268805241832E-3</v>
      </c>
      <c r="M21" s="137">
        <f>HLOOKUP($H21,Legacy!$B$19:$E$29,9)</f>
        <v>4.4934342620420228E-3</v>
      </c>
      <c r="N21" s="137">
        <f>HLOOKUP($H21,Legacy!$B$4:$E$14,10)</f>
        <v>7.763555491599434E-3</v>
      </c>
      <c r="O21" s="138">
        <f>HLOOKUP($H21,Legacy!$B$4:$E$14,11)</f>
        <v>6.7302698339742036E-3</v>
      </c>
      <c r="P21" s="109"/>
    </row>
    <row r="22" spans="1:16" ht="14.4" thickBot="1" x14ac:dyDescent="0.3">
      <c r="A22" s="38"/>
      <c r="B22" s="39"/>
      <c r="C22" s="35"/>
      <c r="D22" s="35"/>
      <c r="E22" s="35"/>
      <c r="G22" s="40"/>
      <c r="H22" s="103">
        <v>2</v>
      </c>
      <c r="I22" s="4" t="s">
        <v>10</v>
      </c>
      <c r="J22" s="4"/>
      <c r="K22" s="137">
        <f>HLOOKUP($H22,Legacy!$G$19:$I$29,7)</f>
        <v>1.9876920137722573E-3</v>
      </c>
      <c r="L22" s="137">
        <f>HLOOKUP($H22,Legacy!$G$19:$I$29,8)</f>
        <v>1.5049811990196617E-3</v>
      </c>
      <c r="M22" s="137">
        <f>HLOOKUP($H22,Legacy!$G$19:$I$29,9)</f>
        <v>1.1469840485543476E-3</v>
      </c>
      <c r="N22" s="137">
        <f>HLOOKUP($H22,Legacy!$G$19:$I$29,10)</f>
        <v>1.009971278361843E-3</v>
      </c>
      <c r="O22" s="138">
        <f>HLOOKUP($H22,Legacy!$G$19:$I$29,11)</f>
        <v>8.7554977037185983E-4</v>
      </c>
      <c r="P22" s="109"/>
    </row>
    <row r="23" spans="1:16" ht="14.4" thickBot="1" x14ac:dyDescent="0.3">
      <c r="A23" s="36"/>
      <c r="B23" s="40"/>
      <c r="C23" s="35"/>
      <c r="D23" s="35"/>
      <c r="E23" s="35"/>
      <c r="G23" s="40"/>
      <c r="H23" s="103">
        <v>2</v>
      </c>
      <c r="I23" s="4" t="s">
        <v>21</v>
      </c>
      <c r="J23" s="4"/>
      <c r="K23" s="137">
        <f>HLOOKUP($H23,Legacy!$K$19:$M$29,7)</f>
        <v>1.6258969417148844E-3</v>
      </c>
      <c r="L23" s="137">
        <f>HLOOKUP($H23,Legacy!$K$19:$M$29,8)</f>
        <v>1.2565530217864033E-3</v>
      </c>
      <c r="M23" s="137">
        <f>HLOOKUP($H23,Legacy!$K$19:$M$29,9)</f>
        <v>9.854330641970617E-4</v>
      </c>
      <c r="N23" s="137">
        <f>HLOOKUP($H23,Legacy!$K$19:$M$29,10)</f>
        <v>8.8317479712070161E-4</v>
      </c>
      <c r="O23" s="138">
        <f>HLOOKUP($H23,Legacy!$K$19:$M$29,11)</f>
        <v>7.8456972359808091E-4</v>
      </c>
      <c r="P23" s="109"/>
    </row>
    <row r="24" spans="1:16" ht="13.8" x14ac:dyDescent="0.25">
      <c r="A24" s="16" t="s">
        <v>13</v>
      </c>
      <c r="B24" s="6"/>
      <c r="C24" s="6"/>
      <c r="D24" s="41"/>
      <c r="E24" s="42"/>
      <c r="G24" s="40"/>
      <c r="H24" s="108" t="s">
        <v>46</v>
      </c>
      <c r="I24" s="4"/>
      <c r="J24" s="4"/>
      <c r="K24" s="137">
        <f>SUM(K21:K23)</f>
        <v>1.1400587744466693E-2</v>
      </c>
      <c r="L24" s="137">
        <f>SUM(L21:L23)</f>
        <v>8.657461101330248E-3</v>
      </c>
      <c r="M24" s="137">
        <f>SUM(M21:M23)</f>
        <v>6.6258513747934318E-3</v>
      </c>
      <c r="N24" s="137">
        <f>SUM(N21:N23)</f>
        <v>9.6567015670819788E-3</v>
      </c>
      <c r="O24" s="138">
        <f>SUM(O21:O23)</f>
        <v>8.3903893279441439E-3</v>
      </c>
      <c r="P24" s="109"/>
    </row>
    <row r="25" spans="1:16" ht="27.6" x14ac:dyDescent="0.25">
      <c r="A25" s="8"/>
      <c r="B25" s="43" t="s">
        <v>14</v>
      </c>
      <c r="C25" s="131" t="s">
        <v>10</v>
      </c>
      <c r="D25" s="132" t="s">
        <v>15</v>
      </c>
      <c r="E25" s="44"/>
      <c r="G25" s="40"/>
      <c r="H25" s="108"/>
      <c r="I25" s="64" t="s">
        <v>47</v>
      </c>
      <c r="J25" s="109"/>
      <c r="K25" s="139"/>
      <c r="L25" s="139"/>
      <c r="M25" s="139"/>
      <c r="N25" s="139"/>
      <c r="O25" s="140"/>
      <c r="P25" s="109"/>
    </row>
    <row r="26" spans="1:16" ht="15" thickBot="1" x14ac:dyDescent="0.35">
      <c r="A26" s="8" t="s">
        <v>1</v>
      </c>
      <c r="B26" s="45">
        <f>55417/116084</f>
        <v>0.47738706453947144</v>
      </c>
      <c r="C26" s="46">
        <f>12.5*B26</f>
        <v>5.9673383067433932</v>
      </c>
      <c r="D26" s="47">
        <f>9.547*B26</f>
        <v>4.5576143051583342</v>
      </c>
      <c r="E26" s="46"/>
      <c r="G26" s="40"/>
      <c r="H26" s="111" t="s">
        <v>4</v>
      </c>
      <c r="I26" s="112"/>
      <c r="J26" s="112"/>
      <c r="K26" s="136">
        <f>SUM(K24:K25)</f>
        <v>1.1400587744466693E-2</v>
      </c>
      <c r="L26" s="136">
        <f>SUM(L24:L25)</f>
        <v>8.657461101330248E-3</v>
      </c>
      <c r="M26" s="136">
        <f>SUM(M24:M25)</f>
        <v>6.6258513747934318E-3</v>
      </c>
      <c r="N26" s="136">
        <f>SUM(N24:N25)</f>
        <v>9.6567015670819788E-3</v>
      </c>
      <c r="O26" s="136">
        <f>SUM(O24:O25)</f>
        <v>8.3903893279441439E-3</v>
      </c>
      <c r="P26" s="109"/>
    </row>
    <row r="27" spans="1:16" ht="14.4" x14ac:dyDescent="0.3">
      <c r="A27" s="8" t="s">
        <v>2</v>
      </c>
      <c r="B27" s="45">
        <f>42037/116084</f>
        <v>0.3621257020778057</v>
      </c>
      <c r="C27" s="46">
        <f>12.5*B27</f>
        <v>4.5265712759725716</v>
      </c>
      <c r="D27" s="47">
        <f>9.547*B27</f>
        <v>3.4572140777368112</v>
      </c>
      <c r="E27" s="46"/>
      <c r="G27" s="35"/>
      <c r="H27" s="109"/>
      <c r="I27" s="109"/>
      <c r="J27" s="109"/>
      <c r="K27" s="109"/>
      <c r="L27" s="109"/>
      <c r="M27" s="109"/>
      <c r="N27" s="109"/>
      <c r="O27" s="109"/>
      <c r="P27" s="109"/>
    </row>
    <row r="28" spans="1:16" ht="15" thickBot="1" x14ac:dyDescent="0.35">
      <c r="A28" s="8" t="s">
        <v>3</v>
      </c>
      <c r="B28" s="45">
        <f>18631/116084</f>
        <v>0.16049584783432685</v>
      </c>
      <c r="C28" s="48">
        <f>12.5*B28</f>
        <v>2.0061980979290857</v>
      </c>
      <c r="D28" s="49">
        <f>9.547*B28</f>
        <v>1.5322538592743187</v>
      </c>
      <c r="E28" s="46"/>
      <c r="G28" s="42"/>
      <c r="H28" s="109"/>
      <c r="I28" s="109"/>
      <c r="J28" s="109"/>
      <c r="K28" s="109"/>
      <c r="L28" s="109"/>
      <c r="M28" s="109"/>
      <c r="N28" s="109"/>
      <c r="O28" s="109"/>
      <c r="P28" s="109"/>
    </row>
    <row r="29" spans="1:16" ht="15" thickBot="1" x14ac:dyDescent="0.35">
      <c r="A29" s="13" t="s">
        <v>4</v>
      </c>
      <c r="B29" s="50">
        <f>SUM(B26:B28)</f>
        <v>1.000008614451604</v>
      </c>
      <c r="C29" s="51">
        <f>SUM(C26:C28)</f>
        <v>12.500107680645051</v>
      </c>
      <c r="D29" s="52">
        <f>SUM(D26:D28)</f>
        <v>9.5470822421694645</v>
      </c>
      <c r="E29" s="53"/>
      <c r="G29" s="44"/>
      <c r="H29" s="125" t="s">
        <v>31</v>
      </c>
      <c r="I29" s="6"/>
      <c r="J29" s="6"/>
      <c r="K29" s="99"/>
      <c r="L29" s="99"/>
      <c r="M29" s="99"/>
      <c r="N29" s="99"/>
      <c r="O29" s="107"/>
      <c r="P29" s="109"/>
    </row>
    <row r="30" spans="1:16" ht="14.4" thickBot="1" x14ac:dyDescent="0.3">
      <c r="A30" s="40"/>
      <c r="B30" s="40"/>
      <c r="C30" s="35"/>
      <c r="D30" s="35"/>
      <c r="E30" s="35"/>
      <c r="G30" s="46"/>
      <c r="H30" s="8"/>
      <c r="I30" s="4"/>
      <c r="J30" s="109"/>
      <c r="K30" s="64"/>
      <c r="L30" s="64"/>
      <c r="M30" s="109"/>
      <c r="N30" s="109"/>
      <c r="O30" s="110"/>
      <c r="P30" s="109"/>
    </row>
    <row r="31" spans="1:16" ht="27.6" x14ac:dyDescent="0.25">
      <c r="A31" s="16" t="s">
        <v>16</v>
      </c>
      <c r="B31" s="6"/>
      <c r="C31" s="7"/>
      <c r="D31" s="4"/>
      <c r="E31" s="2"/>
      <c r="G31" s="46"/>
      <c r="H31" s="126" t="s">
        <v>27</v>
      </c>
      <c r="I31" s="109"/>
      <c r="J31" s="122" t="s">
        <v>18</v>
      </c>
      <c r="K31" s="123">
        <v>5</v>
      </c>
      <c r="L31" s="123">
        <v>7</v>
      </c>
      <c r="M31" s="123">
        <v>10</v>
      </c>
      <c r="N31" s="123">
        <v>12</v>
      </c>
      <c r="O31" s="127">
        <v>15</v>
      </c>
      <c r="P31" s="109"/>
    </row>
    <row r="32" spans="1:16" ht="27.6" x14ac:dyDescent="0.25">
      <c r="A32" s="8"/>
      <c r="B32" s="44" t="s">
        <v>12</v>
      </c>
      <c r="C32" s="54" t="s">
        <v>17</v>
      </c>
      <c r="D32" s="55"/>
      <c r="E32" s="2"/>
      <c r="G32" s="46"/>
      <c r="H32" s="103">
        <v>1</v>
      </c>
      <c r="I32" s="4" t="s">
        <v>29</v>
      </c>
      <c r="J32" s="4"/>
      <c r="K32" s="137">
        <f>HLOOKUP($H32,Legacy!$B34:$E$44,7)</f>
        <v>1.0627028490160234E-2</v>
      </c>
      <c r="L32" s="137">
        <f>HLOOKUP($H32,Legacy!$B34:$E$44,8)</f>
        <v>8.0462556413782166E-3</v>
      </c>
      <c r="M32" s="137">
        <f>HLOOKUP($H32,Legacy!$B$34:$E$44,9)</f>
        <v>6.1322539293267786E-3</v>
      </c>
      <c r="N32" s="137">
        <f>HLOOKUP($H32,Legacy!$B$34:$E$44,10)</f>
        <v>5.3997266553512478E-3</v>
      </c>
      <c r="O32" s="138">
        <f>HLOOKUP($H32,Legacy!$B$34:$E$44,11)</f>
        <v>4.6810533472119087E-3</v>
      </c>
      <c r="P32" s="109"/>
    </row>
    <row r="33" spans="1:16" ht="13.8" x14ac:dyDescent="0.25">
      <c r="A33" s="8" t="s">
        <v>1</v>
      </c>
      <c r="B33" s="46">
        <v>6.7</v>
      </c>
      <c r="C33" s="47">
        <v>1.8720000000000001</v>
      </c>
      <c r="D33" s="46"/>
      <c r="E33" s="2"/>
      <c r="G33" s="53"/>
      <c r="H33" s="103">
        <v>2</v>
      </c>
      <c r="I33" s="4" t="s">
        <v>10</v>
      </c>
      <c r="J33" s="4"/>
      <c r="K33" s="137">
        <f>HLOOKUP($H33,Legacy!$G$34:$I$44,7)</f>
        <v>4.5148924942676324E-3</v>
      </c>
      <c r="L33" s="137">
        <f>HLOOKUP($H33,Legacy!$G$34:$I$44,8)</f>
        <v>3.4184512854043697E-3</v>
      </c>
      <c r="M33" s="137">
        <f>HLOOKUP($H33,Legacy!$G$34:$I$44,9)</f>
        <v>2.6052877588590346E-3</v>
      </c>
      <c r="N33" s="137">
        <f>HLOOKUP($H33,Legacy!$G$34:$I$44,10)</f>
        <v>2.2940735850962824E-3</v>
      </c>
      <c r="O33" s="138">
        <f>HLOOKUP($H33,Legacy!$G$34:$I$44,11)</f>
        <v>1.9887452679892797E-3</v>
      </c>
      <c r="P33" s="109"/>
    </row>
    <row r="34" spans="1:16" ht="13.8" x14ac:dyDescent="0.25">
      <c r="A34" s="8" t="s">
        <v>2</v>
      </c>
      <c r="B34" s="46">
        <v>3.5</v>
      </c>
      <c r="C34" s="47">
        <v>2.7410000000000001</v>
      </c>
      <c r="D34" s="46"/>
      <c r="E34" s="2"/>
      <c r="G34" s="35"/>
      <c r="H34" s="103">
        <v>2</v>
      </c>
      <c r="I34" s="4" t="s">
        <v>21</v>
      </c>
      <c r="J34" s="4"/>
      <c r="K34" s="137">
        <f>HLOOKUP($H34,Legacy!$K$34:$M$44,7)</f>
        <v>3.6931022752714577E-3</v>
      </c>
      <c r="L34" s="137">
        <f>HLOOKUP($H34,Legacy!$K$34:$M$44,8)</f>
        <v>2.8541654176826412E-3</v>
      </c>
      <c r="M34" s="137">
        <f>HLOOKUP($H34,Legacy!$K$34:$M$44,9)</f>
        <v>2.2383368823336398E-3</v>
      </c>
      <c r="N34" s="137">
        <f>HLOOKUP($H34,Legacy!$K$34:$M$44,10)</f>
        <v>2.0060649411571575E-3</v>
      </c>
      <c r="O34" s="138">
        <f>HLOOKUP($H34,Legacy!$K$34:$M$44,11)</f>
        <v>1.7820909536081005E-3</v>
      </c>
      <c r="P34" s="109"/>
    </row>
    <row r="35" spans="1:16" ht="13.8" x14ac:dyDescent="0.25">
      <c r="A35" s="8" t="s">
        <v>3</v>
      </c>
      <c r="B35" s="48">
        <v>0.93200000000000005</v>
      </c>
      <c r="C35" s="49">
        <v>0</v>
      </c>
      <c r="D35" s="46"/>
      <c r="E35" s="2"/>
      <c r="G35" s="4"/>
      <c r="H35" s="108" t="s">
        <v>46</v>
      </c>
      <c r="I35" s="4"/>
      <c r="J35" s="4"/>
      <c r="K35" s="137">
        <f>SUM(K32:K34)</f>
        <v>1.8835023259699324E-2</v>
      </c>
      <c r="L35" s="137">
        <f>SUM(L32:L34)</f>
        <v>1.4318872344465227E-2</v>
      </c>
      <c r="M35" s="137">
        <f>SUM(M32:M34)</f>
        <v>1.0975878570519453E-2</v>
      </c>
      <c r="N35" s="137">
        <f>SUM(N32:N34)</f>
        <v>9.6998651816046881E-3</v>
      </c>
      <c r="O35" s="138">
        <f>SUM(O32:O34)</f>
        <v>8.4518895688092885E-3</v>
      </c>
      <c r="P35" s="109"/>
    </row>
    <row r="36" spans="1:16" ht="14.4" thickBot="1" x14ac:dyDescent="0.3">
      <c r="A36" s="56" t="s">
        <v>4</v>
      </c>
      <c r="B36" s="51">
        <f>SUM(B33:B35)</f>
        <v>11.132</v>
      </c>
      <c r="C36" s="52">
        <f>SUM(C33:C35)</f>
        <v>4.6130000000000004</v>
      </c>
      <c r="D36" s="53"/>
      <c r="E36" s="53"/>
      <c r="G36" s="4"/>
      <c r="H36" s="124"/>
      <c r="I36" s="64" t="s">
        <v>48</v>
      </c>
      <c r="J36" s="109"/>
      <c r="K36" s="139"/>
      <c r="L36" s="139"/>
      <c r="M36" s="139"/>
      <c r="N36" s="139"/>
      <c r="O36" s="140"/>
      <c r="P36" s="109"/>
    </row>
    <row r="37" spans="1:16" ht="14.4" thickBot="1" x14ac:dyDescent="0.3">
      <c r="A37" s="42"/>
      <c r="B37" s="42"/>
      <c r="C37" s="53"/>
      <c r="D37" s="53"/>
      <c r="E37" s="53"/>
      <c r="G37" s="4"/>
      <c r="H37" s="111" t="s">
        <v>4</v>
      </c>
      <c r="I37" s="112"/>
      <c r="J37" s="112"/>
      <c r="K37" s="136">
        <f>SUM(K35:K36)</f>
        <v>1.8835023259699324E-2</v>
      </c>
      <c r="L37" s="136">
        <f>SUM(L35:L36)</f>
        <v>1.4318872344465227E-2</v>
      </c>
      <c r="M37" s="136">
        <f>SUM(M35:M36)</f>
        <v>1.0975878570519453E-2</v>
      </c>
      <c r="N37" s="136">
        <f>SUM(N35:N36)</f>
        <v>9.6998651816046881E-3</v>
      </c>
      <c r="O37" s="136">
        <f>SUM(O35:O36)</f>
        <v>8.4518895688092885E-3</v>
      </c>
      <c r="P37" s="109"/>
    </row>
    <row r="38" spans="1:16" ht="14.4" thickBot="1" x14ac:dyDescent="0.3">
      <c r="G38" s="4"/>
      <c r="P38" s="109"/>
    </row>
    <row r="39" spans="1:16" ht="13.8" x14ac:dyDescent="0.25">
      <c r="A39" s="116" t="s">
        <v>43</v>
      </c>
      <c r="B39" s="117"/>
      <c r="C39" s="117"/>
      <c r="D39" s="117"/>
      <c r="E39" s="117"/>
      <c r="F39" s="118"/>
      <c r="G39" s="4"/>
      <c r="H39" s="109"/>
      <c r="I39" s="109"/>
      <c r="J39" s="109"/>
      <c r="K39" s="109"/>
      <c r="L39" s="109"/>
      <c r="M39" s="109"/>
      <c r="N39" s="109"/>
      <c r="O39" s="109"/>
      <c r="P39" s="109"/>
    </row>
    <row r="40" spans="1:16" ht="29.25" customHeight="1" x14ac:dyDescent="0.25">
      <c r="A40" s="133" t="s">
        <v>22</v>
      </c>
      <c r="B40" s="134" t="s">
        <v>23</v>
      </c>
      <c r="C40" s="134" t="s">
        <v>24</v>
      </c>
      <c r="D40" s="134" t="s">
        <v>25</v>
      </c>
      <c r="E40" s="134" t="s">
        <v>44</v>
      </c>
      <c r="F40" s="135" t="s">
        <v>4</v>
      </c>
      <c r="G40" s="4"/>
      <c r="P40" s="109"/>
    </row>
    <row r="41" spans="1:16" ht="14.4" thickBot="1" x14ac:dyDescent="0.3">
      <c r="A41" s="119" t="s">
        <v>50</v>
      </c>
      <c r="B41" s="120" t="s">
        <v>50</v>
      </c>
      <c r="C41" s="120" t="s">
        <v>50</v>
      </c>
      <c r="D41" s="120" t="s">
        <v>50</v>
      </c>
      <c r="E41" s="120" t="s">
        <v>50</v>
      </c>
      <c r="F41" s="121" t="s">
        <v>50</v>
      </c>
      <c r="G41" s="69"/>
      <c r="P41" s="109"/>
    </row>
    <row r="42" spans="1:16" ht="16.5" customHeight="1" thickBot="1" x14ac:dyDescent="0.3">
      <c r="G42" s="62"/>
      <c r="H42" s="144" t="s">
        <v>42</v>
      </c>
      <c r="I42" s="144"/>
      <c r="J42" s="109"/>
      <c r="K42" s="109"/>
      <c r="L42" s="109"/>
      <c r="M42" s="109"/>
      <c r="N42" s="109"/>
      <c r="O42" s="109"/>
      <c r="P42" s="109"/>
    </row>
    <row r="43" spans="1:16" x14ac:dyDescent="0.25">
      <c r="G43" s="109"/>
      <c r="H43" s="114" t="s">
        <v>1</v>
      </c>
      <c r="I43" s="99"/>
      <c r="J43" s="99"/>
      <c r="K43" s="99"/>
      <c r="L43" s="99"/>
      <c r="M43" s="99"/>
      <c r="N43" s="99"/>
      <c r="O43" s="107"/>
      <c r="P43" s="109"/>
    </row>
    <row r="44" spans="1:16" ht="27.6" x14ac:dyDescent="0.25">
      <c r="G44" s="109"/>
      <c r="H44" s="126" t="s">
        <v>27</v>
      </c>
      <c r="I44" s="109"/>
      <c r="J44" s="122" t="s">
        <v>18</v>
      </c>
      <c r="K44" s="123">
        <v>5</v>
      </c>
      <c r="L44" s="123">
        <v>7</v>
      </c>
      <c r="M44" s="123">
        <v>10</v>
      </c>
      <c r="N44" s="123">
        <v>12</v>
      </c>
      <c r="O44" s="127">
        <v>15</v>
      </c>
      <c r="P44" s="109"/>
    </row>
    <row r="45" spans="1:16" ht="13.8" x14ac:dyDescent="0.25">
      <c r="G45" s="109"/>
      <c r="H45" s="103">
        <v>3</v>
      </c>
      <c r="I45" s="4" t="s">
        <v>29</v>
      </c>
      <c r="J45" s="4"/>
      <c r="K45" s="137">
        <f>HLOOKUP($H45,New!$B$4:$E$14,7)</f>
        <v>1.5279204052376306E-2</v>
      </c>
      <c r="L45" s="137">
        <f>HLOOKUP($H45,New!$B$4:$E$14,8)</f>
        <v>1.1568650814857095E-2</v>
      </c>
      <c r="M45" s="137">
        <f>HLOOKUP($H45,New!$B$4:$E$14,9)</f>
        <v>8.8167599413067413E-3</v>
      </c>
      <c r="N45" s="137">
        <f>HLOOKUP($H45,New!$B$4:$E$14,10)</f>
        <v>7.763555491599434E-3</v>
      </c>
      <c r="O45" s="138">
        <f>HLOOKUP($H45,New!$B$4:$E$14,11)</f>
        <v>6.7302698339742036E-3</v>
      </c>
      <c r="P45" s="109"/>
    </row>
    <row r="46" spans="1:16" ht="13.8" x14ac:dyDescent="0.25">
      <c r="G46" s="109"/>
      <c r="H46" s="103">
        <v>2</v>
      </c>
      <c r="I46" s="4" t="s">
        <v>10</v>
      </c>
      <c r="J46" s="4"/>
      <c r="K46" s="137">
        <f>HLOOKUP($H46,New!$G$4:$I$14,7)</f>
        <v>5.3717309292003529E-3</v>
      </c>
      <c r="L46" s="137">
        <f>HLOOKUP($H46,New!$G$4:$I$14,8)</f>
        <v>4.0672065886587731E-3</v>
      </c>
      <c r="M46" s="137">
        <f>HLOOKUP($H46,New!$G$4:$I$14,9)</f>
        <v>3.0997205030903578E-3</v>
      </c>
      <c r="N46" s="137">
        <f>HLOOKUP($H46,New!$G$4:$I$14,10)</f>
        <v>2.7294439561007071E-3</v>
      </c>
      <c r="O46" s="138">
        <f>HLOOKUP($H46,New!$G$4:$I$14,11)</f>
        <v>2.3661702864293259E-3</v>
      </c>
      <c r="P46" s="109"/>
    </row>
    <row r="47" spans="1:16" ht="13.8" x14ac:dyDescent="0.25">
      <c r="G47" s="109"/>
      <c r="H47" s="103">
        <v>1</v>
      </c>
      <c r="I47" s="4" t="s">
        <v>21</v>
      </c>
      <c r="J47" s="4"/>
      <c r="K47" s="137">
        <f>HLOOKUP($H47,New!$K$4:$M$14,7)</f>
        <v>4.3939809734038632E-3</v>
      </c>
      <c r="L47" s="137">
        <f>HLOOKUP($H47,New!$K$4:$M$14,8)</f>
        <v>3.3958302818253212E-3</v>
      </c>
      <c r="M47" s="137">
        <f>HLOOKUP($H47,New!$K$4:$M$14,9)</f>
        <v>2.6631295155017617E-3</v>
      </c>
      <c r="N47" s="137">
        <f>HLOOKUP($H47,New!$K$4:$M$14,10)</f>
        <v>2.3867768953702152E-3</v>
      </c>
      <c r="O47" s="138">
        <f>HLOOKUP($H47,New!$K$4:$M$14,11)</f>
        <v>2.1202970184337954E-3</v>
      </c>
      <c r="P47" s="109"/>
    </row>
    <row r="48" spans="1:16" ht="13.8" x14ac:dyDescent="0.25">
      <c r="G48" s="109"/>
      <c r="H48" s="108" t="s">
        <v>46</v>
      </c>
      <c r="I48" s="4"/>
      <c r="J48" s="4"/>
      <c r="K48" s="137">
        <f>SUM(K45:K47)</f>
        <v>2.5044915954980523E-2</v>
      </c>
      <c r="L48" s="137">
        <f>SUM(L45:L47)</f>
        <v>1.9031687685341192E-2</v>
      </c>
      <c r="M48" s="137">
        <f>SUM(M45:M47)</f>
        <v>1.457960995989886E-2</v>
      </c>
      <c r="N48" s="137">
        <f>SUM(N45:N47)</f>
        <v>1.2879776343070356E-2</v>
      </c>
      <c r="O48" s="138">
        <f>SUM(O45:O47)</f>
        <v>1.1216737138837325E-2</v>
      </c>
      <c r="P48" s="109"/>
    </row>
    <row r="49" spans="7:16" ht="13.8" x14ac:dyDescent="0.25">
      <c r="G49" s="109"/>
      <c r="H49" s="108"/>
      <c r="I49" s="64" t="s">
        <v>47</v>
      </c>
      <c r="J49" s="109"/>
      <c r="K49" s="139"/>
      <c r="L49" s="139"/>
      <c r="M49" s="139"/>
      <c r="N49" s="139"/>
      <c r="O49" s="140"/>
      <c r="P49" s="109"/>
    </row>
    <row r="50" spans="7:16" ht="13.8" thickBot="1" x14ac:dyDescent="0.3">
      <c r="G50" s="109"/>
      <c r="H50" s="111" t="s">
        <v>49</v>
      </c>
      <c r="I50" s="112"/>
      <c r="J50" s="112"/>
      <c r="K50" s="141">
        <f>SUM(K48:K49)</f>
        <v>2.5044915954980523E-2</v>
      </c>
      <c r="L50" s="141">
        <f>SUM(L48:L49)</f>
        <v>1.9031687685341192E-2</v>
      </c>
      <c r="M50" s="141">
        <f>SUM(M48:M49)</f>
        <v>1.457960995989886E-2</v>
      </c>
      <c r="N50" s="141">
        <f>SUM(N48:N49)</f>
        <v>1.2879776343070356E-2</v>
      </c>
      <c r="O50" s="141">
        <f>SUM(O48:O49)</f>
        <v>1.1216737138837325E-2</v>
      </c>
      <c r="P50" s="109"/>
    </row>
    <row r="51" spans="7:16" x14ac:dyDescent="0.25">
      <c r="G51" s="109"/>
      <c r="H51" s="109"/>
      <c r="I51" s="109"/>
      <c r="J51" s="109"/>
      <c r="K51" s="109"/>
      <c r="L51" s="109"/>
      <c r="M51" s="109"/>
      <c r="N51" s="109"/>
      <c r="O51" s="109"/>
      <c r="P51" s="109"/>
    </row>
    <row r="52" spans="7:16" ht="13.8" thickBot="1" x14ac:dyDescent="0.3">
      <c r="G52" s="109"/>
      <c r="H52" s="109"/>
      <c r="I52" s="109"/>
      <c r="J52" s="109"/>
      <c r="K52" s="109"/>
      <c r="L52" s="109"/>
      <c r="M52" s="109"/>
      <c r="N52" s="109"/>
      <c r="O52" s="109"/>
      <c r="P52" s="109"/>
    </row>
    <row r="53" spans="7:16" ht="13.8" x14ac:dyDescent="0.25">
      <c r="G53" s="109"/>
      <c r="H53" s="125" t="s">
        <v>30</v>
      </c>
      <c r="I53" s="6"/>
      <c r="J53" s="6"/>
      <c r="K53" s="99"/>
      <c r="L53" s="99"/>
      <c r="M53" s="99"/>
      <c r="N53" s="99"/>
      <c r="O53" s="107"/>
      <c r="P53" s="109"/>
    </row>
    <row r="54" spans="7:16" ht="13.8" x14ac:dyDescent="0.25">
      <c r="G54" s="109"/>
      <c r="H54" s="8"/>
      <c r="I54" s="4"/>
      <c r="J54" s="109"/>
      <c r="K54" s="64"/>
      <c r="L54" s="64"/>
      <c r="M54" s="109"/>
      <c r="N54" s="109"/>
      <c r="O54" s="110"/>
      <c r="P54" s="109"/>
    </row>
    <row r="55" spans="7:16" ht="27.6" x14ac:dyDescent="0.25">
      <c r="G55" s="109"/>
      <c r="H55" s="126" t="s">
        <v>27</v>
      </c>
      <c r="I55" s="109"/>
      <c r="J55" s="122" t="s">
        <v>18</v>
      </c>
      <c r="K55" s="123">
        <v>5</v>
      </c>
      <c r="L55" s="123">
        <v>7</v>
      </c>
      <c r="M55" s="123">
        <v>10</v>
      </c>
      <c r="N55" s="123">
        <v>12</v>
      </c>
      <c r="O55" s="127">
        <v>15</v>
      </c>
      <c r="P55" s="109"/>
    </row>
    <row r="56" spans="7:16" ht="13.8" x14ac:dyDescent="0.25">
      <c r="G56" s="109"/>
      <c r="H56" s="103">
        <v>1</v>
      </c>
      <c r="I56" s="4" t="s">
        <v>29</v>
      </c>
      <c r="J56" s="4"/>
      <c r="K56" s="137">
        <f>HLOOKUP($H56,New!$B$19:$E$29,7)</f>
        <v>7.7869987889795508E-3</v>
      </c>
      <c r="L56" s="137">
        <f>HLOOKUP($H56,New!$B$19:$E$29,8)</f>
        <v>5.8959268805241832E-3</v>
      </c>
      <c r="M56" s="137">
        <f>HLOOKUP($H56,New!$B$19:$E$29,9)</f>
        <v>4.4934342620420228E-3</v>
      </c>
      <c r="N56" s="137">
        <f>HLOOKUP($H56,New!$B$4:$E$14,10)</f>
        <v>7.763555491599434E-3</v>
      </c>
      <c r="O56" s="138">
        <f>HLOOKUP($H56,New!$B$4:$E$14,11)</f>
        <v>6.7302698339742036E-3</v>
      </c>
      <c r="P56" s="109"/>
    </row>
    <row r="57" spans="7:16" ht="13.8" x14ac:dyDescent="0.25">
      <c r="G57" s="109"/>
      <c r="H57" s="103">
        <v>2</v>
      </c>
      <c r="I57" s="4" t="s">
        <v>10</v>
      </c>
      <c r="J57" s="4"/>
      <c r="K57" s="137">
        <f>HLOOKUP($H57,New!$G$19:$I$29,7)</f>
        <v>3.9753840275445146E-3</v>
      </c>
      <c r="L57" s="137">
        <f>HLOOKUP($H57,New!$G$19:$I$29,8)</f>
        <v>3.0099623980393234E-3</v>
      </c>
      <c r="M57" s="137">
        <f>HLOOKUP($H57,New!$G$19:$I$29,9)</f>
        <v>2.2939680971086952E-3</v>
      </c>
      <c r="N57" s="137">
        <f>HLOOKUP($H57,New!$G$19:$I$29,10)</f>
        <v>2.0199425567236861E-3</v>
      </c>
      <c r="O57" s="138">
        <f>HLOOKUP($H57,New!$G$19:$I$29,11)</f>
        <v>1.7510995407437197E-3</v>
      </c>
      <c r="P57" s="109"/>
    </row>
    <row r="58" spans="7:16" ht="13.8" x14ac:dyDescent="0.25">
      <c r="G58" s="109"/>
      <c r="H58" s="103">
        <v>2</v>
      </c>
      <c r="I58" s="4" t="s">
        <v>21</v>
      </c>
      <c r="J58" s="4"/>
      <c r="K58" s="137">
        <f>HLOOKUP($H58,New!$K$19:$M$29,7)</f>
        <v>3.2517938834297688E-3</v>
      </c>
      <c r="L58" s="137">
        <f>HLOOKUP($H58,New!$K$19:$M$29,8)</f>
        <v>2.5131060435728066E-3</v>
      </c>
      <c r="M58" s="137">
        <f>HLOOKUP($H58,New!$K$19:$M$29,9)</f>
        <v>1.9708661283941234E-3</v>
      </c>
      <c r="N58" s="137">
        <f>HLOOKUP($H58,New!$K$19:$M$29,10)</f>
        <v>1.7663495942414032E-3</v>
      </c>
      <c r="O58" s="138">
        <f>HLOOKUP($H58,New!$K$19:$M$29,11)</f>
        <v>1.5691394471961618E-3</v>
      </c>
      <c r="P58" s="109"/>
    </row>
    <row r="59" spans="7:16" ht="13.8" x14ac:dyDescent="0.25">
      <c r="G59" s="109"/>
      <c r="H59" s="108" t="s">
        <v>46</v>
      </c>
      <c r="I59" s="4"/>
      <c r="J59" s="4"/>
      <c r="K59" s="137">
        <f>SUM(K56:K58)</f>
        <v>1.5014176699953835E-2</v>
      </c>
      <c r="L59" s="137">
        <f>SUM(L56:L58)</f>
        <v>1.1418995322136312E-2</v>
      </c>
      <c r="M59" s="137">
        <f>SUM(M56:M58)</f>
        <v>8.7582684875448409E-3</v>
      </c>
      <c r="N59" s="137">
        <f>SUM(N56:N58)</f>
        <v>1.1549847642564523E-2</v>
      </c>
      <c r="O59" s="138">
        <f>SUM(O56:O58)</f>
        <v>1.0050508821914085E-2</v>
      </c>
      <c r="P59" s="109"/>
    </row>
    <row r="60" spans="7:16" ht="13.8" x14ac:dyDescent="0.25">
      <c r="G60" s="109"/>
      <c r="H60" s="108"/>
      <c r="I60" s="64" t="s">
        <v>47</v>
      </c>
      <c r="J60" s="109"/>
      <c r="K60" s="139"/>
      <c r="L60" s="139"/>
      <c r="M60" s="139"/>
      <c r="N60" s="139"/>
      <c r="O60" s="140"/>
      <c r="P60" s="109"/>
    </row>
    <row r="61" spans="7:16" ht="13.8" thickBot="1" x14ac:dyDescent="0.3">
      <c r="G61" s="109"/>
      <c r="H61" s="111" t="s">
        <v>4</v>
      </c>
      <c r="I61" s="112"/>
      <c r="J61" s="112"/>
      <c r="K61" s="136">
        <f>SUM(K59:K60)</f>
        <v>1.5014176699953835E-2</v>
      </c>
      <c r="L61" s="136">
        <f>SUM(L59:L60)</f>
        <v>1.1418995322136312E-2</v>
      </c>
      <c r="M61" s="136">
        <f>SUM(M59:M60)</f>
        <v>8.7582684875448409E-3</v>
      </c>
      <c r="N61" s="136">
        <f>SUM(N59:N60)</f>
        <v>1.1549847642564523E-2</v>
      </c>
      <c r="O61" s="136">
        <f>SUM(O59:O60)</f>
        <v>1.0050508821914085E-2</v>
      </c>
      <c r="P61" s="109"/>
    </row>
    <row r="62" spans="7:16" x14ac:dyDescent="0.25">
      <c r="G62" s="109"/>
      <c r="H62" s="109"/>
      <c r="I62" s="109"/>
      <c r="J62" s="109"/>
      <c r="K62" s="109"/>
      <c r="L62" s="109"/>
      <c r="M62" s="109"/>
      <c r="N62" s="109"/>
      <c r="O62" s="109"/>
      <c r="P62" s="109"/>
    </row>
    <row r="63" spans="7:16" ht="13.8" thickBot="1" x14ac:dyDescent="0.3">
      <c r="G63" s="109"/>
      <c r="P63" s="109"/>
    </row>
    <row r="64" spans="7:16" ht="13.8" x14ac:dyDescent="0.25">
      <c r="G64" s="109"/>
      <c r="H64" s="125" t="s">
        <v>31</v>
      </c>
      <c r="I64" s="6"/>
      <c r="J64" s="6"/>
      <c r="K64" s="99"/>
      <c r="L64" s="99"/>
      <c r="M64" s="99"/>
      <c r="N64" s="99"/>
      <c r="O64" s="107"/>
      <c r="P64" s="109"/>
    </row>
    <row r="65" spans="7:16" ht="13.8" x14ac:dyDescent="0.25">
      <c r="G65" s="109"/>
      <c r="H65" s="8"/>
      <c r="I65" s="4"/>
      <c r="J65" s="109"/>
      <c r="K65" s="64"/>
      <c r="L65" s="64"/>
      <c r="M65" s="109"/>
      <c r="N65" s="109"/>
      <c r="O65" s="110"/>
      <c r="P65" s="109"/>
    </row>
    <row r="66" spans="7:16" ht="27.6" x14ac:dyDescent="0.25">
      <c r="G66" s="109"/>
      <c r="H66" s="126" t="s">
        <v>27</v>
      </c>
      <c r="I66" s="109"/>
      <c r="J66" s="122" t="s">
        <v>18</v>
      </c>
      <c r="K66" s="123">
        <v>5</v>
      </c>
      <c r="L66" s="123">
        <v>7</v>
      </c>
      <c r="M66" s="123">
        <v>10</v>
      </c>
      <c r="N66" s="123">
        <v>12</v>
      </c>
      <c r="O66" s="127">
        <v>15</v>
      </c>
      <c r="P66" s="109"/>
    </row>
    <row r="67" spans="7:16" ht="13.8" x14ac:dyDescent="0.25">
      <c r="G67" s="109"/>
      <c r="H67" s="103">
        <v>1</v>
      </c>
      <c r="I67" s="4" t="s">
        <v>29</v>
      </c>
      <c r="J67" s="4"/>
      <c r="K67" s="137">
        <f>HLOOKUP($H67,New!$B$34:$E58,7)</f>
        <v>1.0627028490160234E-2</v>
      </c>
      <c r="L67" s="137">
        <f>HLOOKUP($H67,New!$B$34:$E58,8)</f>
        <v>8.0462556413782166E-3</v>
      </c>
      <c r="M67" s="137">
        <f>HLOOKUP($H67,New!$B$34:$E$44,9)</f>
        <v>6.1322539293267786E-3</v>
      </c>
      <c r="N67" s="137">
        <f>HLOOKUP($H67,New!$B$34:$E$44,10)</f>
        <v>5.3997266553512478E-3</v>
      </c>
      <c r="O67" s="138">
        <f>HLOOKUP($H67,New!$B$34:$E$44,11)</f>
        <v>4.6810533472119087E-3</v>
      </c>
      <c r="P67" s="109"/>
    </row>
    <row r="68" spans="7:16" ht="13.8" x14ac:dyDescent="0.25">
      <c r="G68" s="109"/>
      <c r="H68" s="103">
        <v>2</v>
      </c>
      <c r="I68" s="4" t="s">
        <v>10</v>
      </c>
      <c r="J68" s="4"/>
      <c r="K68" s="137">
        <f>HLOOKUP($H68,New!$G$34:$I$44,7)</f>
        <v>9.0297849885352648E-3</v>
      </c>
      <c r="L68" s="137">
        <f>HLOOKUP($H68,New!$G$34:$I$44,8)</f>
        <v>6.8369025708087394E-3</v>
      </c>
      <c r="M68" s="137">
        <f>HLOOKUP($H68,New!$G$34:$I$44,9)</f>
        <v>5.2105755177180692E-3</v>
      </c>
      <c r="N68" s="137">
        <f>HLOOKUP($H68,New!$G$34:$I$44,10)</f>
        <v>4.5881471701925648E-3</v>
      </c>
      <c r="O68" s="138">
        <f>HLOOKUP($H68,New!$G$34:$I$44,11)</f>
        <v>3.9774905359785595E-3</v>
      </c>
      <c r="P68" s="109"/>
    </row>
    <row r="69" spans="7:16" ht="13.8" x14ac:dyDescent="0.25">
      <c r="G69" s="109"/>
      <c r="H69" s="103">
        <v>2</v>
      </c>
      <c r="I69" s="4" t="s">
        <v>21</v>
      </c>
      <c r="J69" s="4"/>
      <c r="K69" s="137">
        <f>HLOOKUP($H69,New!$K$34:$M$44,7)</f>
        <v>7.3862045505429155E-3</v>
      </c>
      <c r="L69" s="137">
        <f>HLOOKUP($H69,New!$K$34:$M$44,8)</f>
        <v>5.7083308353652823E-3</v>
      </c>
      <c r="M69" s="137">
        <f>HLOOKUP($H69,New!$K$34:$M$44,9)</f>
        <v>4.4766737646672796E-3</v>
      </c>
      <c r="N69" s="137">
        <f>HLOOKUP($H69,New!$K$34:$M$44,10)</f>
        <v>4.0121298823143151E-3</v>
      </c>
      <c r="O69" s="138">
        <f>HLOOKUP($H69,New!$K$34:$M$44,11)</f>
        <v>3.5641819072162011E-3</v>
      </c>
      <c r="P69" s="109"/>
    </row>
    <row r="70" spans="7:16" ht="13.8" x14ac:dyDescent="0.25">
      <c r="G70" s="109"/>
      <c r="H70" s="108" t="s">
        <v>46</v>
      </c>
      <c r="I70" s="4"/>
      <c r="J70" s="4"/>
      <c r="K70" s="137">
        <f>SUM(K67:K69)</f>
        <v>2.7043018029238412E-2</v>
      </c>
      <c r="L70" s="137">
        <f>SUM(L67:L69)</f>
        <v>2.0591489047552237E-2</v>
      </c>
      <c r="M70" s="137">
        <f>SUM(M67:M69)</f>
        <v>1.5819503211712126E-2</v>
      </c>
      <c r="N70" s="137">
        <f>SUM(N67:N69)</f>
        <v>1.4000003707858127E-2</v>
      </c>
      <c r="O70" s="138">
        <f>SUM(O67:O69)</f>
        <v>1.2222725790406669E-2</v>
      </c>
      <c r="P70" s="109"/>
    </row>
    <row r="71" spans="7:16" ht="13.8" x14ac:dyDescent="0.25">
      <c r="G71" s="109"/>
      <c r="H71" s="108"/>
      <c r="I71" s="64" t="s">
        <v>47</v>
      </c>
      <c r="J71" s="109"/>
      <c r="K71" s="139"/>
      <c r="L71" s="139"/>
      <c r="M71" s="139"/>
      <c r="N71" s="139"/>
      <c r="O71" s="140"/>
      <c r="P71" s="109"/>
    </row>
    <row r="72" spans="7:16" ht="13.8" thickBot="1" x14ac:dyDescent="0.3">
      <c r="G72" s="109"/>
      <c r="H72" s="111" t="s">
        <v>4</v>
      </c>
      <c r="I72" s="112"/>
      <c r="J72" s="112"/>
      <c r="K72" s="141">
        <f>SUM(K70:K71)</f>
        <v>2.7043018029238412E-2</v>
      </c>
      <c r="L72" s="141">
        <f>SUM(L70:L71)</f>
        <v>2.0591489047552237E-2</v>
      </c>
      <c r="M72" s="141">
        <f>SUM(M70:M71)</f>
        <v>1.5819503211712126E-2</v>
      </c>
      <c r="N72" s="141">
        <f>SUM(N70:N71)</f>
        <v>1.4000003707858127E-2</v>
      </c>
      <c r="O72" s="141">
        <f>SUM(O70:O71)</f>
        <v>1.2222725790406669E-2</v>
      </c>
      <c r="P72" s="109"/>
    </row>
    <row r="73" spans="7:16" x14ac:dyDescent="0.25">
      <c r="G73" s="109"/>
      <c r="H73" s="109"/>
      <c r="I73" s="109"/>
      <c r="J73" s="109"/>
      <c r="K73" s="109"/>
      <c r="L73" s="109"/>
      <c r="M73" s="109"/>
      <c r="N73" s="109"/>
      <c r="O73" s="109"/>
      <c r="P73" s="109"/>
    </row>
    <row r="74" spans="7:16" x14ac:dyDescent="0.25">
      <c r="G74" s="109"/>
      <c r="H74" s="109"/>
      <c r="I74" s="109"/>
      <c r="J74" s="109"/>
      <c r="K74" s="109"/>
      <c r="L74" s="109"/>
      <c r="M74" s="109"/>
      <c r="N74" s="109"/>
      <c r="O74" s="109"/>
      <c r="P74" s="109"/>
    </row>
    <row r="75" spans="7:16" x14ac:dyDescent="0.25">
      <c r="G75" s="109"/>
      <c r="H75" s="109"/>
      <c r="I75" s="109"/>
      <c r="J75" s="109"/>
      <c r="K75" s="109"/>
      <c r="L75" s="109"/>
      <c r="M75" s="109"/>
      <c r="N75" s="109"/>
      <c r="O75" s="109"/>
      <c r="P75" s="109"/>
    </row>
    <row r="76" spans="7:16" x14ac:dyDescent="0.25">
      <c r="G76" s="109"/>
      <c r="H76" s="109"/>
      <c r="I76" s="109"/>
      <c r="J76" s="109"/>
      <c r="K76" s="109"/>
      <c r="L76" s="109"/>
      <c r="M76" s="109"/>
      <c r="N76" s="109"/>
      <c r="O76" s="109"/>
      <c r="P76" s="109"/>
    </row>
    <row r="77" spans="7:16" x14ac:dyDescent="0.25">
      <c r="G77" s="109"/>
      <c r="H77" s="109"/>
      <c r="I77" s="109"/>
      <c r="J77" s="109"/>
      <c r="K77" s="109"/>
      <c r="L77" s="109"/>
      <c r="M77" s="109"/>
      <c r="N77" s="109"/>
      <c r="O77" s="109"/>
      <c r="P77" s="109"/>
    </row>
    <row r="78" spans="7:16" x14ac:dyDescent="0.25">
      <c r="G78" s="109"/>
      <c r="H78" s="109"/>
      <c r="I78" s="109"/>
      <c r="J78" s="109"/>
      <c r="K78" s="109"/>
      <c r="L78" s="109"/>
      <c r="M78" s="109"/>
      <c r="N78" s="109"/>
      <c r="O78" s="109"/>
      <c r="P78" s="109"/>
    </row>
    <row r="79" spans="7:16" x14ac:dyDescent="0.25">
      <c r="G79" s="109"/>
      <c r="H79" s="109"/>
      <c r="I79" s="109"/>
      <c r="J79" s="109"/>
      <c r="K79" s="109"/>
      <c r="L79" s="109"/>
      <c r="M79" s="109"/>
      <c r="N79" s="109"/>
      <c r="O79" s="109"/>
      <c r="P79" s="109"/>
    </row>
    <row r="80" spans="7:16" x14ac:dyDescent="0.25">
      <c r="G80" s="109"/>
      <c r="H80" s="109"/>
      <c r="I80" s="109"/>
      <c r="J80" s="109"/>
      <c r="K80" s="109"/>
      <c r="L80" s="109"/>
      <c r="M80" s="109"/>
      <c r="N80" s="109"/>
      <c r="O80" s="109"/>
      <c r="P80" s="109"/>
    </row>
    <row r="81" spans="7:16" x14ac:dyDescent="0.25">
      <c r="G81" s="109"/>
      <c r="H81" s="109"/>
      <c r="I81" s="109"/>
      <c r="J81" s="109"/>
      <c r="K81" s="109"/>
      <c r="L81" s="109"/>
      <c r="M81" s="109"/>
      <c r="N81" s="109"/>
      <c r="O81" s="109"/>
      <c r="P81" s="109"/>
    </row>
    <row r="82" spans="7:16" x14ac:dyDescent="0.25">
      <c r="G82" s="109"/>
      <c r="H82" s="109"/>
      <c r="I82" s="109"/>
      <c r="J82" s="109"/>
      <c r="K82" s="109"/>
      <c r="L82" s="109"/>
      <c r="M82" s="109"/>
      <c r="N82" s="109"/>
      <c r="O82" s="109"/>
      <c r="P82" s="109"/>
    </row>
    <row r="83" spans="7:16" x14ac:dyDescent="0.25">
      <c r="G83" s="109"/>
      <c r="H83" s="109"/>
      <c r="I83" s="109"/>
      <c r="J83" s="109"/>
      <c r="K83" s="109"/>
      <c r="L83" s="109"/>
      <c r="M83" s="109"/>
      <c r="N83" s="109"/>
      <c r="O83" s="109"/>
      <c r="P83" s="109"/>
    </row>
    <row r="84" spans="7:16" x14ac:dyDescent="0.25">
      <c r="G84" s="109"/>
      <c r="H84" s="109"/>
      <c r="I84" s="109"/>
      <c r="J84" s="109"/>
      <c r="K84" s="109"/>
      <c r="L84" s="109"/>
      <c r="M84" s="109"/>
      <c r="N84" s="109"/>
      <c r="O84" s="109"/>
      <c r="P84" s="109"/>
    </row>
    <row r="85" spans="7:16" x14ac:dyDescent="0.25">
      <c r="G85" s="109"/>
      <c r="H85" s="109"/>
      <c r="I85" s="109"/>
      <c r="J85" s="109"/>
      <c r="K85" s="109"/>
      <c r="L85" s="109"/>
      <c r="M85" s="109"/>
      <c r="N85" s="109"/>
      <c r="O85" s="109"/>
      <c r="P85" s="109"/>
    </row>
    <row r="86" spans="7:16" x14ac:dyDescent="0.25">
      <c r="G86" s="109"/>
      <c r="H86" s="109"/>
      <c r="I86" s="109"/>
      <c r="J86" s="109"/>
      <c r="K86" s="109"/>
      <c r="L86" s="109"/>
      <c r="M86" s="109"/>
      <c r="N86" s="109"/>
      <c r="O86" s="109"/>
      <c r="P86" s="109"/>
    </row>
    <row r="87" spans="7:16" x14ac:dyDescent="0.25">
      <c r="G87" s="109"/>
      <c r="H87" s="109"/>
      <c r="I87" s="109"/>
      <c r="J87" s="109"/>
      <c r="K87" s="109"/>
      <c r="L87" s="109"/>
      <c r="M87" s="109"/>
      <c r="N87" s="109"/>
      <c r="O87" s="109"/>
      <c r="P87" s="109"/>
    </row>
    <row r="88" spans="7:16" x14ac:dyDescent="0.25">
      <c r="G88" s="109"/>
      <c r="H88" s="109"/>
      <c r="I88" s="109"/>
      <c r="J88" s="109"/>
      <c r="K88" s="109"/>
      <c r="L88" s="109"/>
      <c r="M88" s="109"/>
      <c r="N88" s="109"/>
      <c r="O88" s="109"/>
      <c r="P88" s="109"/>
    </row>
    <row r="89" spans="7:16" x14ac:dyDescent="0.25">
      <c r="G89" s="109"/>
      <c r="H89" s="109"/>
      <c r="I89" s="109"/>
      <c r="J89" s="109"/>
      <c r="K89" s="109"/>
      <c r="L89" s="109"/>
      <c r="M89" s="109"/>
      <c r="N89" s="109"/>
      <c r="O89" s="109"/>
      <c r="P89" s="109"/>
    </row>
    <row r="90" spans="7:16" x14ac:dyDescent="0.25">
      <c r="G90" s="109"/>
      <c r="H90" s="109"/>
      <c r="I90" s="109"/>
      <c r="J90" s="109"/>
      <c r="K90" s="109"/>
      <c r="L90" s="109"/>
      <c r="M90" s="109"/>
      <c r="N90" s="109"/>
      <c r="O90" s="109"/>
      <c r="P90" s="109"/>
    </row>
    <row r="91" spans="7:16" x14ac:dyDescent="0.25">
      <c r="G91" s="109"/>
      <c r="H91" s="109"/>
      <c r="I91" s="109"/>
      <c r="J91" s="109"/>
      <c r="K91" s="109"/>
      <c r="L91" s="109"/>
      <c r="M91" s="109"/>
      <c r="N91" s="109"/>
      <c r="O91" s="109"/>
      <c r="P91" s="109"/>
    </row>
    <row r="92" spans="7:16" x14ac:dyDescent="0.25">
      <c r="G92" s="109"/>
      <c r="H92" s="109"/>
      <c r="I92" s="109"/>
      <c r="J92" s="109"/>
      <c r="K92" s="109"/>
      <c r="L92" s="109"/>
      <c r="M92" s="109"/>
      <c r="N92" s="109"/>
      <c r="O92" s="109"/>
      <c r="P92" s="109"/>
    </row>
    <row r="93" spans="7:16" x14ac:dyDescent="0.25">
      <c r="G93" s="109"/>
      <c r="H93" s="109"/>
      <c r="I93" s="109"/>
      <c r="J93" s="109"/>
      <c r="K93" s="109"/>
      <c r="L93" s="109"/>
      <c r="M93" s="109"/>
      <c r="N93" s="109"/>
      <c r="O93" s="109"/>
      <c r="P93" s="109"/>
    </row>
    <row r="94" spans="7:16" x14ac:dyDescent="0.25">
      <c r="G94" s="109"/>
      <c r="H94" s="109"/>
      <c r="I94" s="109"/>
      <c r="J94" s="109"/>
      <c r="K94" s="109"/>
      <c r="L94" s="109"/>
      <c r="M94" s="109"/>
      <c r="N94" s="109"/>
      <c r="O94" s="109"/>
      <c r="P94" s="109"/>
    </row>
    <row r="95" spans="7:16" x14ac:dyDescent="0.25">
      <c r="G95" s="109"/>
      <c r="H95" s="109"/>
      <c r="I95" s="109"/>
      <c r="J95" s="109"/>
      <c r="K95" s="109"/>
      <c r="L95" s="109"/>
      <c r="M95" s="109"/>
      <c r="N95" s="109"/>
      <c r="O95" s="109"/>
      <c r="P95" s="109"/>
    </row>
    <row r="96" spans="7:16" x14ac:dyDescent="0.25">
      <c r="G96" s="109"/>
      <c r="H96" s="109"/>
      <c r="I96" s="109"/>
      <c r="J96" s="109"/>
      <c r="K96" s="109"/>
      <c r="L96" s="109"/>
      <c r="M96" s="109"/>
      <c r="N96" s="109"/>
      <c r="O96" s="109"/>
      <c r="P96" s="109"/>
    </row>
    <row r="97" spans="7:16" x14ac:dyDescent="0.25">
      <c r="G97" s="109"/>
      <c r="H97" s="109"/>
      <c r="I97" s="109"/>
      <c r="J97" s="109"/>
      <c r="K97" s="109"/>
      <c r="L97" s="109"/>
      <c r="M97" s="109"/>
      <c r="N97" s="109"/>
      <c r="O97" s="109"/>
      <c r="P97" s="109"/>
    </row>
    <row r="98" spans="7:16" x14ac:dyDescent="0.25">
      <c r="G98" s="109"/>
      <c r="H98" s="109"/>
      <c r="I98" s="109"/>
      <c r="J98" s="109"/>
      <c r="K98" s="109"/>
      <c r="L98" s="109"/>
      <c r="M98" s="109"/>
      <c r="N98" s="109"/>
      <c r="O98" s="109"/>
      <c r="P98" s="109"/>
    </row>
    <row r="99" spans="7:16" x14ac:dyDescent="0.25">
      <c r="G99" s="109"/>
      <c r="H99" s="109"/>
      <c r="I99" s="109"/>
      <c r="J99" s="109"/>
      <c r="K99" s="109"/>
      <c r="L99" s="109"/>
      <c r="M99" s="109"/>
      <c r="N99" s="109"/>
      <c r="O99" s="109"/>
      <c r="P99" s="109"/>
    </row>
    <row r="100" spans="7:16" x14ac:dyDescent="0.25"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</row>
    <row r="101" spans="7:16" x14ac:dyDescent="0.25"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</row>
    <row r="102" spans="7:16" x14ac:dyDescent="0.25"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</row>
    <row r="103" spans="7:16" x14ac:dyDescent="0.25"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</row>
    <row r="104" spans="7:16" x14ac:dyDescent="0.25"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</row>
    <row r="105" spans="7:16" x14ac:dyDescent="0.25"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</row>
    <row r="106" spans="7:16" x14ac:dyDescent="0.25"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</row>
    <row r="107" spans="7:16" x14ac:dyDescent="0.25"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</row>
    <row r="108" spans="7:16" x14ac:dyDescent="0.25"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</row>
    <row r="109" spans="7:16" x14ac:dyDescent="0.25"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</row>
    <row r="110" spans="7:16" x14ac:dyDescent="0.25"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</row>
    <row r="111" spans="7:16" x14ac:dyDescent="0.25"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</row>
    <row r="112" spans="7:16" x14ac:dyDescent="0.25"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</row>
    <row r="113" spans="7:16" x14ac:dyDescent="0.25"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</row>
    <row r="114" spans="7:16" x14ac:dyDescent="0.25"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</row>
    <row r="115" spans="7:16" x14ac:dyDescent="0.25"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</row>
    <row r="116" spans="7:16" x14ac:dyDescent="0.25"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</row>
    <row r="117" spans="7:16" x14ac:dyDescent="0.25"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</row>
    <row r="118" spans="7:16" x14ac:dyDescent="0.25"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</row>
    <row r="119" spans="7:16" x14ac:dyDescent="0.25"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</row>
    <row r="120" spans="7:16" x14ac:dyDescent="0.25"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</row>
    <row r="121" spans="7:16" x14ac:dyDescent="0.25"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</row>
    <row r="122" spans="7:16" x14ac:dyDescent="0.25"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</row>
    <row r="123" spans="7:16" x14ac:dyDescent="0.25"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</row>
    <row r="124" spans="7:16" x14ac:dyDescent="0.25"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</row>
    <row r="125" spans="7:16" x14ac:dyDescent="0.25"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</row>
    <row r="126" spans="7:16" x14ac:dyDescent="0.25"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</row>
    <row r="127" spans="7:16" x14ac:dyDescent="0.25"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</row>
    <row r="128" spans="7:16" x14ac:dyDescent="0.25"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</row>
    <row r="129" spans="7:16" x14ac:dyDescent="0.25"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</row>
    <row r="130" spans="7:16" x14ac:dyDescent="0.25"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</row>
    <row r="131" spans="7:16" x14ac:dyDescent="0.25"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</row>
    <row r="132" spans="7:16" x14ac:dyDescent="0.25"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</row>
    <row r="133" spans="7:16" x14ac:dyDescent="0.25"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</row>
    <row r="134" spans="7:16" x14ac:dyDescent="0.25"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</row>
    <row r="135" spans="7:16" x14ac:dyDescent="0.25"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</row>
    <row r="136" spans="7:16" x14ac:dyDescent="0.25"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</row>
    <row r="137" spans="7:16" x14ac:dyDescent="0.25"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</row>
    <row r="138" spans="7:16" x14ac:dyDescent="0.25"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</row>
    <row r="139" spans="7:16" x14ac:dyDescent="0.25"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</row>
    <row r="140" spans="7:16" x14ac:dyDescent="0.25"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</row>
    <row r="141" spans="7:16" x14ac:dyDescent="0.25"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</row>
    <row r="142" spans="7:16" x14ac:dyDescent="0.25"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</row>
    <row r="143" spans="7:16" x14ac:dyDescent="0.25"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</row>
    <row r="144" spans="7:16" x14ac:dyDescent="0.25"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</row>
    <row r="145" spans="7:16" x14ac:dyDescent="0.25"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</row>
    <row r="146" spans="7:16" x14ac:dyDescent="0.25"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</row>
    <row r="147" spans="7:16" x14ac:dyDescent="0.25"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</row>
    <row r="148" spans="7:16" x14ac:dyDescent="0.25"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</row>
    <row r="149" spans="7:16" x14ac:dyDescent="0.25"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</row>
    <row r="150" spans="7:16" x14ac:dyDescent="0.25"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</row>
    <row r="151" spans="7:16" x14ac:dyDescent="0.25"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</row>
    <row r="152" spans="7:16" x14ac:dyDescent="0.25"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</row>
    <row r="153" spans="7:16" x14ac:dyDescent="0.25"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</row>
    <row r="154" spans="7:16" x14ac:dyDescent="0.25"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</row>
    <row r="155" spans="7:16" x14ac:dyDescent="0.25"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</row>
    <row r="156" spans="7:16" x14ac:dyDescent="0.25"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</row>
    <row r="157" spans="7:16" x14ac:dyDescent="0.25"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</row>
    <row r="158" spans="7:16" x14ac:dyDescent="0.25"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</row>
    <row r="159" spans="7:16" x14ac:dyDescent="0.25"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</row>
    <row r="160" spans="7:16" x14ac:dyDescent="0.25"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</row>
    <row r="161" spans="7:16" x14ac:dyDescent="0.25"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</row>
    <row r="162" spans="7:16" x14ac:dyDescent="0.25"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</row>
    <row r="163" spans="7:16" x14ac:dyDescent="0.25"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</row>
    <row r="164" spans="7:16" x14ac:dyDescent="0.25"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</row>
    <row r="165" spans="7:16" x14ac:dyDescent="0.25"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</row>
    <row r="166" spans="7:16" x14ac:dyDescent="0.25"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</row>
    <row r="167" spans="7:16" x14ac:dyDescent="0.25"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</row>
    <row r="168" spans="7:16" x14ac:dyDescent="0.25"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</row>
    <row r="169" spans="7:16" x14ac:dyDescent="0.25"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</row>
    <row r="170" spans="7:16" x14ac:dyDescent="0.25"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</row>
    <row r="171" spans="7:16" x14ac:dyDescent="0.25"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</row>
    <row r="172" spans="7:16" x14ac:dyDescent="0.25"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</row>
  </sheetData>
  <mergeCells count="1">
    <mergeCell ref="H42:I42"/>
  </mergeCells>
  <phoneticPr fontId="0" type="noConversion"/>
  <pageMargins left="0.75" right="0.75" top="1" bottom="1" header="0.5" footer="0.5"/>
  <pageSetup scale="76" orientation="portrait" r:id="rId1"/>
  <headerFooter alignWithMargins="0">
    <oddHeader>&amp;CPOTENTIAL EXPOSURE OF CALIFORNIA DIRECT ACCESS CUSTOMERS</oddHeader>
    <oddFooter>Page &amp;P of &amp;N</oddFooter>
  </headerFooter>
  <rowBreaks count="1" manualBreakCount="1">
    <brk id="41" max="16383" man="1"/>
  </rowBreaks>
  <colBreaks count="1" manualBreakCount="1">
    <brk id="6" max="7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view="pageBreakPreview" topLeftCell="A20" zoomScale="60" zoomScaleNormal="75" workbookViewId="0">
      <selection activeCell="A42" sqref="A42"/>
    </sheetView>
  </sheetViews>
  <sheetFormatPr defaultColWidth="9.109375" defaultRowHeight="13.8" x14ac:dyDescent="0.25"/>
  <cols>
    <col min="1" max="1" width="19" style="2" customWidth="1"/>
    <col min="2" max="2" width="14.44140625" style="2" customWidth="1"/>
    <col min="3" max="3" width="13.5546875" style="2" customWidth="1"/>
    <col min="4" max="4" width="15.88671875" style="2" customWidth="1"/>
    <col min="5" max="5" width="13.88671875" style="2" customWidth="1"/>
    <col min="6" max="6" width="15.109375" style="2" customWidth="1"/>
    <col min="7" max="7" width="16" style="2" customWidth="1"/>
    <col min="8" max="8" width="13.33203125" style="2" customWidth="1"/>
    <col min="9" max="9" width="13.109375" style="2" customWidth="1"/>
    <col min="10" max="10" width="15" style="2" customWidth="1"/>
    <col min="11" max="11" width="12.88671875" style="2" customWidth="1"/>
    <col min="12" max="12" width="11.44140625" style="2" customWidth="1"/>
    <col min="13" max="13" width="10.33203125" style="2" customWidth="1"/>
    <col min="14" max="14" width="3.5546875" style="2" customWidth="1"/>
    <col min="15" max="15" width="12.44140625" style="2" customWidth="1"/>
    <col min="16" max="16" width="16.33203125" style="2" customWidth="1"/>
    <col min="17" max="17" width="18.44140625" style="2" customWidth="1"/>
    <col min="18" max="18" width="16.6640625" style="2" customWidth="1"/>
    <col min="19" max="19" width="13.109375" style="2" customWidth="1"/>
    <col min="20" max="20" width="15.33203125" style="2" customWidth="1"/>
    <col min="21" max="21" width="16.33203125" style="2" customWidth="1"/>
    <col min="22" max="22" width="11.44140625" style="2" customWidth="1"/>
    <col min="23" max="23" width="9.109375" style="2"/>
    <col min="24" max="24" width="9.6640625" style="2" customWidth="1"/>
    <col min="25" max="16384" width="9.109375" style="2"/>
  </cols>
  <sheetData>
    <row r="1" spans="1:22" ht="17.399999999999999" x14ac:dyDescent="0.3">
      <c r="A1" s="85" t="s">
        <v>34</v>
      </c>
    </row>
    <row r="2" spans="1:22" s="64" customFormat="1" ht="14.4" thickBot="1" x14ac:dyDescent="0.3">
      <c r="B2" s="63"/>
    </row>
    <row r="3" spans="1:22" s="64" customFormat="1" ht="30.75" customHeight="1" thickBot="1" x14ac:dyDescent="0.35">
      <c r="A3" s="85" t="s">
        <v>1</v>
      </c>
      <c r="B3" s="146" t="s">
        <v>19</v>
      </c>
      <c r="C3" s="147"/>
      <c r="D3" s="147"/>
      <c r="E3" s="148"/>
      <c r="F3" s="149" t="s">
        <v>20</v>
      </c>
      <c r="G3" s="150"/>
      <c r="H3" s="150"/>
      <c r="I3" s="151"/>
      <c r="J3" s="149" t="s">
        <v>32</v>
      </c>
      <c r="K3" s="150"/>
      <c r="L3" s="150"/>
      <c r="M3" s="151"/>
    </row>
    <row r="4" spans="1:22" s="83" customFormat="1" x14ac:dyDescent="0.25">
      <c r="B4" s="84" t="s">
        <v>27</v>
      </c>
      <c r="C4" s="91">
        <v>1</v>
      </c>
      <c r="D4" s="91">
        <v>2</v>
      </c>
      <c r="E4" s="91">
        <v>3</v>
      </c>
      <c r="F4" s="92"/>
      <c r="G4" s="91">
        <v>1</v>
      </c>
      <c r="H4" s="91">
        <v>2</v>
      </c>
      <c r="I4" s="91">
        <v>3</v>
      </c>
      <c r="J4" s="96"/>
      <c r="K4" s="97">
        <v>1</v>
      </c>
      <c r="L4" s="97">
        <v>2</v>
      </c>
      <c r="M4" s="98">
        <v>3</v>
      </c>
    </row>
    <row r="5" spans="1:22" s="64" customFormat="1" x14ac:dyDescent="0.25">
      <c r="B5" s="77"/>
      <c r="C5" s="75"/>
      <c r="D5" s="75"/>
      <c r="E5" s="78"/>
      <c r="F5" s="77"/>
      <c r="G5" s="75"/>
      <c r="H5" s="75"/>
      <c r="I5" s="78"/>
      <c r="J5" s="77"/>
      <c r="K5" s="75"/>
      <c r="L5" s="75"/>
      <c r="M5" s="78"/>
    </row>
    <row r="6" spans="1:22" s="64" customFormat="1" x14ac:dyDescent="0.25">
      <c r="B6" s="77" t="s">
        <v>28</v>
      </c>
      <c r="C6" s="76">
        <v>0.8</v>
      </c>
      <c r="D6" s="76">
        <v>0.8</v>
      </c>
      <c r="E6" s="79">
        <v>0.8</v>
      </c>
      <c r="F6" s="77" t="s">
        <v>28</v>
      </c>
      <c r="G6" s="76">
        <v>1</v>
      </c>
      <c r="H6" s="76">
        <v>0.5</v>
      </c>
      <c r="I6" s="79">
        <v>0</v>
      </c>
      <c r="J6" s="77" t="s">
        <v>28</v>
      </c>
      <c r="K6" s="76">
        <v>1</v>
      </c>
      <c r="L6" s="76">
        <v>0.5</v>
      </c>
      <c r="M6" s="79">
        <v>0</v>
      </c>
    </row>
    <row r="7" spans="1:22" s="64" customFormat="1" x14ac:dyDescent="0.25">
      <c r="B7" s="77" t="s">
        <v>26</v>
      </c>
      <c r="C7" s="76">
        <v>0.95</v>
      </c>
      <c r="D7" s="76">
        <v>0.95</v>
      </c>
      <c r="E7" s="79">
        <v>0.95</v>
      </c>
      <c r="F7" s="77" t="s">
        <v>26</v>
      </c>
      <c r="G7" s="76">
        <v>0.3</v>
      </c>
      <c r="H7" s="76">
        <v>0.3</v>
      </c>
      <c r="I7" s="79">
        <v>0.3</v>
      </c>
      <c r="J7" s="77" t="s">
        <v>26</v>
      </c>
      <c r="K7" s="76">
        <v>0.3</v>
      </c>
      <c r="L7" s="76">
        <v>0.3</v>
      </c>
      <c r="M7" s="79">
        <v>0.3</v>
      </c>
    </row>
    <row r="8" spans="1:22" s="64" customFormat="1" ht="14.4" thickBot="1" x14ac:dyDescent="0.3">
      <c r="B8" s="86"/>
      <c r="C8" s="87"/>
      <c r="D8" s="87"/>
      <c r="E8" s="88"/>
      <c r="F8" s="89"/>
      <c r="G8" s="87"/>
      <c r="H8" s="87"/>
      <c r="I8" s="88"/>
      <c r="J8" s="89"/>
      <c r="K8" s="87"/>
      <c r="L8" s="87"/>
      <c r="M8" s="88"/>
      <c r="N8" s="73"/>
      <c r="O8" s="73"/>
      <c r="P8" s="145"/>
      <c r="Q8" s="145"/>
      <c r="R8" s="145"/>
      <c r="S8" s="145"/>
      <c r="T8" s="145"/>
      <c r="U8" s="145"/>
    </row>
    <row r="9" spans="1:22" s="73" customFormat="1" ht="35.25" customHeight="1" x14ac:dyDescent="0.25">
      <c r="A9" s="104" t="s">
        <v>18</v>
      </c>
      <c r="B9" s="100"/>
      <c r="C9" s="72"/>
      <c r="D9" s="72"/>
      <c r="E9" s="101"/>
      <c r="F9" s="100"/>
      <c r="G9" s="72"/>
      <c r="H9" s="72"/>
      <c r="I9" s="101"/>
      <c r="J9" s="100"/>
      <c r="K9" s="72"/>
      <c r="L9" s="72"/>
      <c r="M9" s="101"/>
      <c r="O9" s="62"/>
      <c r="P9" s="62"/>
      <c r="Q9" s="62"/>
      <c r="R9" s="62"/>
      <c r="S9" s="62"/>
      <c r="T9" s="62"/>
      <c r="U9" s="62"/>
      <c r="V9" s="62"/>
    </row>
    <row r="10" spans="1:22" s="64" customFormat="1" x14ac:dyDescent="0.25">
      <c r="A10" s="105">
        <v>5</v>
      </c>
      <c r="B10" s="93">
        <f>-PMT(Assumptions!$B$21,$A10,Assumptions!$B$33)/Assumptions!$B$5*1000000</f>
        <v>2.0104215858389875E-2</v>
      </c>
      <c r="C10" s="68">
        <f>$B10*C$6*C$7</f>
        <v>1.5279204052376306E-2</v>
      </c>
      <c r="D10" s="68">
        <f>$B10*D$6*D$7</f>
        <v>1.5279204052376306E-2</v>
      </c>
      <c r="E10" s="80">
        <f>$B10*E$6*E$7</f>
        <v>1.5279204052376306E-2</v>
      </c>
      <c r="F10" s="93">
        <f>-PMT(Assumptions!$B$19,$A10,Assumptions!$C$26)/Assumptions!$B$5*1000000</f>
        <v>1.7905769764001177E-2</v>
      </c>
      <c r="G10" s="68">
        <f>$F10*G$6*G$7</f>
        <v>5.3717309292003529E-3</v>
      </c>
      <c r="H10" s="68">
        <f>$F10*H$6*H$7</f>
        <v>2.6858654646001764E-3</v>
      </c>
      <c r="I10" s="68">
        <f>$F10*I$6*I$7</f>
        <v>0</v>
      </c>
      <c r="J10" s="93">
        <f>-PMT(Assumptions!$B$20,$A10,Assumptions!$D$26)/Assumptions!$B$5*1000000</f>
        <v>1.4646603244679543E-2</v>
      </c>
      <c r="K10" s="68">
        <f>$J10*K$6*K$7</f>
        <v>4.3939809734038632E-3</v>
      </c>
      <c r="L10" s="68">
        <f>$J10*L$6*L$7</f>
        <v>2.1969904867019316E-3</v>
      </c>
      <c r="M10" s="80">
        <f>$J10*M$6*M$7</f>
        <v>0</v>
      </c>
      <c r="O10" s="67"/>
      <c r="P10" s="68"/>
      <c r="U10" s="67"/>
      <c r="V10" s="68"/>
    </row>
    <row r="11" spans="1:22" s="64" customFormat="1" x14ac:dyDescent="0.25">
      <c r="A11" s="105">
        <v>7</v>
      </c>
      <c r="B11" s="93">
        <f>-PMT(Assumptions!$B$21,$A11,Assumptions!$B$33)/Assumptions!$B$5*1000000</f>
        <v>1.522190896691723E-2</v>
      </c>
      <c r="C11" s="68">
        <f t="shared" ref="C11:E14" si="0">$B11*C$6*C$7</f>
        <v>1.1568650814857095E-2</v>
      </c>
      <c r="D11" s="68">
        <f t="shared" si="0"/>
        <v>1.1568650814857095E-2</v>
      </c>
      <c r="E11" s="80">
        <f t="shared" si="0"/>
        <v>1.1568650814857095E-2</v>
      </c>
      <c r="F11" s="93">
        <f>-PMT(Assumptions!$B$19,$A11,Assumptions!$C$26)/Assumptions!$B$5*1000000</f>
        <v>1.3557355295529244E-2</v>
      </c>
      <c r="G11" s="68">
        <f t="shared" ref="G11:I14" si="1">$F11*G$6*G$7</f>
        <v>4.0672065886587731E-3</v>
      </c>
      <c r="H11" s="68">
        <f t="shared" si="1"/>
        <v>2.0336032943293865E-3</v>
      </c>
      <c r="I11" s="68">
        <f t="shared" si="1"/>
        <v>0</v>
      </c>
      <c r="J11" s="93">
        <f>-PMT(Assumptions!$B$20,$A11,Assumptions!$D$26)/Assumptions!$B$5*1000000</f>
        <v>1.1319434272751071E-2</v>
      </c>
      <c r="K11" s="68">
        <f t="shared" ref="K11:M14" si="2">$J11*K$6*K$7</f>
        <v>3.3958302818253212E-3</v>
      </c>
      <c r="L11" s="68">
        <f t="shared" si="2"/>
        <v>1.6979151409126606E-3</v>
      </c>
      <c r="M11" s="80">
        <f t="shared" si="2"/>
        <v>0</v>
      </c>
      <c r="O11" s="67"/>
      <c r="P11" s="68"/>
      <c r="U11" s="67"/>
      <c r="V11" s="68"/>
    </row>
    <row r="12" spans="1:22" s="64" customFormat="1" x14ac:dyDescent="0.25">
      <c r="A12" s="105">
        <v>10</v>
      </c>
      <c r="B12" s="93">
        <f>-PMT(Assumptions!$B$21,$A12,Assumptions!$B$33)/Assumptions!$B$5*1000000</f>
        <v>1.1600999922772028E-2</v>
      </c>
      <c r="C12" s="68">
        <f t="shared" si="0"/>
        <v>8.8167599413067413E-3</v>
      </c>
      <c r="D12" s="68">
        <f t="shared" si="0"/>
        <v>8.8167599413067413E-3</v>
      </c>
      <c r="E12" s="80">
        <f t="shared" si="0"/>
        <v>8.8167599413067413E-3</v>
      </c>
      <c r="F12" s="93">
        <f>-PMT(Assumptions!$B$19,$A12,Assumptions!$C$26)/Assumptions!$B$5*1000000</f>
        <v>1.033240167696786E-2</v>
      </c>
      <c r="G12" s="68">
        <f t="shared" si="1"/>
        <v>3.0997205030903578E-3</v>
      </c>
      <c r="H12" s="68">
        <f t="shared" si="1"/>
        <v>1.5498602515451789E-3</v>
      </c>
      <c r="I12" s="68">
        <f t="shared" si="1"/>
        <v>0</v>
      </c>
      <c r="J12" s="93">
        <f>-PMT(Assumptions!$B$20,$A12,Assumptions!$D$26)/Assumptions!$B$5*1000000</f>
        <v>8.8770983850058726E-3</v>
      </c>
      <c r="K12" s="68">
        <f t="shared" si="2"/>
        <v>2.6631295155017617E-3</v>
      </c>
      <c r="L12" s="68">
        <f t="shared" si="2"/>
        <v>1.3315647577508808E-3</v>
      </c>
      <c r="M12" s="80">
        <f t="shared" si="2"/>
        <v>0</v>
      </c>
      <c r="O12" s="67"/>
      <c r="P12" s="68"/>
      <c r="U12" s="67"/>
      <c r="V12" s="68"/>
    </row>
    <row r="13" spans="1:22" s="64" customFormat="1" x14ac:dyDescent="0.25">
      <c r="A13" s="105">
        <v>12</v>
      </c>
      <c r="B13" s="93">
        <f>-PMT(Assumptions!$B$21,$A13,Assumptions!$B$33)/Assumptions!$B$5*1000000</f>
        <v>1.0215204594209782E-2</v>
      </c>
      <c r="C13" s="68">
        <f t="shared" si="0"/>
        <v>7.763555491599434E-3</v>
      </c>
      <c r="D13" s="68">
        <f t="shared" si="0"/>
        <v>7.763555491599434E-3</v>
      </c>
      <c r="E13" s="80">
        <f t="shared" si="0"/>
        <v>7.763555491599434E-3</v>
      </c>
      <c r="F13" s="93">
        <f>-PMT(Assumptions!$B$19,$A13,Assumptions!$C$26)/Assumptions!$B$5*1000000</f>
        <v>9.0981465203356909E-3</v>
      </c>
      <c r="G13" s="68">
        <f t="shared" si="1"/>
        <v>2.7294439561007071E-3</v>
      </c>
      <c r="H13" s="68">
        <f t="shared" si="1"/>
        <v>1.3647219780503535E-3</v>
      </c>
      <c r="I13" s="68">
        <f t="shared" si="1"/>
        <v>0</v>
      </c>
      <c r="J13" s="93">
        <f>-PMT(Assumptions!$B$20,$A13,Assumptions!$D$26)/Assumptions!$B$5*1000000</f>
        <v>7.9559229845673849E-3</v>
      </c>
      <c r="K13" s="68">
        <f t="shared" si="2"/>
        <v>2.3867768953702152E-3</v>
      </c>
      <c r="L13" s="68">
        <f t="shared" si="2"/>
        <v>1.1933884476851076E-3</v>
      </c>
      <c r="M13" s="80">
        <f t="shared" si="2"/>
        <v>0</v>
      </c>
      <c r="O13" s="67"/>
      <c r="P13" s="68"/>
      <c r="U13" s="67"/>
      <c r="V13" s="68"/>
    </row>
    <row r="14" spans="1:22" s="64" customFormat="1" ht="14.4" thickBot="1" x14ac:dyDescent="0.3">
      <c r="A14" s="105">
        <v>15</v>
      </c>
      <c r="B14" s="94">
        <f>-PMT(Assumptions!$B$21,$A14,Assumptions!$B$33)/Assumptions!$B$5*1000000</f>
        <v>8.8556182025976357E-3</v>
      </c>
      <c r="C14" s="81">
        <f t="shared" si="0"/>
        <v>6.7302698339742036E-3</v>
      </c>
      <c r="D14" s="81">
        <f t="shared" si="0"/>
        <v>6.7302698339742036E-3</v>
      </c>
      <c r="E14" s="82">
        <f t="shared" si="0"/>
        <v>6.7302698339742036E-3</v>
      </c>
      <c r="F14" s="94">
        <f>-PMT(Assumptions!$B$19,$A14,Assumptions!$C$26)/Assumptions!$B$5*1000000</f>
        <v>7.8872342880977539E-3</v>
      </c>
      <c r="G14" s="81">
        <f t="shared" si="1"/>
        <v>2.3661702864293259E-3</v>
      </c>
      <c r="H14" s="81">
        <f t="shared" si="1"/>
        <v>1.183085143214663E-3</v>
      </c>
      <c r="I14" s="81">
        <f t="shared" si="1"/>
        <v>0</v>
      </c>
      <c r="J14" s="94">
        <f>-PMT(Assumptions!$B$20,$A14,Assumptions!$D$26)/Assumptions!$B$5*1000000</f>
        <v>7.0676567281126521E-3</v>
      </c>
      <c r="K14" s="81">
        <f t="shared" si="2"/>
        <v>2.1202970184337954E-3</v>
      </c>
      <c r="L14" s="81">
        <f t="shared" si="2"/>
        <v>1.0601485092168977E-3</v>
      </c>
      <c r="M14" s="82">
        <f t="shared" si="2"/>
        <v>0</v>
      </c>
      <c r="O14" s="67"/>
      <c r="P14" s="68"/>
      <c r="U14" s="67"/>
      <c r="V14" s="68"/>
    </row>
    <row r="15" spans="1:22" x14ac:dyDescent="0.25">
      <c r="A15" s="21"/>
      <c r="B15" s="21"/>
      <c r="C15" s="58"/>
      <c r="D15" s="58"/>
      <c r="E15" s="58"/>
      <c r="F15" s="58"/>
      <c r="G15" s="57"/>
      <c r="H15" s="57"/>
      <c r="I15" s="57"/>
      <c r="J15" s="57"/>
      <c r="K15" s="58"/>
      <c r="L15" s="58"/>
      <c r="M15" s="58"/>
      <c r="N15" s="58"/>
      <c r="O15" s="58"/>
      <c r="P15" s="59"/>
      <c r="U15" s="58"/>
      <c r="V15" s="59"/>
    </row>
    <row r="16" spans="1:22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57"/>
    </row>
    <row r="17" spans="1:22" ht="14.4" thickBot="1" x14ac:dyDescent="0.3">
      <c r="A17" s="21"/>
      <c r="B17" s="21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9"/>
      <c r="U17" s="58"/>
      <c r="V17" s="59"/>
    </row>
    <row r="18" spans="1:22" ht="15.75" customHeight="1" thickBot="1" x14ac:dyDescent="0.35">
      <c r="A18" s="85" t="s">
        <v>2</v>
      </c>
      <c r="B18" s="146" t="s">
        <v>19</v>
      </c>
      <c r="C18" s="147"/>
      <c r="D18" s="147"/>
      <c r="E18" s="148"/>
      <c r="F18" s="149" t="s">
        <v>20</v>
      </c>
      <c r="G18" s="150"/>
      <c r="H18" s="150"/>
      <c r="I18" s="151"/>
      <c r="J18" s="149" t="s">
        <v>32</v>
      </c>
      <c r="K18" s="150"/>
      <c r="L18" s="150"/>
      <c r="M18" s="151"/>
      <c r="N18" s="58"/>
      <c r="O18" s="58"/>
      <c r="P18" s="59"/>
      <c r="U18" s="58"/>
      <c r="V18" s="59"/>
    </row>
    <row r="19" spans="1:22" x14ac:dyDescent="0.25">
      <c r="A19" s="83"/>
      <c r="B19" s="84" t="s">
        <v>27</v>
      </c>
      <c r="C19" s="91">
        <v>1</v>
      </c>
      <c r="D19" s="91">
        <v>2</v>
      </c>
      <c r="E19" s="91">
        <v>3</v>
      </c>
      <c r="F19" s="92"/>
      <c r="G19" s="91">
        <v>1</v>
      </c>
      <c r="H19" s="91">
        <v>2</v>
      </c>
      <c r="I19" s="91">
        <v>3</v>
      </c>
      <c r="J19" s="96"/>
      <c r="K19" s="97">
        <v>1</v>
      </c>
      <c r="L19" s="97">
        <v>2</v>
      </c>
      <c r="M19" s="98">
        <v>3</v>
      </c>
      <c r="N19" s="58"/>
      <c r="O19" s="58"/>
      <c r="P19" s="59"/>
      <c r="U19" s="58"/>
      <c r="V19" s="59"/>
    </row>
    <row r="20" spans="1:22" x14ac:dyDescent="0.25">
      <c r="A20" s="64"/>
      <c r="B20" s="77"/>
      <c r="C20" s="75"/>
      <c r="D20" s="75"/>
      <c r="E20" s="78"/>
      <c r="F20" s="77"/>
      <c r="G20" s="75"/>
      <c r="H20" s="75"/>
      <c r="I20" s="78"/>
      <c r="J20" s="77"/>
      <c r="K20" s="75"/>
      <c r="L20" s="75"/>
      <c r="M20" s="78"/>
      <c r="N20" s="58"/>
      <c r="O20" s="58"/>
      <c r="P20" s="59"/>
      <c r="U20" s="58"/>
      <c r="V20" s="59"/>
    </row>
    <row r="21" spans="1:22" x14ac:dyDescent="0.25">
      <c r="A21" s="64"/>
      <c r="B21" s="77" t="s">
        <v>28</v>
      </c>
      <c r="C21" s="76">
        <v>0.8</v>
      </c>
      <c r="D21" s="76">
        <v>0.8</v>
      </c>
      <c r="E21" s="79">
        <v>0.8</v>
      </c>
      <c r="F21" s="77" t="s">
        <v>28</v>
      </c>
      <c r="G21" s="76">
        <v>1</v>
      </c>
      <c r="H21" s="76">
        <v>0.5</v>
      </c>
      <c r="I21" s="79">
        <v>0</v>
      </c>
      <c r="J21" s="77" t="s">
        <v>28</v>
      </c>
      <c r="K21" s="76">
        <v>1</v>
      </c>
      <c r="L21" s="76">
        <v>0.5</v>
      </c>
      <c r="M21" s="79">
        <v>0</v>
      </c>
      <c r="N21" s="58"/>
      <c r="O21" s="58"/>
      <c r="P21" s="59"/>
      <c r="U21" s="58"/>
      <c r="V21" s="59"/>
    </row>
    <row r="22" spans="1:22" x14ac:dyDescent="0.25">
      <c r="A22" s="64"/>
      <c r="B22" s="77" t="s">
        <v>26</v>
      </c>
      <c r="C22" s="76">
        <v>0.95</v>
      </c>
      <c r="D22" s="76">
        <v>0.95</v>
      </c>
      <c r="E22" s="79">
        <v>0.95</v>
      </c>
      <c r="F22" s="77" t="s">
        <v>26</v>
      </c>
      <c r="G22" s="76">
        <v>0.3</v>
      </c>
      <c r="H22" s="76">
        <v>0.3</v>
      </c>
      <c r="I22" s="79">
        <v>0.3</v>
      </c>
      <c r="J22" s="77" t="s">
        <v>26</v>
      </c>
      <c r="K22" s="76">
        <v>0.3</v>
      </c>
      <c r="L22" s="76">
        <v>0.3</v>
      </c>
      <c r="M22" s="79">
        <v>0.3</v>
      </c>
      <c r="N22" s="58"/>
      <c r="O22" s="58"/>
      <c r="P22" s="59"/>
      <c r="U22" s="58"/>
      <c r="V22" s="59"/>
    </row>
    <row r="23" spans="1:22" ht="14.4" thickBot="1" x14ac:dyDescent="0.3">
      <c r="A23" s="64"/>
      <c r="B23" s="86"/>
      <c r="C23" s="87"/>
      <c r="D23" s="87"/>
      <c r="E23" s="88"/>
      <c r="F23" s="89"/>
      <c r="G23" s="87"/>
      <c r="H23" s="87"/>
      <c r="I23" s="88"/>
      <c r="J23" s="89"/>
      <c r="K23" s="87"/>
      <c r="L23" s="87"/>
      <c r="M23" s="88"/>
      <c r="N23" s="58"/>
      <c r="O23" s="58"/>
      <c r="P23" s="59"/>
      <c r="U23" s="58"/>
      <c r="V23" s="59"/>
    </row>
    <row r="24" spans="1:22" ht="31.5" customHeight="1" x14ac:dyDescent="0.25">
      <c r="A24" s="104" t="s">
        <v>18</v>
      </c>
      <c r="B24" s="100"/>
      <c r="C24" s="72"/>
      <c r="D24" s="72"/>
      <c r="E24" s="101"/>
      <c r="F24" s="100"/>
      <c r="G24" s="72"/>
      <c r="H24" s="72"/>
      <c r="I24" s="101"/>
      <c r="J24" s="100"/>
      <c r="K24" s="72"/>
      <c r="L24" s="72"/>
      <c r="M24" s="101"/>
      <c r="N24" s="58"/>
      <c r="O24" s="58"/>
      <c r="P24" s="59"/>
      <c r="U24" s="58"/>
      <c r="V24" s="59"/>
    </row>
    <row r="25" spans="1:22" x14ac:dyDescent="0.25">
      <c r="A25" s="105">
        <v>5</v>
      </c>
      <c r="B25" s="93">
        <f>-PMT(Assumptions!$B$21,$A25,Assumptions!$B$34)/Assumptions!$B$6*1000000</f>
        <v>1.0246051038130987E-2</v>
      </c>
      <c r="C25" s="68">
        <f>$B25*C$21*C$22</f>
        <v>7.7869987889795508E-3</v>
      </c>
      <c r="D25" s="68">
        <f>$B25*D$21*D$22</f>
        <v>7.7869987889795508E-3</v>
      </c>
      <c r="E25" s="80">
        <f>$B25*E$21*E$22</f>
        <v>7.7869987889795508E-3</v>
      </c>
      <c r="F25" s="93">
        <f>-PMT(Assumptions!$B$19,$A25,Assumptions!$C$27)/Assumptions!$B$6*1000000</f>
        <v>1.3251280091815049E-2</v>
      </c>
      <c r="G25" s="68">
        <f>$F25*G$21*G$22</f>
        <v>3.9753840275445146E-3</v>
      </c>
      <c r="H25" s="68">
        <f>$F25*H$21*H$22</f>
        <v>1.9876920137722573E-3</v>
      </c>
      <c r="I25" s="68">
        <f>$F25*I$21*I$22</f>
        <v>0</v>
      </c>
      <c r="J25" s="93">
        <f>-PMT(Assumptions!$B$20,$A25,Assumptions!$D$27)/Assumptions!$B$6*1000000</f>
        <v>1.0839312944765896E-2</v>
      </c>
      <c r="K25" s="68">
        <f>$J25*K$21*K$22</f>
        <v>3.2517938834297688E-3</v>
      </c>
      <c r="L25" s="68">
        <f>$J25*L$21*L$22</f>
        <v>1.6258969417148844E-3</v>
      </c>
      <c r="M25" s="80">
        <f>$J25*M$21*M$22</f>
        <v>0</v>
      </c>
      <c r="N25" s="58"/>
      <c r="O25" s="58"/>
      <c r="P25" s="59"/>
      <c r="U25" s="58"/>
      <c r="V25" s="59"/>
    </row>
    <row r="26" spans="1:22" x14ac:dyDescent="0.25">
      <c r="A26" s="105">
        <v>7</v>
      </c>
      <c r="B26" s="93">
        <f>-PMT(Assumptions!$B$21,$A26,Assumptions!$B$34)/Assumptions!$B$6*1000000</f>
        <v>7.7577985270055041E-3</v>
      </c>
      <c r="C26" s="68">
        <f t="shared" ref="C26:E29" si="3">$B26*C$21*C$22</f>
        <v>5.8959268805241832E-3</v>
      </c>
      <c r="D26" s="68">
        <f t="shared" si="3"/>
        <v>5.8959268805241832E-3</v>
      </c>
      <c r="E26" s="80">
        <f t="shared" si="3"/>
        <v>5.8959268805241832E-3</v>
      </c>
      <c r="F26" s="93">
        <f>-PMT(Assumptions!$B$19,$A26,Assumptions!$C$27)/Assumptions!$B$6*1000000</f>
        <v>1.0033207993464412E-2</v>
      </c>
      <c r="G26" s="68">
        <f t="shared" ref="G26:I29" si="4">$F26*G$21*G$22</f>
        <v>3.0099623980393234E-3</v>
      </c>
      <c r="H26" s="68">
        <f t="shared" si="4"/>
        <v>1.5049811990196617E-3</v>
      </c>
      <c r="I26" s="68">
        <f t="shared" si="4"/>
        <v>0</v>
      </c>
      <c r="J26" s="93">
        <f>-PMT(Assumptions!$B$20,$A26,Assumptions!$D$27)/Assumptions!$B$6*1000000</f>
        <v>8.3770201452426883E-3</v>
      </c>
      <c r="K26" s="68">
        <f t="shared" ref="K26:M29" si="5">$J26*K$21*K$22</f>
        <v>2.5131060435728066E-3</v>
      </c>
      <c r="L26" s="68">
        <f t="shared" si="5"/>
        <v>1.2565530217864033E-3</v>
      </c>
      <c r="M26" s="80">
        <f t="shared" si="5"/>
        <v>0</v>
      </c>
      <c r="N26" s="61"/>
      <c r="O26" s="58"/>
      <c r="P26" s="59"/>
      <c r="U26" s="58"/>
      <c r="V26" s="59"/>
    </row>
    <row r="27" spans="1:22" x14ac:dyDescent="0.25">
      <c r="A27" s="105">
        <v>10</v>
      </c>
      <c r="B27" s="93">
        <f>-PMT(Assumptions!$B$21,$A27,Assumptions!$B$34)/Assumptions!$B$6*1000000</f>
        <v>5.9124135026868722E-3</v>
      </c>
      <c r="C27" s="68">
        <f t="shared" si="3"/>
        <v>4.4934342620420228E-3</v>
      </c>
      <c r="D27" s="68">
        <f t="shared" si="3"/>
        <v>4.4934342620420228E-3</v>
      </c>
      <c r="E27" s="80">
        <f t="shared" si="3"/>
        <v>4.4934342620420228E-3</v>
      </c>
      <c r="F27" s="93">
        <f>-PMT(Assumptions!$B$19,$A27,Assumptions!$C$27)/Assumptions!$B$6*1000000</f>
        <v>7.6465603236956503E-3</v>
      </c>
      <c r="G27" s="68">
        <f t="shared" si="4"/>
        <v>2.2939680971086952E-3</v>
      </c>
      <c r="H27" s="68">
        <f t="shared" si="4"/>
        <v>1.1469840485543476E-3</v>
      </c>
      <c r="I27" s="68">
        <f t="shared" si="4"/>
        <v>0</v>
      </c>
      <c r="J27" s="93">
        <f>-PMT(Assumptions!$B$20,$A27,Assumptions!$D$27)/Assumptions!$B$6*1000000</f>
        <v>6.5695537613137444E-3</v>
      </c>
      <c r="K27" s="68">
        <f t="shared" si="5"/>
        <v>1.9708661283941234E-3</v>
      </c>
      <c r="L27" s="68">
        <f t="shared" si="5"/>
        <v>9.854330641970617E-4</v>
      </c>
      <c r="M27" s="80">
        <f t="shared" si="5"/>
        <v>0</v>
      </c>
      <c r="N27" s="61"/>
      <c r="O27" s="58"/>
      <c r="P27" s="59"/>
      <c r="U27" s="58"/>
      <c r="V27" s="59"/>
    </row>
    <row r="28" spans="1:22" x14ac:dyDescent="0.25">
      <c r="A28" s="105">
        <v>12</v>
      </c>
      <c r="B28" s="93">
        <f>-PMT(Assumptions!$B$21,$A28,Assumptions!$B$34)/Assumptions!$B$6*1000000</f>
        <v>5.2061472267541662E-3</v>
      </c>
      <c r="C28" s="68">
        <f t="shared" si="3"/>
        <v>3.9566718923331667E-3</v>
      </c>
      <c r="D28" s="68">
        <f t="shared" si="3"/>
        <v>3.9566718923331667E-3</v>
      </c>
      <c r="E28" s="80">
        <f t="shared" si="3"/>
        <v>3.9566718923331667E-3</v>
      </c>
      <c r="F28" s="93">
        <f>-PMT(Assumptions!$B$19,$A28,Assumptions!$C$27)/Assumptions!$B$6*1000000</f>
        <v>6.73314185574562E-3</v>
      </c>
      <c r="G28" s="68">
        <f t="shared" si="4"/>
        <v>2.0199425567236861E-3</v>
      </c>
      <c r="H28" s="68">
        <f t="shared" si="4"/>
        <v>1.009971278361843E-3</v>
      </c>
      <c r="I28" s="68">
        <f t="shared" si="4"/>
        <v>0</v>
      </c>
      <c r="J28" s="93">
        <f>-PMT(Assumptions!$B$20,$A28,Assumptions!$D$27)/Assumptions!$B$6*1000000</f>
        <v>5.8878319808046775E-3</v>
      </c>
      <c r="K28" s="68">
        <f t="shared" si="5"/>
        <v>1.7663495942414032E-3</v>
      </c>
      <c r="L28" s="68">
        <f t="shared" si="5"/>
        <v>8.8317479712070161E-4</v>
      </c>
      <c r="M28" s="80">
        <f t="shared" si="5"/>
        <v>0</v>
      </c>
      <c r="N28" s="61"/>
      <c r="O28" s="58"/>
      <c r="P28" s="59"/>
      <c r="U28" s="58"/>
      <c r="V28" s="59"/>
    </row>
    <row r="29" spans="1:22" ht="14.4" thickBot="1" x14ac:dyDescent="0.3">
      <c r="A29" s="105">
        <v>15</v>
      </c>
      <c r="B29" s="94">
        <f>-PMT(Assumptions!$B$21,$A29,Assumptions!$B$34)/Assumptions!$B$6*1000000</f>
        <v>4.5132382539631198E-3</v>
      </c>
      <c r="C29" s="81">
        <f t="shared" si="3"/>
        <v>3.4300610730119709E-3</v>
      </c>
      <c r="D29" s="81">
        <f t="shared" si="3"/>
        <v>3.4300610730119709E-3</v>
      </c>
      <c r="E29" s="82">
        <f t="shared" si="3"/>
        <v>3.4300610730119709E-3</v>
      </c>
      <c r="F29" s="94">
        <f>-PMT(Assumptions!$B$19,$A29,Assumptions!$C$27)/Assumptions!$B$6*1000000</f>
        <v>5.8369984691457322E-3</v>
      </c>
      <c r="G29" s="81">
        <f t="shared" si="4"/>
        <v>1.7510995407437197E-3</v>
      </c>
      <c r="H29" s="81">
        <f t="shared" si="4"/>
        <v>8.7554977037185983E-4</v>
      </c>
      <c r="I29" s="81">
        <f t="shared" si="4"/>
        <v>0</v>
      </c>
      <c r="J29" s="94">
        <f>-PMT(Assumptions!$B$20,$A29,Assumptions!$D$27)/Assumptions!$B$6*1000000</f>
        <v>5.2304648239872064E-3</v>
      </c>
      <c r="K29" s="81">
        <f t="shared" si="5"/>
        <v>1.5691394471961618E-3</v>
      </c>
      <c r="L29" s="81">
        <f t="shared" si="5"/>
        <v>7.8456972359808091E-4</v>
      </c>
      <c r="M29" s="82">
        <f t="shared" si="5"/>
        <v>0</v>
      </c>
      <c r="N29" s="58"/>
      <c r="O29" s="58"/>
    </row>
    <row r="30" spans="1:22" x14ac:dyDescent="0.25">
      <c r="A30" s="60"/>
      <c r="B30" s="60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</row>
    <row r="31" spans="1:22" s="64" customFormat="1" x14ac:dyDescent="0.25">
      <c r="B31" s="75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</row>
    <row r="32" spans="1:22" s="64" customFormat="1" ht="14.4" thickBot="1" x14ac:dyDescent="0.3">
      <c r="B32" s="74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145"/>
      <c r="Q32" s="145"/>
      <c r="R32" s="145"/>
      <c r="S32" s="145"/>
      <c r="T32" s="145"/>
      <c r="U32" s="145"/>
    </row>
    <row r="33" spans="1:23" s="73" customFormat="1" ht="16.2" thickBot="1" x14ac:dyDescent="0.35">
      <c r="A33" s="102" t="s">
        <v>3</v>
      </c>
      <c r="B33" s="146" t="s">
        <v>19</v>
      </c>
      <c r="C33" s="147"/>
      <c r="D33" s="147"/>
      <c r="E33" s="148"/>
      <c r="F33" s="149" t="s">
        <v>20</v>
      </c>
      <c r="G33" s="150"/>
      <c r="H33" s="150"/>
      <c r="I33" s="151"/>
      <c r="J33" s="149" t="s">
        <v>32</v>
      </c>
      <c r="K33" s="150"/>
      <c r="L33" s="150"/>
      <c r="M33" s="151"/>
      <c r="N33" s="65"/>
      <c r="O33" s="62"/>
      <c r="P33" s="62"/>
      <c r="Q33" s="62"/>
      <c r="R33" s="62"/>
      <c r="S33" s="62"/>
      <c r="T33" s="62"/>
      <c r="U33" s="62"/>
      <c r="V33" s="62"/>
      <c r="W33" s="62"/>
    </row>
    <row r="34" spans="1:23" s="64" customFormat="1" x14ac:dyDescent="0.25">
      <c r="B34" s="84" t="s">
        <v>27</v>
      </c>
      <c r="C34" s="91">
        <v>1</v>
      </c>
      <c r="D34" s="91">
        <v>2</v>
      </c>
      <c r="E34" s="91">
        <v>3</v>
      </c>
      <c r="F34" s="92"/>
      <c r="G34" s="91">
        <v>1</v>
      </c>
      <c r="H34" s="91">
        <v>2</v>
      </c>
      <c r="I34" s="91">
        <v>3</v>
      </c>
      <c r="J34" s="96"/>
      <c r="K34" s="97">
        <v>1</v>
      </c>
      <c r="L34" s="97">
        <v>2</v>
      </c>
      <c r="M34" s="98">
        <v>3</v>
      </c>
      <c r="N34" s="67"/>
      <c r="O34" s="67"/>
      <c r="P34" s="68"/>
      <c r="U34" s="67"/>
      <c r="V34" s="68"/>
    </row>
    <row r="35" spans="1:23" s="64" customFormat="1" x14ac:dyDescent="0.25">
      <c r="B35" s="77"/>
      <c r="C35" s="75"/>
      <c r="D35" s="75"/>
      <c r="E35" s="78"/>
      <c r="F35" s="77"/>
      <c r="G35" s="75"/>
      <c r="H35" s="75"/>
      <c r="I35" s="78"/>
      <c r="J35" s="77"/>
      <c r="K35" s="75"/>
      <c r="L35" s="75"/>
      <c r="M35" s="78"/>
      <c r="N35" s="67"/>
      <c r="O35" s="67"/>
      <c r="P35" s="68"/>
      <c r="U35" s="67"/>
      <c r="V35" s="68"/>
    </row>
    <row r="36" spans="1:23" s="64" customFormat="1" x14ac:dyDescent="0.25">
      <c r="B36" s="77" t="s">
        <v>28</v>
      </c>
      <c r="C36" s="76">
        <v>0.8</v>
      </c>
      <c r="D36" s="76">
        <v>0.8</v>
      </c>
      <c r="E36" s="79">
        <v>0.8</v>
      </c>
      <c r="F36" s="77" t="s">
        <v>28</v>
      </c>
      <c r="G36" s="76">
        <v>1</v>
      </c>
      <c r="H36" s="76">
        <v>0.5</v>
      </c>
      <c r="I36" s="79">
        <v>0</v>
      </c>
      <c r="J36" s="77" t="s">
        <v>28</v>
      </c>
      <c r="K36" s="76">
        <v>1</v>
      </c>
      <c r="L36" s="76">
        <v>0.5</v>
      </c>
      <c r="M36" s="79">
        <v>0</v>
      </c>
      <c r="N36" s="67"/>
      <c r="O36" s="67"/>
      <c r="P36" s="68"/>
      <c r="U36" s="67"/>
      <c r="V36" s="68"/>
    </row>
    <row r="37" spans="1:23" s="64" customFormat="1" x14ac:dyDescent="0.25">
      <c r="B37" s="77" t="s">
        <v>26</v>
      </c>
      <c r="C37" s="76">
        <v>0.95</v>
      </c>
      <c r="D37" s="76">
        <v>0.95</v>
      </c>
      <c r="E37" s="79">
        <v>0.95</v>
      </c>
      <c r="F37" s="77" t="s">
        <v>26</v>
      </c>
      <c r="G37" s="76">
        <v>0.3</v>
      </c>
      <c r="H37" s="76">
        <v>0.3</v>
      </c>
      <c r="I37" s="79">
        <v>0.3</v>
      </c>
      <c r="J37" s="77" t="s">
        <v>26</v>
      </c>
      <c r="K37" s="76">
        <v>0.3</v>
      </c>
      <c r="L37" s="76">
        <v>0.3</v>
      </c>
      <c r="M37" s="79">
        <v>0.3</v>
      </c>
      <c r="N37" s="67"/>
      <c r="O37" s="67"/>
      <c r="P37" s="68"/>
      <c r="U37" s="67"/>
      <c r="V37" s="68"/>
    </row>
    <row r="38" spans="1:23" s="64" customFormat="1" ht="14.4" thickBot="1" x14ac:dyDescent="0.3">
      <c r="B38" s="86"/>
      <c r="C38" s="87"/>
      <c r="D38" s="87"/>
      <c r="E38" s="88"/>
      <c r="F38" s="89"/>
      <c r="G38" s="87"/>
      <c r="H38" s="87"/>
      <c r="I38" s="88"/>
      <c r="J38" s="89"/>
      <c r="K38" s="87"/>
      <c r="L38" s="87"/>
      <c r="M38" s="88"/>
      <c r="N38" s="67"/>
      <c r="O38" s="67"/>
      <c r="P38" s="68"/>
      <c r="U38" s="67"/>
      <c r="V38" s="68"/>
    </row>
    <row r="39" spans="1:23" s="64" customFormat="1" ht="27.6" x14ac:dyDescent="0.25">
      <c r="A39" s="104" t="s">
        <v>18</v>
      </c>
      <c r="B39" s="100"/>
      <c r="C39" s="72"/>
      <c r="D39" s="72"/>
      <c r="E39" s="101"/>
      <c r="F39" s="100"/>
      <c r="G39" s="72"/>
      <c r="H39" s="72"/>
      <c r="I39" s="101"/>
      <c r="J39" s="100"/>
      <c r="K39" s="72"/>
      <c r="L39" s="72"/>
      <c r="M39" s="101"/>
      <c r="N39" s="67"/>
      <c r="O39" s="67"/>
      <c r="P39" s="68"/>
      <c r="U39" s="67"/>
      <c r="V39" s="68"/>
    </row>
    <row r="40" spans="1:23" x14ac:dyDescent="0.25">
      <c r="A40" s="105">
        <v>5</v>
      </c>
      <c r="B40" s="93">
        <f>-PMT(Assumptions!$B$21,$A40,Assumptions!$B$35)/Assumptions!$B$7*1000000</f>
        <v>1.3982932223895045E-2</v>
      </c>
      <c r="C40" s="68">
        <f>$B40*C$36*C$37</f>
        <v>1.0627028490160234E-2</v>
      </c>
      <c r="D40" s="68">
        <f>$B40*D$36*D$37</f>
        <v>1.0627028490160234E-2</v>
      </c>
      <c r="E40" s="80">
        <f>$B40*E$36*E$37</f>
        <v>1.0627028490160234E-2</v>
      </c>
      <c r="F40" s="93">
        <f>-PMT(Assumptions!$B$19,$A40,Assumptions!$C$28)/Assumptions!$B$7*1000000</f>
        <v>3.0099283295117553E-2</v>
      </c>
      <c r="G40" s="68">
        <f>$F40*G$36*G$37</f>
        <v>9.0297849885352648E-3</v>
      </c>
      <c r="H40" s="68">
        <f>$F40*H$36*H$37</f>
        <v>4.5148924942676324E-3</v>
      </c>
      <c r="I40" s="68">
        <f>$F40*I$36*I$37</f>
        <v>0</v>
      </c>
      <c r="J40" s="93">
        <f>-PMT(Assumptions!$B$20,$A40,Assumptions!$D$28)/Assumptions!$B$7*1000000</f>
        <v>2.4620681835143054E-2</v>
      </c>
      <c r="K40" s="68">
        <f>$J40*K$36*K$37</f>
        <v>7.3862045505429155E-3</v>
      </c>
      <c r="L40" s="68">
        <f>$J40*L$36*L$37</f>
        <v>3.6931022752714577E-3</v>
      </c>
      <c r="M40" s="80">
        <f>$J40*M$36*M$37</f>
        <v>0</v>
      </c>
      <c r="N40" s="58"/>
      <c r="O40" s="58"/>
      <c r="P40" s="59"/>
      <c r="U40" s="58"/>
      <c r="V40" s="59"/>
    </row>
    <row r="41" spans="1:23" x14ac:dyDescent="0.25">
      <c r="A41" s="105">
        <v>7</v>
      </c>
      <c r="B41" s="93">
        <f>-PMT(Assumptions!$B$21,$A41,Assumptions!$B$35)/Assumptions!$B$7*1000000</f>
        <v>1.0587178475497654E-2</v>
      </c>
      <c r="C41" s="68">
        <f t="shared" ref="C41:E44" si="6">$B41*C$36*C$37</f>
        <v>8.0462556413782166E-3</v>
      </c>
      <c r="D41" s="68">
        <f t="shared" si="6"/>
        <v>8.0462556413782166E-3</v>
      </c>
      <c r="E41" s="80">
        <f t="shared" si="6"/>
        <v>8.0462556413782166E-3</v>
      </c>
      <c r="F41" s="93">
        <f>-PMT(Assumptions!$B$19,$A41,Assumptions!$C$28)/Assumptions!$B$7*1000000</f>
        <v>2.2789675236029133E-2</v>
      </c>
      <c r="G41" s="68">
        <f t="shared" ref="G41:I44" si="7">$F41*G$36*G$37</f>
        <v>6.8369025708087394E-3</v>
      </c>
      <c r="H41" s="68">
        <f t="shared" si="7"/>
        <v>3.4184512854043697E-3</v>
      </c>
      <c r="I41" s="68">
        <f t="shared" si="7"/>
        <v>0</v>
      </c>
      <c r="J41" s="93">
        <f>-PMT(Assumptions!$B$20,$A41,Assumptions!$D$28)/Assumptions!$B$7*1000000</f>
        <v>1.9027769451217608E-2</v>
      </c>
      <c r="K41" s="68">
        <f t="shared" ref="K41:M44" si="8">$J41*K$36*K$37</f>
        <v>5.7083308353652823E-3</v>
      </c>
      <c r="L41" s="68">
        <f t="shared" si="8"/>
        <v>2.8541654176826412E-3</v>
      </c>
      <c r="M41" s="80">
        <f t="shared" si="8"/>
        <v>0</v>
      </c>
      <c r="N41" s="61"/>
      <c r="O41" s="58"/>
      <c r="P41" s="59"/>
      <c r="U41" s="58"/>
      <c r="V41" s="59"/>
    </row>
    <row r="42" spans="1:23" x14ac:dyDescent="0.25">
      <c r="A42" s="105">
        <v>10</v>
      </c>
      <c r="B42" s="93">
        <f>-PMT(Assumptions!$B$21,$A42,Assumptions!$B$35)/Assumptions!$B$7*1000000</f>
        <v>8.0687551701668133E-3</v>
      </c>
      <c r="C42" s="68">
        <f t="shared" si="6"/>
        <v>6.1322539293267786E-3</v>
      </c>
      <c r="D42" s="68">
        <f t="shared" si="6"/>
        <v>6.1322539293267786E-3</v>
      </c>
      <c r="E42" s="80">
        <f t="shared" si="6"/>
        <v>6.1322539293267786E-3</v>
      </c>
      <c r="F42" s="93">
        <f>-PMT(Assumptions!$B$19,$A42,Assumptions!$C$28)/Assumptions!$B$7*1000000</f>
        <v>1.7368585059060231E-2</v>
      </c>
      <c r="G42" s="68">
        <f t="shared" si="7"/>
        <v>5.2105755177180692E-3</v>
      </c>
      <c r="H42" s="68">
        <f t="shared" si="7"/>
        <v>2.6052877588590346E-3</v>
      </c>
      <c r="I42" s="68">
        <f t="shared" si="7"/>
        <v>0</v>
      </c>
      <c r="J42" s="93">
        <f>-PMT(Assumptions!$B$20,$A42,Assumptions!$D$28)/Assumptions!$B$7*1000000</f>
        <v>1.4922245882224267E-2</v>
      </c>
      <c r="K42" s="68">
        <f t="shared" si="8"/>
        <v>4.4766737646672796E-3</v>
      </c>
      <c r="L42" s="68">
        <f t="shared" si="8"/>
        <v>2.2383368823336398E-3</v>
      </c>
      <c r="M42" s="80">
        <f t="shared" si="8"/>
        <v>0</v>
      </c>
      <c r="N42" s="61"/>
      <c r="O42" s="58"/>
      <c r="P42" s="59"/>
      <c r="U42" s="58"/>
      <c r="V42" s="59"/>
    </row>
    <row r="43" spans="1:23" x14ac:dyDescent="0.25">
      <c r="A43" s="105">
        <v>12</v>
      </c>
      <c r="B43" s="93">
        <f>-PMT(Assumptions!$B$21,$A43,Assumptions!$B$35)/Assumptions!$B$7*1000000</f>
        <v>7.1049034938832209E-3</v>
      </c>
      <c r="C43" s="68">
        <f t="shared" si="6"/>
        <v>5.3997266553512478E-3</v>
      </c>
      <c r="D43" s="68">
        <f t="shared" si="6"/>
        <v>5.3997266553512478E-3</v>
      </c>
      <c r="E43" s="80">
        <f t="shared" si="6"/>
        <v>5.3997266553512478E-3</v>
      </c>
      <c r="F43" s="93">
        <f>-PMT(Assumptions!$B$19,$A43,Assumptions!$C$28)/Assumptions!$B$7*1000000</f>
        <v>1.5293823900641882E-2</v>
      </c>
      <c r="G43" s="68">
        <f t="shared" si="7"/>
        <v>4.5881471701925648E-3</v>
      </c>
      <c r="H43" s="68">
        <f t="shared" si="7"/>
        <v>2.2940735850962824E-3</v>
      </c>
      <c r="I43" s="68">
        <f t="shared" si="7"/>
        <v>0</v>
      </c>
      <c r="J43" s="93">
        <f>-PMT(Assumptions!$B$20,$A43,Assumptions!$D$28)/Assumptions!$B$7*1000000</f>
        <v>1.3373766274381051E-2</v>
      </c>
      <c r="K43" s="68">
        <f t="shared" si="8"/>
        <v>4.0121298823143151E-3</v>
      </c>
      <c r="L43" s="68">
        <f t="shared" si="8"/>
        <v>2.0060649411571575E-3</v>
      </c>
      <c r="M43" s="80">
        <f t="shared" si="8"/>
        <v>0</v>
      </c>
      <c r="N43" s="61"/>
      <c r="O43" s="58"/>
      <c r="P43" s="59"/>
      <c r="U43" s="58"/>
      <c r="V43" s="59"/>
    </row>
    <row r="44" spans="1:23" ht="14.4" thickBot="1" x14ac:dyDescent="0.3">
      <c r="A44" s="105">
        <v>15</v>
      </c>
      <c r="B44" s="94">
        <f>-PMT(Assumptions!$B$21,$A44,Assumptions!$B$35)/Assumptions!$B$7*1000000</f>
        <v>6.15928072001567E-3</v>
      </c>
      <c r="C44" s="81">
        <f t="shared" si="6"/>
        <v>4.6810533472119087E-3</v>
      </c>
      <c r="D44" s="81">
        <f t="shared" si="6"/>
        <v>4.6810533472119087E-3</v>
      </c>
      <c r="E44" s="82">
        <f t="shared" si="6"/>
        <v>4.6810533472119087E-3</v>
      </c>
      <c r="F44" s="94">
        <f>-PMT(Assumptions!$B$19,$A44,Assumptions!$C$28)/Assumptions!$B$7*1000000</f>
        <v>1.3258301786595199E-2</v>
      </c>
      <c r="G44" s="81">
        <f t="shared" si="7"/>
        <v>3.9774905359785595E-3</v>
      </c>
      <c r="H44" s="81">
        <f t="shared" si="7"/>
        <v>1.9887452679892797E-3</v>
      </c>
      <c r="I44" s="81">
        <f t="shared" si="7"/>
        <v>0</v>
      </c>
      <c r="J44" s="94">
        <f>-PMT(Assumptions!$B$20,$A44,Assumptions!$D$28)/Assumptions!$B$7*1000000</f>
        <v>1.1880606357387337E-2</v>
      </c>
      <c r="K44" s="81">
        <f t="shared" si="8"/>
        <v>3.5641819072162011E-3</v>
      </c>
      <c r="L44" s="81">
        <f t="shared" si="8"/>
        <v>1.7820909536081005E-3</v>
      </c>
      <c r="M44" s="82">
        <f t="shared" si="8"/>
        <v>0</v>
      </c>
      <c r="N44" s="58"/>
      <c r="O44" s="58"/>
    </row>
    <row r="45" spans="1:23" x14ac:dyDescent="0.25">
      <c r="A45" s="60"/>
      <c r="B45" s="60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</row>
    <row r="46" spans="1:23" x14ac:dyDescent="0.25">
      <c r="A46" s="60"/>
      <c r="B46" s="60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</row>
    <row r="47" spans="1:23" x14ac:dyDescent="0.25">
      <c r="A47" s="60"/>
      <c r="B47" s="60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</row>
    <row r="48" spans="1:23" x14ac:dyDescent="0.25">
      <c r="A48" s="63"/>
      <c r="B48" s="63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145"/>
      <c r="Q48" s="145"/>
      <c r="R48" s="145"/>
      <c r="S48" s="145"/>
      <c r="T48" s="145"/>
      <c r="U48" s="145"/>
      <c r="V48" s="64"/>
    </row>
    <row r="49" spans="1:23" s="57" customFormat="1" x14ac:dyDescent="0.25">
      <c r="A49" s="62"/>
      <c r="B49" s="62"/>
      <c r="C49" s="62"/>
      <c r="D49" s="62"/>
      <c r="E49" s="62"/>
      <c r="F49" s="62"/>
      <c r="G49" s="65"/>
      <c r="H49" s="65"/>
      <c r="I49" s="65"/>
      <c r="J49" s="65"/>
      <c r="K49" s="65"/>
      <c r="L49" s="65"/>
      <c r="M49" s="65"/>
      <c r="N49" s="65"/>
      <c r="O49" s="62"/>
      <c r="P49" s="62"/>
      <c r="Q49" s="62"/>
      <c r="R49" s="62"/>
      <c r="S49" s="62"/>
      <c r="T49" s="62"/>
      <c r="U49" s="62"/>
      <c r="V49" s="62"/>
      <c r="W49" s="62"/>
    </row>
    <row r="50" spans="1:23" x14ac:dyDescent="0.25">
      <c r="A50" s="66"/>
      <c r="B50" s="66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8"/>
      <c r="Q50" s="64"/>
      <c r="R50" s="64"/>
      <c r="S50" s="64"/>
      <c r="T50" s="64"/>
      <c r="U50" s="67"/>
      <c r="V50" s="68"/>
    </row>
    <row r="51" spans="1:23" x14ac:dyDescent="0.25">
      <c r="A51" s="66"/>
      <c r="B51" s="66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8"/>
      <c r="Q51" s="64"/>
      <c r="R51" s="64"/>
      <c r="S51" s="64"/>
      <c r="T51" s="64"/>
      <c r="U51" s="67"/>
      <c r="V51" s="68"/>
    </row>
    <row r="52" spans="1:23" x14ac:dyDescent="0.25">
      <c r="A52" s="66"/>
      <c r="B52" s="66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8"/>
      <c r="Q52" s="64"/>
      <c r="R52" s="64"/>
      <c r="S52" s="64"/>
      <c r="T52" s="64"/>
      <c r="U52" s="67"/>
      <c r="V52" s="68"/>
    </row>
    <row r="53" spans="1:23" x14ac:dyDescent="0.25">
      <c r="A53" s="66"/>
      <c r="B53" s="66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8"/>
      <c r="Q53" s="64"/>
      <c r="R53" s="64"/>
      <c r="S53" s="64"/>
      <c r="T53" s="64"/>
      <c r="U53" s="67"/>
      <c r="V53" s="68"/>
    </row>
    <row r="54" spans="1:23" x14ac:dyDescent="0.25">
      <c r="A54" s="66"/>
      <c r="B54" s="66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8"/>
      <c r="Q54" s="64"/>
      <c r="R54" s="64"/>
      <c r="S54" s="64"/>
      <c r="T54" s="64"/>
      <c r="U54" s="67"/>
      <c r="V54" s="68"/>
    </row>
  </sheetData>
  <mergeCells count="12">
    <mergeCell ref="F33:I33"/>
    <mergeCell ref="J33:M33"/>
    <mergeCell ref="P48:U48"/>
    <mergeCell ref="B3:E3"/>
    <mergeCell ref="F3:I3"/>
    <mergeCell ref="J3:M3"/>
    <mergeCell ref="B18:E18"/>
    <mergeCell ref="F18:I18"/>
    <mergeCell ref="J18:M18"/>
    <mergeCell ref="P8:U8"/>
    <mergeCell ref="P32:U32"/>
    <mergeCell ref="B33:E33"/>
  </mergeCells>
  <phoneticPr fontId="0" type="noConversion"/>
  <pageMargins left="0.75" right="0.75" top="1" bottom="1" header="0.5" footer="0.5"/>
  <pageSetup scale="48" fitToHeight="0" orientation="landscape" r:id="rId1"/>
  <headerFooter alignWithMargins="0">
    <oddHeader>&amp;C&amp;"Arial,Bold"&amp;14POTENTIAL EXPOSURE OF CALIFORNIA DIRECT ACCESS CUSTOMERS&amp;R&amp;D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abSelected="1" view="pageBreakPreview" zoomScale="60" zoomScaleNormal="75" workbookViewId="0">
      <selection activeCell="B33" sqref="B33:E33"/>
    </sheetView>
  </sheetViews>
  <sheetFormatPr defaultColWidth="9.109375" defaultRowHeight="13.8" x14ac:dyDescent="0.25"/>
  <cols>
    <col min="1" max="1" width="17.88671875" style="2" customWidth="1"/>
    <col min="2" max="2" width="14.44140625" style="2" customWidth="1"/>
    <col min="3" max="3" width="13.5546875" style="2" customWidth="1"/>
    <col min="4" max="4" width="15.88671875" style="2" customWidth="1"/>
    <col min="5" max="5" width="13.88671875" style="2" customWidth="1"/>
    <col min="6" max="6" width="15.109375" style="2" customWidth="1"/>
    <col min="7" max="7" width="16" style="2" customWidth="1"/>
    <col min="8" max="8" width="13.33203125" style="2" customWidth="1"/>
    <col min="9" max="9" width="13.109375" style="2" customWidth="1"/>
    <col min="10" max="10" width="15" style="2" customWidth="1"/>
    <col min="11" max="11" width="12.88671875" style="2" customWidth="1"/>
    <col min="12" max="12" width="11.44140625" style="2" customWidth="1"/>
    <col min="13" max="13" width="10.33203125" style="2" customWidth="1"/>
    <col min="14" max="14" width="3.5546875" style="2" customWidth="1"/>
    <col min="15" max="15" width="12.44140625" style="2" customWidth="1"/>
    <col min="16" max="16" width="16.33203125" style="2" customWidth="1"/>
    <col min="17" max="17" width="18.44140625" style="2" customWidth="1"/>
    <col min="18" max="18" width="16.6640625" style="2" customWidth="1"/>
    <col min="19" max="19" width="13.109375" style="2" customWidth="1"/>
    <col min="20" max="20" width="15.33203125" style="2" customWidth="1"/>
    <col min="21" max="21" width="16.33203125" style="2" customWidth="1"/>
    <col min="22" max="22" width="11.44140625" style="2" customWidth="1"/>
    <col min="23" max="23" width="9.109375" style="2"/>
    <col min="24" max="24" width="9.6640625" style="2" customWidth="1"/>
    <col min="25" max="16384" width="9.109375" style="2"/>
  </cols>
  <sheetData>
    <row r="1" spans="1:22" ht="17.399999999999999" x14ac:dyDescent="0.3">
      <c r="A1" s="85" t="s">
        <v>35</v>
      </c>
    </row>
    <row r="2" spans="1:22" s="64" customFormat="1" ht="14.4" thickBot="1" x14ac:dyDescent="0.3">
      <c r="B2" s="63"/>
    </row>
    <row r="3" spans="1:22" s="64" customFormat="1" ht="30.75" customHeight="1" thickBot="1" x14ac:dyDescent="0.35">
      <c r="A3" s="85" t="s">
        <v>1</v>
      </c>
      <c r="B3" s="146" t="s">
        <v>19</v>
      </c>
      <c r="C3" s="147"/>
      <c r="D3" s="147"/>
      <c r="E3" s="148"/>
      <c r="F3" s="149" t="s">
        <v>20</v>
      </c>
      <c r="G3" s="150"/>
      <c r="H3" s="150"/>
      <c r="I3" s="151"/>
      <c r="J3" s="149" t="s">
        <v>33</v>
      </c>
      <c r="K3" s="150"/>
      <c r="L3" s="150"/>
      <c r="M3" s="151"/>
    </row>
    <row r="4" spans="1:22" s="83" customFormat="1" x14ac:dyDescent="0.25">
      <c r="B4" s="84" t="s">
        <v>27</v>
      </c>
      <c r="C4" s="91">
        <v>1</v>
      </c>
      <c r="D4" s="91">
        <v>2</v>
      </c>
      <c r="E4" s="91">
        <v>3</v>
      </c>
      <c r="F4" s="92"/>
      <c r="G4" s="91">
        <v>1</v>
      </c>
      <c r="H4" s="91">
        <v>2</v>
      </c>
      <c r="I4" s="91">
        <v>3</v>
      </c>
      <c r="J4" s="96"/>
      <c r="K4" s="97">
        <v>1</v>
      </c>
      <c r="L4" s="97">
        <v>2</v>
      </c>
      <c r="M4" s="98">
        <v>3</v>
      </c>
    </row>
    <row r="5" spans="1:22" s="64" customFormat="1" x14ac:dyDescent="0.25">
      <c r="B5" s="77"/>
      <c r="C5" s="75"/>
      <c r="D5" s="75"/>
      <c r="E5" s="78"/>
      <c r="F5" s="77"/>
      <c r="G5" s="75"/>
      <c r="H5" s="75"/>
      <c r="I5" s="78"/>
      <c r="J5" s="77"/>
      <c r="K5" s="75"/>
      <c r="L5" s="75"/>
      <c r="M5" s="78"/>
    </row>
    <row r="6" spans="1:22" s="64" customFormat="1" x14ac:dyDescent="0.25">
      <c r="B6" s="77" t="s">
        <v>28</v>
      </c>
      <c r="C6" s="76">
        <v>0.8</v>
      </c>
      <c r="D6" s="76">
        <v>0.8</v>
      </c>
      <c r="E6" s="79">
        <v>0.8</v>
      </c>
      <c r="F6" s="77" t="s">
        <v>28</v>
      </c>
      <c r="G6" s="76">
        <v>1</v>
      </c>
      <c r="H6" s="76">
        <v>1</v>
      </c>
      <c r="I6" s="79">
        <v>0</v>
      </c>
      <c r="J6" s="77" t="s">
        <v>28</v>
      </c>
      <c r="K6" s="76">
        <v>1</v>
      </c>
      <c r="L6" s="76">
        <v>1</v>
      </c>
      <c r="M6" s="79">
        <v>0</v>
      </c>
    </row>
    <row r="7" spans="1:22" s="64" customFormat="1" x14ac:dyDescent="0.25">
      <c r="B7" s="77" t="s">
        <v>26</v>
      </c>
      <c r="C7" s="76">
        <v>0.95</v>
      </c>
      <c r="D7" s="76">
        <v>0.95</v>
      </c>
      <c r="E7" s="79">
        <v>0.95</v>
      </c>
      <c r="F7" s="77" t="s">
        <v>26</v>
      </c>
      <c r="G7" s="76">
        <v>0.3</v>
      </c>
      <c r="H7" s="76">
        <v>0.3</v>
      </c>
      <c r="I7" s="79">
        <v>0.3</v>
      </c>
      <c r="J7" s="77" t="s">
        <v>26</v>
      </c>
      <c r="K7" s="76">
        <v>0.3</v>
      </c>
      <c r="L7" s="76">
        <v>0.3</v>
      </c>
      <c r="M7" s="79">
        <v>0.3</v>
      </c>
    </row>
    <row r="8" spans="1:22" s="64" customFormat="1" ht="14.4" thickBot="1" x14ac:dyDescent="0.3">
      <c r="B8" s="86"/>
      <c r="C8" s="87"/>
      <c r="D8" s="87"/>
      <c r="E8" s="88"/>
      <c r="F8" s="89"/>
      <c r="G8" s="87"/>
      <c r="H8" s="87"/>
      <c r="I8" s="88"/>
      <c r="J8" s="89"/>
      <c r="K8" s="87"/>
      <c r="L8" s="87"/>
      <c r="M8" s="88"/>
      <c r="N8" s="73"/>
      <c r="O8" s="73"/>
      <c r="P8" s="145"/>
      <c r="Q8" s="145"/>
      <c r="R8" s="145"/>
      <c r="S8" s="145"/>
      <c r="T8" s="145"/>
      <c r="U8" s="145"/>
    </row>
    <row r="9" spans="1:22" s="73" customFormat="1" ht="35.25" customHeight="1" x14ac:dyDescent="0.25">
      <c r="A9" s="142" t="s">
        <v>18</v>
      </c>
      <c r="B9" s="100"/>
      <c r="C9" s="72"/>
      <c r="D9" s="72"/>
      <c r="E9" s="101"/>
      <c r="F9" s="100"/>
      <c r="G9" s="72"/>
      <c r="H9" s="72"/>
      <c r="I9" s="101"/>
      <c r="J9" s="100"/>
      <c r="K9" s="72"/>
      <c r="L9" s="72"/>
      <c r="M9" s="101"/>
      <c r="O9" s="62"/>
      <c r="P9" s="62"/>
      <c r="Q9" s="62"/>
      <c r="R9" s="62"/>
      <c r="S9" s="62"/>
      <c r="T9" s="62"/>
      <c r="U9" s="62"/>
      <c r="V9" s="62"/>
    </row>
    <row r="10" spans="1:22" s="64" customFormat="1" x14ac:dyDescent="0.25">
      <c r="A10" s="143">
        <v>5</v>
      </c>
      <c r="B10" s="93">
        <f>-PMT(Assumptions!$B$21,$A10,Assumptions!$B$33)/Assumptions!$B$5*1000000</f>
        <v>2.0104215858389875E-2</v>
      </c>
      <c r="C10" s="68">
        <f t="shared" ref="C10:E14" si="0">$B10*C$6*C$7</f>
        <v>1.5279204052376306E-2</v>
      </c>
      <c r="D10" s="68">
        <f t="shared" si="0"/>
        <v>1.5279204052376306E-2</v>
      </c>
      <c r="E10" s="80">
        <f t="shared" si="0"/>
        <v>1.5279204052376306E-2</v>
      </c>
      <c r="F10" s="93">
        <f>-PMT(Assumptions!$B$19,$A10,Assumptions!$C$26)/Assumptions!$B$5*1000000</f>
        <v>1.7905769764001177E-2</v>
      </c>
      <c r="G10" s="68">
        <f t="shared" ref="G10:I14" si="1">$F10*G$6*G$7</f>
        <v>5.3717309292003529E-3</v>
      </c>
      <c r="H10" s="68">
        <f t="shared" si="1"/>
        <v>5.3717309292003529E-3</v>
      </c>
      <c r="I10" s="68">
        <f t="shared" si="1"/>
        <v>0</v>
      </c>
      <c r="J10" s="93">
        <f>-PMT(Assumptions!$B$20,$A10,Assumptions!$D$26)/Assumptions!$B$5*1000000</f>
        <v>1.4646603244679543E-2</v>
      </c>
      <c r="K10" s="68">
        <f t="shared" ref="K10:M14" si="2">$J10*K$6*K$7</f>
        <v>4.3939809734038632E-3</v>
      </c>
      <c r="L10" s="68">
        <f t="shared" si="2"/>
        <v>4.3939809734038632E-3</v>
      </c>
      <c r="M10" s="80">
        <f t="shared" si="2"/>
        <v>0</v>
      </c>
      <c r="O10" s="67"/>
      <c r="P10" s="68"/>
      <c r="U10" s="67"/>
      <c r="V10" s="68"/>
    </row>
    <row r="11" spans="1:22" s="64" customFormat="1" x14ac:dyDescent="0.25">
      <c r="A11" s="143">
        <v>7</v>
      </c>
      <c r="B11" s="93">
        <f>-PMT(Assumptions!$B$21,$A11,Assumptions!$B$33)/Assumptions!$B$5*1000000</f>
        <v>1.522190896691723E-2</v>
      </c>
      <c r="C11" s="68">
        <f t="shared" si="0"/>
        <v>1.1568650814857095E-2</v>
      </c>
      <c r="D11" s="68">
        <f t="shared" si="0"/>
        <v>1.1568650814857095E-2</v>
      </c>
      <c r="E11" s="80">
        <f t="shared" si="0"/>
        <v>1.1568650814857095E-2</v>
      </c>
      <c r="F11" s="93">
        <f>-PMT(Assumptions!$B$19,$A11,Assumptions!$C$26)/Assumptions!$B$5*1000000</f>
        <v>1.3557355295529244E-2</v>
      </c>
      <c r="G11" s="68">
        <f t="shared" si="1"/>
        <v>4.0672065886587731E-3</v>
      </c>
      <c r="H11" s="68">
        <f t="shared" si="1"/>
        <v>4.0672065886587731E-3</v>
      </c>
      <c r="I11" s="68">
        <f t="shared" si="1"/>
        <v>0</v>
      </c>
      <c r="J11" s="93">
        <f>-PMT(Assumptions!$B$20,$A11,Assumptions!$D$26)/Assumptions!$B$5*1000000</f>
        <v>1.1319434272751071E-2</v>
      </c>
      <c r="K11" s="68">
        <f t="shared" si="2"/>
        <v>3.3958302818253212E-3</v>
      </c>
      <c r="L11" s="68">
        <f t="shared" si="2"/>
        <v>3.3958302818253212E-3</v>
      </c>
      <c r="M11" s="80">
        <f t="shared" si="2"/>
        <v>0</v>
      </c>
      <c r="O11" s="67"/>
      <c r="P11" s="68"/>
      <c r="U11" s="67"/>
      <c r="V11" s="68"/>
    </row>
    <row r="12" spans="1:22" s="64" customFormat="1" x14ac:dyDescent="0.25">
      <c r="A12" s="143">
        <v>10</v>
      </c>
      <c r="B12" s="93">
        <f>-PMT(Assumptions!$B$21,$A12,Assumptions!$B$33)/Assumptions!$B$5*1000000</f>
        <v>1.1600999922772028E-2</v>
      </c>
      <c r="C12" s="68">
        <f t="shared" si="0"/>
        <v>8.8167599413067413E-3</v>
      </c>
      <c r="D12" s="68">
        <f t="shared" si="0"/>
        <v>8.8167599413067413E-3</v>
      </c>
      <c r="E12" s="80">
        <f t="shared" si="0"/>
        <v>8.8167599413067413E-3</v>
      </c>
      <c r="F12" s="93">
        <f>-PMT(Assumptions!$B$19,$A12,Assumptions!$C$26)/Assumptions!$B$5*1000000</f>
        <v>1.033240167696786E-2</v>
      </c>
      <c r="G12" s="68">
        <f t="shared" si="1"/>
        <v>3.0997205030903578E-3</v>
      </c>
      <c r="H12" s="68">
        <f t="shared" si="1"/>
        <v>3.0997205030903578E-3</v>
      </c>
      <c r="I12" s="68">
        <f t="shared" si="1"/>
        <v>0</v>
      </c>
      <c r="J12" s="93">
        <f>-PMT(Assumptions!$B$20,$A12,Assumptions!$D$26)/Assumptions!$B$5*1000000</f>
        <v>8.8770983850058726E-3</v>
      </c>
      <c r="K12" s="68">
        <f t="shared" si="2"/>
        <v>2.6631295155017617E-3</v>
      </c>
      <c r="L12" s="68">
        <f t="shared" si="2"/>
        <v>2.6631295155017617E-3</v>
      </c>
      <c r="M12" s="80">
        <f t="shared" si="2"/>
        <v>0</v>
      </c>
      <c r="O12" s="67"/>
      <c r="P12" s="68"/>
      <c r="U12" s="67"/>
      <c r="V12" s="68"/>
    </row>
    <row r="13" spans="1:22" s="64" customFormat="1" x14ac:dyDescent="0.25">
      <c r="A13" s="143">
        <v>12</v>
      </c>
      <c r="B13" s="93">
        <f>-PMT(Assumptions!$B$21,$A13,Assumptions!$B$33)/Assumptions!$B$5*1000000</f>
        <v>1.0215204594209782E-2</v>
      </c>
      <c r="C13" s="68">
        <f t="shared" si="0"/>
        <v>7.763555491599434E-3</v>
      </c>
      <c r="D13" s="68">
        <f t="shared" si="0"/>
        <v>7.763555491599434E-3</v>
      </c>
      <c r="E13" s="80">
        <f t="shared" si="0"/>
        <v>7.763555491599434E-3</v>
      </c>
      <c r="F13" s="93">
        <f>-PMT(Assumptions!$B$19,$A13,Assumptions!$C$26)/Assumptions!$B$5*1000000</f>
        <v>9.0981465203356909E-3</v>
      </c>
      <c r="G13" s="68">
        <f t="shared" si="1"/>
        <v>2.7294439561007071E-3</v>
      </c>
      <c r="H13" s="68">
        <f t="shared" si="1"/>
        <v>2.7294439561007071E-3</v>
      </c>
      <c r="I13" s="68">
        <f t="shared" si="1"/>
        <v>0</v>
      </c>
      <c r="J13" s="93">
        <f>-PMT(Assumptions!$B$20,$A13,Assumptions!$D$26)/Assumptions!$B$5*1000000</f>
        <v>7.9559229845673849E-3</v>
      </c>
      <c r="K13" s="68">
        <f t="shared" si="2"/>
        <v>2.3867768953702152E-3</v>
      </c>
      <c r="L13" s="68">
        <f t="shared" si="2"/>
        <v>2.3867768953702152E-3</v>
      </c>
      <c r="M13" s="80">
        <f t="shared" si="2"/>
        <v>0</v>
      </c>
      <c r="O13" s="67"/>
      <c r="P13" s="68"/>
      <c r="U13" s="67"/>
      <c r="V13" s="68"/>
    </row>
    <row r="14" spans="1:22" s="64" customFormat="1" ht="14.4" thickBot="1" x14ac:dyDescent="0.3">
      <c r="A14" s="143">
        <v>15</v>
      </c>
      <c r="B14" s="94">
        <f>-PMT(Assumptions!$B$21,$A14,Assumptions!$B$33)/Assumptions!$B$5*1000000</f>
        <v>8.8556182025976357E-3</v>
      </c>
      <c r="C14" s="81">
        <f t="shared" si="0"/>
        <v>6.7302698339742036E-3</v>
      </c>
      <c r="D14" s="81">
        <f t="shared" si="0"/>
        <v>6.7302698339742036E-3</v>
      </c>
      <c r="E14" s="82">
        <f t="shared" si="0"/>
        <v>6.7302698339742036E-3</v>
      </c>
      <c r="F14" s="94">
        <f>-PMT(Assumptions!$B$19,$A14,Assumptions!$C$26)/Assumptions!$B$5*1000000</f>
        <v>7.8872342880977539E-3</v>
      </c>
      <c r="G14" s="81">
        <f t="shared" si="1"/>
        <v>2.3661702864293259E-3</v>
      </c>
      <c r="H14" s="81">
        <f t="shared" si="1"/>
        <v>2.3661702864293259E-3</v>
      </c>
      <c r="I14" s="81">
        <f t="shared" si="1"/>
        <v>0</v>
      </c>
      <c r="J14" s="94">
        <f>-PMT(Assumptions!$B$20,$A14,Assumptions!$D$26)/Assumptions!$B$5*1000000</f>
        <v>7.0676567281126521E-3</v>
      </c>
      <c r="K14" s="81">
        <f t="shared" si="2"/>
        <v>2.1202970184337954E-3</v>
      </c>
      <c r="L14" s="81">
        <f t="shared" si="2"/>
        <v>2.1202970184337954E-3</v>
      </c>
      <c r="M14" s="82">
        <f t="shared" si="2"/>
        <v>0</v>
      </c>
      <c r="O14" s="67"/>
      <c r="P14" s="68"/>
      <c r="U14" s="67"/>
      <c r="V14" s="68"/>
    </row>
    <row r="15" spans="1:22" x14ac:dyDescent="0.25">
      <c r="A15" s="21"/>
      <c r="B15" s="21"/>
      <c r="C15" s="58"/>
      <c r="D15" s="58"/>
      <c r="E15" s="58"/>
      <c r="F15" s="58"/>
      <c r="G15" s="57"/>
      <c r="H15" s="57"/>
      <c r="I15" s="57"/>
      <c r="J15" s="57"/>
      <c r="K15" s="58"/>
      <c r="L15" s="58"/>
      <c r="M15" s="58"/>
      <c r="N15" s="58"/>
      <c r="O15" s="58"/>
      <c r="P15" s="59"/>
      <c r="U15" s="58"/>
      <c r="V15" s="59"/>
    </row>
    <row r="16" spans="1:22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57"/>
    </row>
    <row r="17" spans="1:22" ht="14.4" thickBot="1" x14ac:dyDescent="0.3">
      <c r="A17" s="21"/>
      <c r="B17" s="21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9"/>
      <c r="U17" s="58"/>
      <c r="V17" s="59"/>
    </row>
    <row r="18" spans="1:22" ht="15.75" customHeight="1" thickBot="1" x14ac:dyDescent="0.35">
      <c r="A18" s="85" t="s">
        <v>2</v>
      </c>
      <c r="B18" s="146" t="s">
        <v>19</v>
      </c>
      <c r="C18" s="147"/>
      <c r="D18" s="147"/>
      <c r="E18" s="148"/>
      <c r="F18" s="149" t="s">
        <v>20</v>
      </c>
      <c r="G18" s="150"/>
      <c r="H18" s="150"/>
      <c r="I18" s="151"/>
      <c r="J18" s="149" t="s">
        <v>33</v>
      </c>
      <c r="K18" s="150"/>
      <c r="L18" s="150"/>
      <c r="M18" s="151"/>
      <c r="N18" s="58"/>
      <c r="O18" s="58"/>
      <c r="P18" s="59"/>
      <c r="U18" s="58"/>
      <c r="V18" s="59"/>
    </row>
    <row r="19" spans="1:22" x14ac:dyDescent="0.25">
      <c r="A19" s="83"/>
      <c r="B19" s="84" t="s">
        <v>27</v>
      </c>
      <c r="C19" s="91">
        <v>1</v>
      </c>
      <c r="D19" s="91">
        <v>2</v>
      </c>
      <c r="E19" s="91">
        <v>3</v>
      </c>
      <c r="F19" s="92"/>
      <c r="G19" s="91">
        <v>1</v>
      </c>
      <c r="H19" s="91">
        <v>2</v>
      </c>
      <c r="I19" s="91">
        <v>3</v>
      </c>
      <c r="J19" s="96"/>
      <c r="K19" s="97">
        <v>1</v>
      </c>
      <c r="L19" s="97">
        <v>2</v>
      </c>
      <c r="M19" s="98">
        <v>3</v>
      </c>
      <c r="N19" s="58"/>
      <c r="O19" s="58"/>
      <c r="P19" s="59"/>
      <c r="U19" s="58"/>
      <c r="V19" s="59"/>
    </row>
    <row r="20" spans="1:22" x14ac:dyDescent="0.25">
      <c r="A20" s="64"/>
      <c r="B20" s="77"/>
      <c r="C20" s="75"/>
      <c r="D20" s="75"/>
      <c r="E20" s="78"/>
      <c r="F20" s="77"/>
      <c r="G20" s="75"/>
      <c r="H20" s="75"/>
      <c r="I20" s="78"/>
      <c r="J20" s="77"/>
      <c r="K20" s="75"/>
      <c r="L20" s="75"/>
      <c r="M20" s="78"/>
      <c r="N20" s="58"/>
      <c r="O20" s="58"/>
      <c r="P20" s="59"/>
      <c r="U20" s="58"/>
      <c r="V20" s="59"/>
    </row>
    <row r="21" spans="1:22" x14ac:dyDescent="0.25">
      <c r="A21" s="64"/>
      <c r="B21" s="77" t="s">
        <v>28</v>
      </c>
      <c r="C21" s="76">
        <v>0.8</v>
      </c>
      <c r="D21" s="76">
        <v>0.8</v>
      </c>
      <c r="E21" s="79">
        <v>0.8</v>
      </c>
      <c r="F21" s="77" t="s">
        <v>28</v>
      </c>
      <c r="G21" s="76">
        <v>1</v>
      </c>
      <c r="H21" s="76">
        <v>1</v>
      </c>
      <c r="I21" s="79">
        <v>0</v>
      </c>
      <c r="J21" s="77" t="s">
        <v>28</v>
      </c>
      <c r="K21" s="76">
        <v>1</v>
      </c>
      <c r="L21" s="76">
        <v>1</v>
      </c>
      <c r="M21" s="79">
        <v>0</v>
      </c>
      <c r="N21" s="58"/>
      <c r="O21" s="58"/>
      <c r="P21" s="59"/>
      <c r="U21" s="58"/>
      <c r="V21" s="59"/>
    </row>
    <row r="22" spans="1:22" x14ac:dyDescent="0.25">
      <c r="A22" s="64"/>
      <c r="B22" s="77" t="s">
        <v>26</v>
      </c>
      <c r="C22" s="76">
        <v>0.95</v>
      </c>
      <c r="D22" s="76">
        <v>0.95</v>
      </c>
      <c r="E22" s="79">
        <v>0.95</v>
      </c>
      <c r="F22" s="77" t="s">
        <v>26</v>
      </c>
      <c r="G22" s="76">
        <v>0.3</v>
      </c>
      <c r="H22" s="76">
        <v>0.3</v>
      </c>
      <c r="I22" s="79">
        <v>0.3</v>
      </c>
      <c r="J22" s="77" t="s">
        <v>26</v>
      </c>
      <c r="K22" s="76">
        <v>0.3</v>
      </c>
      <c r="L22" s="76">
        <v>0.3</v>
      </c>
      <c r="M22" s="79">
        <v>0.3</v>
      </c>
      <c r="N22" s="58"/>
      <c r="O22" s="58"/>
      <c r="P22" s="59"/>
      <c r="U22" s="58"/>
      <c r="V22" s="59"/>
    </row>
    <row r="23" spans="1:22" ht="14.4" thickBot="1" x14ac:dyDescent="0.3">
      <c r="A23" s="64"/>
      <c r="B23" s="86"/>
      <c r="C23" s="87"/>
      <c r="D23" s="87"/>
      <c r="E23" s="88"/>
      <c r="F23" s="89"/>
      <c r="G23" s="87"/>
      <c r="H23" s="87"/>
      <c r="I23" s="88"/>
      <c r="J23" s="89"/>
      <c r="K23" s="87"/>
      <c r="L23" s="87"/>
      <c r="M23" s="88"/>
      <c r="N23" s="58"/>
      <c r="O23" s="58"/>
      <c r="P23" s="59"/>
      <c r="U23" s="58"/>
      <c r="V23" s="59"/>
    </row>
    <row r="24" spans="1:22" ht="31.5" customHeight="1" x14ac:dyDescent="0.25">
      <c r="A24" s="142" t="s">
        <v>18</v>
      </c>
      <c r="B24" s="100"/>
      <c r="C24" s="72"/>
      <c r="D24" s="72"/>
      <c r="E24" s="101"/>
      <c r="F24" s="100"/>
      <c r="G24" s="72"/>
      <c r="H24" s="72"/>
      <c r="I24" s="101"/>
      <c r="J24" s="100"/>
      <c r="K24" s="72"/>
      <c r="L24" s="72"/>
      <c r="M24" s="101"/>
      <c r="N24" s="58"/>
      <c r="O24" s="58"/>
      <c r="P24" s="59"/>
      <c r="U24" s="58"/>
      <c r="V24" s="59"/>
    </row>
    <row r="25" spans="1:22" x14ac:dyDescent="0.25">
      <c r="A25" s="143">
        <v>5</v>
      </c>
      <c r="B25" s="93">
        <f>-PMT(Assumptions!$B$21,$A25,Assumptions!$B$34)/Assumptions!$B$6*1000000</f>
        <v>1.0246051038130987E-2</v>
      </c>
      <c r="C25" s="68">
        <f t="shared" ref="C25:E29" si="3">$B25*C$21*C$22</f>
        <v>7.7869987889795508E-3</v>
      </c>
      <c r="D25" s="68">
        <f t="shared" si="3"/>
        <v>7.7869987889795508E-3</v>
      </c>
      <c r="E25" s="80">
        <f t="shared" si="3"/>
        <v>7.7869987889795508E-3</v>
      </c>
      <c r="F25" s="93">
        <f>-PMT(Assumptions!$B$19,$A25,Assumptions!$C$27)/Assumptions!$B$6*1000000</f>
        <v>1.3251280091815049E-2</v>
      </c>
      <c r="G25" s="68">
        <f t="shared" ref="G25:I29" si="4">$F25*G$21*G$22</f>
        <v>3.9753840275445146E-3</v>
      </c>
      <c r="H25" s="68">
        <f t="shared" si="4"/>
        <v>3.9753840275445146E-3</v>
      </c>
      <c r="I25" s="68">
        <f t="shared" si="4"/>
        <v>0</v>
      </c>
      <c r="J25" s="93">
        <f>-PMT(Assumptions!$B$20,$A25,Assumptions!$D$27)/Assumptions!$B$6*1000000</f>
        <v>1.0839312944765896E-2</v>
      </c>
      <c r="K25" s="68">
        <f t="shared" ref="K25:M29" si="5">$J25*K$21*K$22</f>
        <v>3.2517938834297688E-3</v>
      </c>
      <c r="L25" s="68">
        <f t="shared" si="5"/>
        <v>3.2517938834297688E-3</v>
      </c>
      <c r="M25" s="80">
        <f t="shared" si="5"/>
        <v>0</v>
      </c>
      <c r="N25" s="58"/>
      <c r="O25" s="58"/>
      <c r="P25" s="59"/>
      <c r="U25" s="58"/>
      <c r="V25" s="59"/>
    </row>
    <row r="26" spans="1:22" x14ac:dyDescent="0.25">
      <c r="A26" s="143">
        <v>7</v>
      </c>
      <c r="B26" s="93">
        <f>-PMT(Assumptions!$B$21,$A26,Assumptions!$B$34)/Assumptions!$B$6*1000000</f>
        <v>7.7577985270055041E-3</v>
      </c>
      <c r="C26" s="68">
        <f t="shared" si="3"/>
        <v>5.8959268805241832E-3</v>
      </c>
      <c r="D26" s="68">
        <f t="shared" si="3"/>
        <v>5.8959268805241832E-3</v>
      </c>
      <c r="E26" s="80">
        <f t="shared" si="3"/>
        <v>5.8959268805241832E-3</v>
      </c>
      <c r="F26" s="93">
        <f>-PMT(Assumptions!$B$19,$A26,Assumptions!$C$27)/Assumptions!$B$6*1000000</f>
        <v>1.0033207993464412E-2</v>
      </c>
      <c r="G26" s="68">
        <f t="shared" si="4"/>
        <v>3.0099623980393234E-3</v>
      </c>
      <c r="H26" s="68">
        <f t="shared" si="4"/>
        <v>3.0099623980393234E-3</v>
      </c>
      <c r="I26" s="68">
        <f t="shared" si="4"/>
        <v>0</v>
      </c>
      <c r="J26" s="93">
        <f>-PMT(Assumptions!$B$20,$A26,Assumptions!$D$27)/Assumptions!$B$6*1000000</f>
        <v>8.3770201452426883E-3</v>
      </c>
      <c r="K26" s="68">
        <f t="shared" si="5"/>
        <v>2.5131060435728066E-3</v>
      </c>
      <c r="L26" s="68">
        <f t="shared" si="5"/>
        <v>2.5131060435728066E-3</v>
      </c>
      <c r="M26" s="80">
        <f t="shared" si="5"/>
        <v>0</v>
      </c>
      <c r="N26" s="61"/>
      <c r="O26" s="58"/>
      <c r="P26" s="59"/>
      <c r="U26" s="58"/>
      <c r="V26" s="59"/>
    </row>
    <row r="27" spans="1:22" x14ac:dyDescent="0.25">
      <c r="A27" s="143">
        <v>10</v>
      </c>
      <c r="B27" s="93">
        <f>-PMT(Assumptions!$B$21,$A27,Assumptions!$B$34)/Assumptions!$B$6*1000000</f>
        <v>5.9124135026868722E-3</v>
      </c>
      <c r="C27" s="68">
        <f t="shared" si="3"/>
        <v>4.4934342620420228E-3</v>
      </c>
      <c r="D27" s="68">
        <f t="shared" si="3"/>
        <v>4.4934342620420228E-3</v>
      </c>
      <c r="E27" s="80">
        <f t="shared" si="3"/>
        <v>4.4934342620420228E-3</v>
      </c>
      <c r="F27" s="93">
        <f>-PMT(Assumptions!$B$19,$A27,Assumptions!$C$27)/Assumptions!$B$6*1000000</f>
        <v>7.6465603236956503E-3</v>
      </c>
      <c r="G27" s="68">
        <f t="shared" si="4"/>
        <v>2.2939680971086952E-3</v>
      </c>
      <c r="H27" s="68">
        <f t="shared" si="4"/>
        <v>2.2939680971086952E-3</v>
      </c>
      <c r="I27" s="68">
        <f t="shared" si="4"/>
        <v>0</v>
      </c>
      <c r="J27" s="93">
        <f>-PMT(Assumptions!$B$20,$A27,Assumptions!$D$27)/Assumptions!$B$6*1000000</f>
        <v>6.5695537613137444E-3</v>
      </c>
      <c r="K27" s="68">
        <f t="shared" si="5"/>
        <v>1.9708661283941234E-3</v>
      </c>
      <c r="L27" s="68">
        <f t="shared" si="5"/>
        <v>1.9708661283941234E-3</v>
      </c>
      <c r="M27" s="80">
        <f t="shared" si="5"/>
        <v>0</v>
      </c>
      <c r="N27" s="61"/>
      <c r="O27" s="58"/>
      <c r="P27" s="59"/>
      <c r="U27" s="58"/>
      <c r="V27" s="59"/>
    </row>
    <row r="28" spans="1:22" x14ac:dyDescent="0.25">
      <c r="A28" s="143">
        <v>12</v>
      </c>
      <c r="B28" s="93">
        <f>-PMT(Assumptions!$B$21,$A28,Assumptions!$B$34)/Assumptions!$B$6*1000000</f>
        <v>5.2061472267541662E-3</v>
      </c>
      <c r="C28" s="68">
        <f t="shared" si="3"/>
        <v>3.9566718923331667E-3</v>
      </c>
      <c r="D28" s="68">
        <f t="shared" si="3"/>
        <v>3.9566718923331667E-3</v>
      </c>
      <c r="E28" s="80">
        <f t="shared" si="3"/>
        <v>3.9566718923331667E-3</v>
      </c>
      <c r="F28" s="93">
        <f>-PMT(Assumptions!$B$19,$A28,Assumptions!$C$27)/Assumptions!$B$6*1000000</f>
        <v>6.73314185574562E-3</v>
      </c>
      <c r="G28" s="68">
        <f t="shared" si="4"/>
        <v>2.0199425567236861E-3</v>
      </c>
      <c r="H28" s="68">
        <f t="shared" si="4"/>
        <v>2.0199425567236861E-3</v>
      </c>
      <c r="I28" s="68">
        <f t="shared" si="4"/>
        <v>0</v>
      </c>
      <c r="J28" s="93">
        <f>-PMT(Assumptions!$B$20,$A28,Assumptions!$D$27)/Assumptions!$B$6*1000000</f>
        <v>5.8878319808046775E-3</v>
      </c>
      <c r="K28" s="68">
        <f t="shared" si="5"/>
        <v>1.7663495942414032E-3</v>
      </c>
      <c r="L28" s="68">
        <f t="shared" si="5"/>
        <v>1.7663495942414032E-3</v>
      </c>
      <c r="M28" s="80">
        <f t="shared" si="5"/>
        <v>0</v>
      </c>
      <c r="N28" s="61"/>
      <c r="O28" s="58"/>
      <c r="P28" s="59"/>
      <c r="U28" s="58"/>
      <c r="V28" s="59"/>
    </row>
    <row r="29" spans="1:22" ht="14.4" thickBot="1" x14ac:dyDescent="0.3">
      <c r="A29" s="143">
        <v>15</v>
      </c>
      <c r="B29" s="94">
        <f>-PMT(Assumptions!$B$21,$A29,Assumptions!$B$34)/Assumptions!$B$6*1000000</f>
        <v>4.5132382539631198E-3</v>
      </c>
      <c r="C29" s="81">
        <f t="shared" si="3"/>
        <v>3.4300610730119709E-3</v>
      </c>
      <c r="D29" s="81">
        <f t="shared" si="3"/>
        <v>3.4300610730119709E-3</v>
      </c>
      <c r="E29" s="82">
        <f t="shared" si="3"/>
        <v>3.4300610730119709E-3</v>
      </c>
      <c r="F29" s="94">
        <f>-PMT(Assumptions!$B$19,$A29,Assumptions!$C$27)/Assumptions!$B$6*1000000</f>
        <v>5.8369984691457322E-3</v>
      </c>
      <c r="G29" s="81">
        <f t="shared" si="4"/>
        <v>1.7510995407437197E-3</v>
      </c>
      <c r="H29" s="81">
        <f t="shared" si="4"/>
        <v>1.7510995407437197E-3</v>
      </c>
      <c r="I29" s="81">
        <f t="shared" si="4"/>
        <v>0</v>
      </c>
      <c r="J29" s="94">
        <f>-PMT(Assumptions!$B$20,$A29,Assumptions!$D$27)/Assumptions!$B$6*1000000</f>
        <v>5.2304648239872064E-3</v>
      </c>
      <c r="K29" s="81">
        <f t="shared" si="5"/>
        <v>1.5691394471961618E-3</v>
      </c>
      <c r="L29" s="81">
        <f t="shared" si="5"/>
        <v>1.5691394471961618E-3</v>
      </c>
      <c r="M29" s="82">
        <f t="shared" si="5"/>
        <v>0</v>
      </c>
      <c r="N29" s="58"/>
      <c r="O29" s="58"/>
    </row>
    <row r="30" spans="1:22" x14ac:dyDescent="0.25">
      <c r="A30" s="60"/>
      <c r="B30" s="60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</row>
    <row r="31" spans="1:22" s="64" customFormat="1" x14ac:dyDescent="0.25">
      <c r="B31" s="75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</row>
    <row r="32" spans="1:22" s="64" customFormat="1" ht="14.4" thickBot="1" x14ac:dyDescent="0.3">
      <c r="B32" s="74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145"/>
      <c r="Q32" s="145"/>
      <c r="R32" s="145"/>
      <c r="S32" s="145"/>
      <c r="T32" s="145"/>
      <c r="U32" s="145"/>
    </row>
    <row r="33" spans="1:23" s="73" customFormat="1" ht="16.2" thickBot="1" x14ac:dyDescent="0.35">
      <c r="A33" s="102" t="s">
        <v>3</v>
      </c>
      <c r="B33" s="146" t="s">
        <v>19</v>
      </c>
      <c r="C33" s="147"/>
      <c r="D33" s="147"/>
      <c r="E33" s="148"/>
      <c r="F33" s="149" t="s">
        <v>20</v>
      </c>
      <c r="G33" s="150"/>
      <c r="H33" s="150"/>
      <c r="I33" s="151"/>
      <c r="J33" s="149" t="s">
        <v>33</v>
      </c>
      <c r="K33" s="150"/>
      <c r="L33" s="150"/>
      <c r="M33" s="151"/>
      <c r="N33" s="65"/>
      <c r="O33" s="62"/>
      <c r="P33" s="62"/>
      <c r="Q33" s="62"/>
      <c r="R33" s="62"/>
      <c r="S33" s="62"/>
      <c r="T33" s="62"/>
      <c r="U33" s="62"/>
      <c r="V33" s="62"/>
      <c r="W33" s="62"/>
    </row>
    <row r="34" spans="1:23" s="64" customFormat="1" x14ac:dyDescent="0.25">
      <c r="B34" s="84" t="s">
        <v>27</v>
      </c>
      <c r="C34" s="91">
        <v>1</v>
      </c>
      <c r="D34" s="91">
        <v>2</v>
      </c>
      <c r="E34" s="91">
        <v>3</v>
      </c>
      <c r="F34" s="92"/>
      <c r="G34" s="91">
        <v>1</v>
      </c>
      <c r="H34" s="91">
        <v>2</v>
      </c>
      <c r="I34" s="91">
        <v>3</v>
      </c>
      <c r="J34" s="96"/>
      <c r="K34" s="97">
        <v>1</v>
      </c>
      <c r="L34" s="97">
        <v>2</v>
      </c>
      <c r="M34" s="98">
        <v>3</v>
      </c>
      <c r="N34" s="67"/>
      <c r="O34" s="67"/>
      <c r="P34" s="68"/>
      <c r="U34" s="67"/>
      <c r="V34" s="68"/>
    </row>
    <row r="35" spans="1:23" s="64" customFormat="1" x14ac:dyDescent="0.25">
      <c r="B35" s="77"/>
      <c r="C35" s="75"/>
      <c r="D35" s="75"/>
      <c r="E35" s="78"/>
      <c r="F35" s="77"/>
      <c r="G35" s="75"/>
      <c r="H35" s="75"/>
      <c r="I35" s="78"/>
      <c r="J35" s="77"/>
      <c r="K35" s="75"/>
      <c r="L35" s="75"/>
      <c r="M35" s="78"/>
      <c r="N35" s="67"/>
      <c r="O35" s="67"/>
      <c r="P35" s="68"/>
      <c r="U35" s="67"/>
      <c r="V35" s="68"/>
    </row>
    <row r="36" spans="1:23" s="64" customFormat="1" x14ac:dyDescent="0.25">
      <c r="B36" s="77" t="s">
        <v>28</v>
      </c>
      <c r="C36" s="76">
        <v>0.8</v>
      </c>
      <c r="D36" s="76">
        <v>0.8</v>
      </c>
      <c r="E36" s="79">
        <v>0.8</v>
      </c>
      <c r="F36" s="77" t="s">
        <v>28</v>
      </c>
      <c r="G36" s="76">
        <v>1</v>
      </c>
      <c r="H36" s="76">
        <v>1</v>
      </c>
      <c r="I36" s="79">
        <v>0</v>
      </c>
      <c r="J36" s="77" t="s">
        <v>28</v>
      </c>
      <c r="K36" s="76">
        <v>1</v>
      </c>
      <c r="L36" s="76">
        <v>1</v>
      </c>
      <c r="M36" s="79">
        <v>0</v>
      </c>
      <c r="N36" s="67"/>
      <c r="O36" s="67"/>
      <c r="P36" s="68"/>
      <c r="U36" s="67"/>
      <c r="V36" s="68"/>
    </row>
    <row r="37" spans="1:23" s="64" customFormat="1" ht="14.4" thickBot="1" x14ac:dyDescent="0.3">
      <c r="B37" s="77" t="s">
        <v>26</v>
      </c>
      <c r="C37" s="76">
        <v>0.95</v>
      </c>
      <c r="D37" s="76">
        <v>0.95</v>
      </c>
      <c r="E37" s="79">
        <v>0.95</v>
      </c>
      <c r="F37" s="77" t="s">
        <v>26</v>
      </c>
      <c r="G37" s="76">
        <v>0.3</v>
      </c>
      <c r="H37" s="76">
        <v>0.3</v>
      </c>
      <c r="I37" s="79">
        <v>0.3</v>
      </c>
      <c r="J37" s="77" t="s">
        <v>26</v>
      </c>
      <c r="K37" s="76">
        <v>0.3</v>
      </c>
      <c r="L37" s="76">
        <v>0.3</v>
      </c>
      <c r="M37" s="79">
        <v>0.3</v>
      </c>
      <c r="N37" s="67"/>
      <c r="O37" s="67"/>
      <c r="P37" s="68"/>
      <c r="U37" s="67"/>
      <c r="V37" s="68"/>
    </row>
    <row r="38" spans="1:23" s="64" customFormat="1" ht="14.4" hidden="1" thickBot="1" x14ac:dyDescent="0.3">
      <c r="B38" s="86"/>
      <c r="C38" s="87"/>
      <c r="D38" s="87"/>
      <c r="E38" s="88"/>
      <c r="F38" s="89"/>
      <c r="G38" s="87"/>
      <c r="H38" s="87"/>
      <c r="I38" s="88"/>
      <c r="J38" s="89"/>
      <c r="K38" s="87"/>
      <c r="L38" s="87"/>
      <c r="M38" s="88"/>
      <c r="N38" s="67"/>
      <c r="O38" s="67"/>
      <c r="P38" s="68"/>
      <c r="U38" s="67">
        <f>-PMT(Assumptions!$B$16,$A44,Assumptions!$C$35)/Assumptions!$B$7*1000000</f>
        <v>0</v>
      </c>
      <c r="V38" s="68" t="e">
        <f>+#REF!+U38+W38</f>
        <v>#REF!</v>
      </c>
    </row>
    <row r="39" spans="1:23" s="64" customFormat="1" ht="27.6" x14ac:dyDescent="0.25">
      <c r="A39" s="142" t="s">
        <v>18</v>
      </c>
      <c r="B39" s="100"/>
      <c r="C39" s="72"/>
      <c r="D39" s="72"/>
      <c r="E39" s="101"/>
      <c r="F39" s="100"/>
      <c r="G39" s="72"/>
      <c r="H39" s="72"/>
      <c r="I39" s="101"/>
      <c r="J39" s="100"/>
      <c r="K39" s="72"/>
      <c r="L39" s="72"/>
      <c r="M39" s="101"/>
      <c r="N39" s="67"/>
      <c r="O39" s="67"/>
      <c r="P39" s="68"/>
      <c r="U39" s="67"/>
      <c r="V39" s="68"/>
    </row>
    <row r="40" spans="1:23" x14ac:dyDescent="0.25">
      <c r="A40" s="143">
        <v>5</v>
      </c>
      <c r="B40" s="93">
        <f>-PMT(Assumptions!$B$21,$A40,Assumptions!$B$35)/Assumptions!$B$7*1000000</f>
        <v>1.3982932223895045E-2</v>
      </c>
      <c r="C40" s="68">
        <f t="shared" ref="C40:E44" si="6">$B40*C$36*C$37</f>
        <v>1.0627028490160234E-2</v>
      </c>
      <c r="D40" s="68">
        <f t="shared" si="6"/>
        <v>1.0627028490160234E-2</v>
      </c>
      <c r="E40" s="80">
        <f t="shared" si="6"/>
        <v>1.0627028490160234E-2</v>
      </c>
      <c r="F40" s="93">
        <f>-PMT(Assumptions!$B$19,$A40,Assumptions!$C$28)/Assumptions!$B$7*1000000</f>
        <v>3.0099283295117553E-2</v>
      </c>
      <c r="G40" s="68">
        <f t="shared" ref="G40:I44" si="7">$F40*G$36*G$37</f>
        <v>9.0297849885352648E-3</v>
      </c>
      <c r="H40" s="68">
        <f t="shared" si="7"/>
        <v>9.0297849885352648E-3</v>
      </c>
      <c r="I40" s="68">
        <f t="shared" si="7"/>
        <v>0</v>
      </c>
      <c r="J40" s="93">
        <f>-PMT(Assumptions!$B$20,$A40,Assumptions!$D$28)/Assumptions!$B$7*1000000</f>
        <v>2.4620681835143054E-2</v>
      </c>
      <c r="K40" s="68">
        <f t="shared" ref="K40:M44" si="8">$J40*K$36*K$37</f>
        <v>7.3862045505429155E-3</v>
      </c>
      <c r="L40" s="68">
        <f t="shared" si="8"/>
        <v>7.3862045505429155E-3</v>
      </c>
      <c r="M40" s="80">
        <f t="shared" si="8"/>
        <v>0</v>
      </c>
      <c r="N40" s="58"/>
      <c r="O40" s="58"/>
      <c r="P40" s="59"/>
      <c r="U40" s="58"/>
      <c r="V40" s="59"/>
    </row>
    <row r="41" spans="1:23" x14ac:dyDescent="0.25">
      <c r="A41" s="143">
        <v>7</v>
      </c>
      <c r="B41" s="93">
        <f>-PMT(Assumptions!$B$21,$A41,Assumptions!$B$35)/Assumptions!$B$7*1000000</f>
        <v>1.0587178475497654E-2</v>
      </c>
      <c r="C41" s="68">
        <f t="shared" si="6"/>
        <v>8.0462556413782166E-3</v>
      </c>
      <c r="D41" s="68">
        <f t="shared" si="6"/>
        <v>8.0462556413782166E-3</v>
      </c>
      <c r="E41" s="80">
        <f t="shared" si="6"/>
        <v>8.0462556413782166E-3</v>
      </c>
      <c r="F41" s="93">
        <f>-PMT(Assumptions!$B$19,$A41,Assumptions!$C$28)/Assumptions!$B$7*1000000</f>
        <v>2.2789675236029133E-2</v>
      </c>
      <c r="G41" s="68">
        <f t="shared" si="7"/>
        <v>6.8369025708087394E-3</v>
      </c>
      <c r="H41" s="68">
        <f t="shared" si="7"/>
        <v>6.8369025708087394E-3</v>
      </c>
      <c r="I41" s="68">
        <f t="shared" si="7"/>
        <v>0</v>
      </c>
      <c r="J41" s="93">
        <f>-PMT(Assumptions!$B$20,$A41,Assumptions!$D$28)/Assumptions!$B$7*1000000</f>
        <v>1.9027769451217608E-2</v>
      </c>
      <c r="K41" s="68">
        <f t="shared" si="8"/>
        <v>5.7083308353652823E-3</v>
      </c>
      <c r="L41" s="68">
        <f t="shared" si="8"/>
        <v>5.7083308353652823E-3</v>
      </c>
      <c r="M41" s="80">
        <f t="shared" si="8"/>
        <v>0</v>
      </c>
      <c r="N41" s="61"/>
      <c r="O41" s="58"/>
      <c r="P41" s="59"/>
      <c r="U41" s="58"/>
      <c r="V41" s="59"/>
    </row>
    <row r="42" spans="1:23" x14ac:dyDescent="0.25">
      <c r="A42" s="143">
        <v>10</v>
      </c>
      <c r="B42" s="93">
        <f>-PMT(Assumptions!$B$21,$A42,Assumptions!$B$35)/Assumptions!$B$7*1000000</f>
        <v>8.0687551701668133E-3</v>
      </c>
      <c r="C42" s="68">
        <f t="shared" si="6"/>
        <v>6.1322539293267786E-3</v>
      </c>
      <c r="D42" s="68">
        <f t="shared" si="6"/>
        <v>6.1322539293267786E-3</v>
      </c>
      <c r="E42" s="80">
        <f t="shared" si="6"/>
        <v>6.1322539293267786E-3</v>
      </c>
      <c r="F42" s="93">
        <f>-PMT(Assumptions!$B$19,$A42,Assumptions!$C$28)/Assumptions!$B$7*1000000</f>
        <v>1.7368585059060231E-2</v>
      </c>
      <c r="G42" s="68">
        <f t="shared" si="7"/>
        <v>5.2105755177180692E-3</v>
      </c>
      <c r="H42" s="68">
        <f t="shared" si="7"/>
        <v>5.2105755177180692E-3</v>
      </c>
      <c r="I42" s="68">
        <f t="shared" si="7"/>
        <v>0</v>
      </c>
      <c r="J42" s="93">
        <f>-PMT(Assumptions!$B$20,$A42,Assumptions!$D$28)/Assumptions!$B$7*1000000</f>
        <v>1.4922245882224267E-2</v>
      </c>
      <c r="K42" s="68">
        <f t="shared" si="8"/>
        <v>4.4766737646672796E-3</v>
      </c>
      <c r="L42" s="68">
        <f t="shared" si="8"/>
        <v>4.4766737646672796E-3</v>
      </c>
      <c r="M42" s="80">
        <f t="shared" si="8"/>
        <v>0</v>
      </c>
      <c r="N42" s="61"/>
      <c r="O42" s="58"/>
      <c r="P42" s="59"/>
      <c r="U42" s="58"/>
      <c r="V42" s="59"/>
    </row>
    <row r="43" spans="1:23" x14ac:dyDescent="0.25">
      <c r="A43" s="143">
        <v>12</v>
      </c>
      <c r="B43" s="93">
        <f>-PMT(Assumptions!$B$21,$A43,Assumptions!$B$35)/Assumptions!$B$7*1000000</f>
        <v>7.1049034938832209E-3</v>
      </c>
      <c r="C43" s="68">
        <f t="shared" si="6"/>
        <v>5.3997266553512478E-3</v>
      </c>
      <c r="D43" s="68">
        <f t="shared" si="6"/>
        <v>5.3997266553512478E-3</v>
      </c>
      <c r="E43" s="80">
        <f t="shared" si="6"/>
        <v>5.3997266553512478E-3</v>
      </c>
      <c r="F43" s="93">
        <f>-PMT(Assumptions!$B$19,$A43,Assumptions!$C$28)/Assumptions!$B$7*1000000</f>
        <v>1.5293823900641882E-2</v>
      </c>
      <c r="G43" s="68">
        <f t="shared" si="7"/>
        <v>4.5881471701925648E-3</v>
      </c>
      <c r="H43" s="68">
        <f t="shared" si="7"/>
        <v>4.5881471701925648E-3</v>
      </c>
      <c r="I43" s="68">
        <f t="shared" si="7"/>
        <v>0</v>
      </c>
      <c r="J43" s="93">
        <f>-PMT(Assumptions!$B$20,$A43,Assumptions!$D$28)/Assumptions!$B$7*1000000</f>
        <v>1.3373766274381051E-2</v>
      </c>
      <c r="K43" s="68">
        <f t="shared" si="8"/>
        <v>4.0121298823143151E-3</v>
      </c>
      <c r="L43" s="68">
        <f t="shared" si="8"/>
        <v>4.0121298823143151E-3</v>
      </c>
      <c r="M43" s="80">
        <f t="shared" si="8"/>
        <v>0</v>
      </c>
      <c r="N43" s="61"/>
      <c r="O43" s="58"/>
      <c r="P43" s="59"/>
      <c r="U43" s="58"/>
      <c r="V43" s="59"/>
    </row>
    <row r="44" spans="1:23" ht="14.4" thickBot="1" x14ac:dyDescent="0.3">
      <c r="A44" s="143">
        <v>15</v>
      </c>
      <c r="B44" s="94">
        <f>-PMT(Assumptions!$B$21,$A44,Assumptions!$B$35)/Assumptions!$B$7*1000000</f>
        <v>6.15928072001567E-3</v>
      </c>
      <c r="C44" s="81">
        <f t="shared" si="6"/>
        <v>4.6810533472119087E-3</v>
      </c>
      <c r="D44" s="81">
        <f t="shared" si="6"/>
        <v>4.6810533472119087E-3</v>
      </c>
      <c r="E44" s="82">
        <f t="shared" si="6"/>
        <v>4.6810533472119087E-3</v>
      </c>
      <c r="F44" s="94">
        <f>-PMT(Assumptions!$B$19,$A44,Assumptions!$C$28)/Assumptions!$B$7*1000000</f>
        <v>1.3258301786595199E-2</v>
      </c>
      <c r="G44" s="81">
        <f t="shared" si="7"/>
        <v>3.9774905359785595E-3</v>
      </c>
      <c r="H44" s="81">
        <f t="shared" si="7"/>
        <v>3.9774905359785595E-3</v>
      </c>
      <c r="I44" s="81">
        <f t="shared" si="7"/>
        <v>0</v>
      </c>
      <c r="J44" s="94">
        <f>-PMT(Assumptions!$B$20,$A44,Assumptions!$D$28)/Assumptions!$B$7*1000000</f>
        <v>1.1880606357387337E-2</v>
      </c>
      <c r="K44" s="81">
        <f t="shared" si="8"/>
        <v>3.5641819072162011E-3</v>
      </c>
      <c r="L44" s="81">
        <f t="shared" si="8"/>
        <v>3.5641819072162011E-3</v>
      </c>
      <c r="M44" s="82">
        <f t="shared" si="8"/>
        <v>0</v>
      </c>
      <c r="N44" s="58"/>
      <c r="O44" s="58"/>
    </row>
    <row r="45" spans="1:23" x14ac:dyDescent="0.25">
      <c r="A45" s="60"/>
      <c r="B45" s="60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</row>
    <row r="46" spans="1:23" x14ac:dyDescent="0.25">
      <c r="A46" s="60"/>
      <c r="B46" s="60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</row>
    <row r="47" spans="1:23" x14ac:dyDescent="0.25">
      <c r="A47" s="60"/>
      <c r="B47" s="60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</row>
    <row r="48" spans="1:23" x14ac:dyDescent="0.25">
      <c r="A48" s="63"/>
      <c r="B48" s="63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145"/>
      <c r="Q48" s="145"/>
      <c r="R48" s="145"/>
      <c r="S48" s="145"/>
      <c r="T48" s="145"/>
      <c r="U48" s="145"/>
      <c r="V48" s="64"/>
    </row>
    <row r="49" spans="1:23" s="57" customFormat="1" x14ac:dyDescent="0.25">
      <c r="A49" s="62"/>
      <c r="B49" s="62"/>
      <c r="C49" s="62"/>
      <c r="D49" s="62"/>
      <c r="E49" s="62"/>
      <c r="F49" s="62"/>
      <c r="G49" s="65"/>
      <c r="H49" s="65"/>
      <c r="I49" s="65"/>
      <c r="J49" s="65"/>
      <c r="K49" s="65"/>
      <c r="L49" s="65"/>
      <c r="M49" s="65"/>
      <c r="N49" s="65"/>
      <c r="O49" s="62"/>
      <c r="P49" s="62"/>
      <c r="Q49" s="62"/>
      <c r="R49" s="62"/>
      <c r="S49" s="62"/>
      <c r="T49" s="62"/>
      <c r="U49" s="62"/>
      <c r="V49" s="62"/>
      <c r="W49" s="62"/>
    </row>
    <row r="50" spans="1:23" x14ac:dyDescent="0.25">
      <c r="A50" s="66"/>
      <c r="B50" s="66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8"/>
      <c r="Q50" s="64"/>
      <c r="R50" s="64"/>
      <c r="S50" s="64"/>
      <c r="T50" s="64"/>
      <c r="U50" s="67"/>
      <c r="V50" s="68"/>
    </row>
    <row r="51" spans="1:23" x14ac:dyDescent="0.25">
      <c r="A51" s="66"/>
      <c r="B51" s="66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8"/>
      <c r="Q51" s="64"/>
      <c r="R51" s="64"/>
      <c r="S51" s="64"/>
      <c r="T51" s="64"/>
      <c r="U51" s="67"/>
      <c r="V51" s="68"/>
    </row>
    <row r="52" spans="1:23" x14ac:dyDescent="0.25">
      <c r="A52" s="66"/>
      <c r="B52" s="66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8"/>
      <c r="Q52" s="64"/>
      <c r="R52" s="64"/>
      <c r="S52" s="64"/>
      <c r="T52" s="64"/>
      <c r="U52" s="67"/>
      <c r="V52" s="68"/>
    </row>
    <row r="53" spans="1:23" x14ac:dyDescent="0.25">
      <c r="A53" s="66"/>
      <c r="B53" s="66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8"/>
      <c r="Q53" s="64"/>
      <c r="R53" s="64"/>
      <c r="S53" s="64"/>
      <c r="T53" s="64"/>
      <c r="U53" s="67"/>
      <c r="V53" s="68"/>
    </row>
    <row r="54" spans="1:23" x14ac:dyDescent="0.25">
      <c r="A54" s="66"/>
      <c r="B54" s="66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8"/>
      <c r="Q54" s="64"/>
      <c r="R54" s="64"/>
      <c r="S54" s="64"/>
      <c r="T54" s="64"/>
      <c r="U54" s="67"/>
      <c r="V54" s="68"/>
    </row>
  </sheetData>
  <mergeCells count="12">
    <mergeCell ref="P32:U32"/>
    <mergeCell ref="B33:E33"/>
    <mergeCell ref="F33:I33"/>
    <mergeCell ref="J33:M33"/>
    <mergeCell ref="P48:U48"/>
    <mergeCell ref="B3:E3"/>
    <mergeCell ref="F3:I3"/>
    <mergeCell ref="J3:M3"/>
    <mergeCell ref="B18:E18"/>
    <mergeCell ref="F18:I18"/>
    <mergeCell ref="J18:M18"/>
    <mergeCell ref="P8:U8"/>
  </mergeCells>
  <phoneticPr fontId="0" type="noConversion"/>
  <pageMargins left="0.75" right="0.75" top="1" bottom="1" header="0.5" footer="0.5"/>
  <pageSetup scale="48" fitToHeight="0" orientation="landscape" r:id="rId1"/>
  <headerFooter alignWithMargins="0">
    <oddHeader>&amp;C&amp;"Arial,Bold"&amp;14POTENTIAL EXPOSURE OF CALIFORNIA DIRECT ACCESS CUSTOMERS&amp;R&amp;D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Assumptions</vt:lpstr>
      <vt:lpstr>Legacy</vt:lpstr>
      <vt:lpstr>New</vt:lpstr>
      <vt:lpstr>Assumptions!Print_Area</vt:lpstr>
      <vt:lpstr>Legacy!Print_Area</vt:lpstr>
      <vt:lpstr>New!Print_Area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jthome</dc:creator>
  <cp:lastModifiedBy>Havlíček Jan</cp:lastModifiedBy>
  <cp:lastPrinted>2001-08-26T21:04:33Z</cp:lastPrinted>
  <dcterms:created xsi:type="dcterms:W3CDTF">2001-08-26T16:20:35Z</dcterms:created>
  <dcterms:modified xsi:type="dcterms:W3CDTF">2023-09-10T16:06:24Z</dcterms:modified>
</cp:coreProperties>
</file>