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68" windowWidth="9252" windowHeight="4848" activeTab="1"/>
  </bookViews>
  <sheets>
    <sheet name="Discounted Proposal" sheetId="13" r:id="rId1"/>
    <sheet name="Koch Tx - FgtZ2" sheetId="2" r:id="rId2"/>
    <sheet name="Koch Tx - FgtZ3" sheetId="10" r:id="rId3"/>
    <sheet name="Koch Tx - Holmesville" sheetId="11" r:id="rId4"/>
    <sheet name="LRC - Homesville" sheetId="3" r:id="rId5"/>
    <sheet name="Bayside - LRC" sheetId="4" r:id="rId6"/>
    <sheet name="LRC - FgtZ2" sheetId="7" r:id="rId7"/>
    <sheet name="LRC - FgtZ3" sheetId="6" r:id="rId8"/>
    <sheet name="LRC - CGT" sheetId="8" r:id="rId9"/>
    <sheet name="Sheet3" sheetId="12" r:id="rId10"/>
    <sheet name="Curves" sheetId="9" r:id="rId11"/>
  </sheets>
  <externalReferences>
    <externalReference r:id="rId12"/>
  </externalReferences>
  <definedNames>
    <definedName name="CurveTbl">[1]Curves!$C$11:$AM$72</definedName>
    <definedName name="_xlnm.Print_Area" localSheetId="0">'Discounted Proposal'!$A$1:$G$47</definedName>
    <definedName name="_xlnm.Print_Area" localSheetId="1">'Koch Tx - FgtZ2'!$A$1:$N$35</definedName>
    <definedName name="_xlnm.Print_Area" localSheetId="2">'Koch Tx - FgtZ3'!$A$1:$O$32</definedName>
    <definedName name="_xlnm.Print_Area" localSheetId="3">'Koch Tx - Holmesville'!$A$1:$O$32</definedName>
    <definedName name="_xlnm.Print_Area" localSheetId="4">'LRC - Homesville'!$A$1:$O$34</definedName>
  </definedNames>
  <calcPr calcId="0"/>
</workbook>
</file>

<file path=xl/calcChain.xml><?xml version="1.0" encoding="utf-8"?>
<calcChain xmlns="http://schemas.openxmlformats.org/spreadsheetml/2006/main">
  <c r="D9" i="4" l="1"/>
  <c r="E9" i="4"/>
  <c r="H9" i="4"/>
  <c r="J9" i="4"/>
  <c r="D10" i="4"/>
  <c r="E10" i="4"/>
  <c r="H10" i="4"/>
  <c r="J10" i="4"/>
  <c r="D11" i="4"/>
  <c r="E11" i="4"/>
  <c r="J11" i="4"/>
  <c r="C12" i="4"/>
  <c r="D12" i="4"/>
  <c r="E12" i="4"/>
  <c r="F12" i="4"/>
  <c r="G12" i="4"/>
  <c r="H12" i="4"/>
  <c r="J12" i="4"/>
  <c r="K12" i="4"/>
  <c r="L12" i="4"/>
  <c r="M12" i="4"/>
  <c r="N12" i="4"/>
  <c r="C13" i="4"/>
  <c r="D13" i="4"/>
  <c r="E13" i="4"/>
  <c r="F13" i="4"/>
  <c r="G13" i="4"/>
  <c r="H13" i="4"/>
  <c r="J13" i="4"/>
  <c r="K13" i="4"/>
  <c r="L13" i="4"/>
  <c r="M13" i="4"/>
  <c r="N13" i="4"/>
  <c r="C14" i="4"/>
  <c r="D14" i="4"/>
  <c r="E14" i="4"/>
  <c r="F14" i="4"/>
  <c r="G14" i="4"/>
  <c r="H14" i="4"/>
  <c r="J14" i="4"/>
  <c r="K14" i="4"/>
  <c r="L14" i="4"/>
  <c r="M14" i="4"/>
  <c r="N14" i="4"/>
  <c r="C15" i="4"/>
  <c r="D15" i="4"/>
  <c r="E15" i="4"/>
  <c r="F15" i="4"/>
  <c r="G15" i="4"/>
  <c r="H15" i="4"/>
  <c r="J15" i="4"/>
  <c r="K15" i="4"/>
  <c r="L15" i="4"/>
  <c r="M15" i="4"/>
  <c r="N15" i="4"/>
  <c r="C16" i="4"/>
  <c r="D16" i="4"/>
  <c r="E16" i="4"/>
  <c r="F16" i="4"/>
  <c r="G16" i="4"/>
  <c r="H16" i="4"/>
  <c r="J16" i="4"/>
  <c r="K16" i="4"/>
  <c r="L16" i="4"/>
  <c r="M16" i="4"/>
  <c r="N16" i="4"/>
  <c r="C17" i="4"/>
  <c r="D17" i="4"/>
  <c r="E17" i="4"/>
  <c r="F17" i="4"/>
  <c r="G17" i="4"/>
  <c r="H17" i="4"/>
  <c r="J17" i="4"/>
  <c r="K17" i="4"/>
  <c r="L17" i="4"/>
  <c r="M17" i="4"/>
  <c r="N17" i="4"/>
  <c r="D18" i="4"/>
  <c r="E18" i="4"/>
  <c r="F18" i="4"/>
  <c r="G18" i="4"/>
  <c r="H18" i="4"/>
  <c r="J18" i="4"/>
  <c r="K18" i="4"/>
  <c r="L18" i="4"/>
  <c r="M18" i="4"/>
  <c r="N18" i="4"/>
  <c r="D19" i="4"/>
  <c r="E19" i="4"/>
  <c r="F19" i="4"/>
  <c r="G19" i="4"/>
  <c r="H19" i="4"/>
  <c r="J19" i="4"/>
  <c r="K19" i="4"/>
  <c r="L19" i="4"/>
  <c r="M19" i="4"/>
  <c r="N19" i="4"/>
  <c r="C20" i="4"/>
  <c r="D20" i="4"/>
  <c r="E20" i="4"/>
  <c r="F20" i="4"/>
  <c r="G20" i="4"/>
  <c r="H20" i="4"/>
  <c r="J20" i="4"/>
  <c r="K20" i="4"/>
  <c r="L20" i="4"/>
  <c r="M20" i="4"/>
  <c r="N20" i="4"/>
  <c r="C21" i="4"/>
  <c r="D21" i="4"/>
  <c r="E21" i="4"/>
  <c r="F21" i="4"/>
  <c r="G21" i="4"/>
  <c r="H21" i="4"/>
  <c r="J21" i="4"/>
  <c r="K21" i="4"/>
  <c r="L21" i="4"/>
  <c r="M21" i="4"/>
  <c r="N21" i="4"/>
  <c r="C22" i="4"/>
  <c r="D22" i="4"/>
  <c r="E22" i="4"/>
  <c r="F22" i="4"/>
  <c r="G22" i="4"/>
  <c r="H22" i="4"/>
  <c r="J22" i="4"/>
  <c r="K22" i="4"/>
  <c r="L22" i="4"/>
  <c r="M22" i="4"/>
  <c r="N22" i="4"/>
  <c r="D23" i="4"/>
  <c r="E23" i="4"/>
  <c r="F23" i="4"/>
  <c r="G23" i="4"/>
  <c r="H23" i="4"/>
  <c r="J23" i="4"/>
  <c r="K23" i="4"/>
  <c r="L23" i="4"/>
  <c r="M23" i="4"/>
  <c r="N23" i="4"/>
  <c r="D24" i="4"/>
  <c r="E24" i="4"/>
  <c r="H24" i="4"/>
  <c r="J24" i="4"/>
  <c r="K24" i="4"/>
  <c r="L24" i="4"/>
  <c r="M24" i="4"/>
  <c r="N24" i="4"/>
  <c r="D25" i="4"/>
  <c r="E25" i="4"/>
  <c r="H25" i="4"/>
  <c r="J25" i="4"/>
  <c r="K25" i="4"/>
  <c r="L25" i="4"/>
  <c r="M25" i="4"/>
  <c r="N25" i="4"/>
  <c r="D26" i="4"/>
  <c r="E26" i="4"/>
  <c r="H26" i="4"/>
  <c r="J26" i="4"/>
  <c r="K26" i="4"/>
  <c r="L26" i="4"/>
  <c r="M26" i="4"/>
  <c r="N26" i="4"/>
  <c r="E28" i="4"/>
  <c r="H28" i="4"/>
  <c r="J28" i="4"/>
  <c r="L28" i="4"/>
  <c r="M28" i="4"/>
  <c r="N28" i="4"/>
  <c r="J29" i="4"/>
  <c r="N29" i="4"/>
  <c r="F30" i="4"/>
  <c r="L40" i="4"/>
  <c r="E5" i="9"/>
  <c r="H5" i="9"/>
  <c r="K5" i="9"/>
  <c r="N5" i="9"/>
  <c r="Q5" i="9"/>
  <c r="T5" i="9"/>
  <c r="W5" i="9"/>
  <c r="E6" i="9"/>
  <c r="H6" i="9"/>
  <c r="K6" i="9"/>
  <c r="N6" i="9"/>
  <c r="Q6" i="9"/>
  <c r="T6" i="9"/>
  <c r="W6" i="9"/>
  <c r="Y10" i="9"/>
  <c r="Y11" i="9"/>
  <c r="Y12" i="9"/>
  <c r="Y13" i="9"/>
  <c r="Y14" i="9"/>
  <c r="Y15" i="9"/>
  <c r="Y16" i="9"/>
  <c r="Y17" i="9"/>
  <c r="Y18" i="9"/>
  <c r="E19" i="9"/>
  <c r="H19" i="9"/>
  <c r="K19" i="9"/>
  <c r="N19" i="9"/>
  <c r="Q19" i="9"/>
  <c r="T19" i="9"/>
  <c r="W19" i="9"/>
  <c r="E20" i="9"/>
  <c r="H20" i="9"/>
  <c r="K20" i="9"/>
  <c r="N20" i="9"/>
  <c r="Q20" i="9"/>
  <c r="T20" i="9"/>
  <c r="W20" i="9"/>
  <c r="E21" i="9"/>
  <c r="H21" i="9"/>
  <c r="K21" i="9"/>
  <c r="N21" i="9"/>
  <c r="Q21" i="9"/>
  <c r="T21" i="9"/>
  <c r="W21" i="9"/>
  <c r="E22" i="9"/>
  <c r="H22" i="9"/>
  <c r="K22" i="9"/>
  <c r="N22" i="9"/>
  <c r="Q22" i="9"/>
  <c r="T22" i="9"/>
  <c r="W22" i="9"/>
  <c r="E23" i="9"/>
  <c r="H23" i="9"/>
  <c r="K23" i="9"/>
  <c r="N23" i="9"/>
  <c r="Q23" i="9"/>
  <c r="T23" i="9"/>
  <c r="W23" i="9"/>
  <c r="E24" i="9"/>
  <c r="H24" i="9"/>
  <c r="K24" i="9"/>
  <c r="N24" i="9"/>
  <c r="Q24" i="9"/>
  <c r="T24" i="9"/>
  <c r="W24" i="9"/>
  <c r="E25" i="9"/>
  <c r="H25" i="9"/>
  <c r="K25" i="9"/>
  <c r="N25" i="9"/>
  <c r="Q25" i="9"/>
  <c r="T25" i="9"/>
  <c r="W25" i="9"/>
  <c r="E26" i="9"/>
  <c r="H26" i="9"/>
  <c r="K26" i="9"/>
  <c r="N26" i="9"/>
  <c r="Q26" i="9"/>
  <c r="T26" i="9"/>
  <c r="W26" i="9"/>
  <c r="E27" i="9"/>
  <c r="H27" i="9"/>
  <c r="K27" i="9"/>
  <c r="N27" i="9"/>
  <c r="Q27" i="9"/>
  <c r="T27" i="9"/>
  <c r="W27" i="9"/>
  <c r="E28" i="9"/>
  <c r="H28" i="9"/>
  <c r="K28" i="9"/>
  <c r="N28" i="9"/>
  <c r="Q28" i="9"/>
  <c r="T28" i="9"/>
  <c r="W28" i="9"/>
  <c r="E29" i="9"/>
  <c r="H29" i="9"/>
  <c r="K29" i="9"/>
  <c r="N29" i="9"/>
  <c r="Q29" i="9"/>
  <c r="T29" i="9"/>
  <c r="W29" i="9"/>
  <c r="E30" i="9"/>
  <c r="H30" i="9"/>
  <c r="K30" i="9"/>
  <c r="N30" i="9"/>
  <c r="Q30" i="9"/>
  <c r="T30" i="9"/>
  <c r="W30" i="9"/>
  <c r="F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C10" i="13"/>
  <c r="F10" i="13"/>
  <c r="D9" i="2"/>
  <c r="E9" i="2"/>
  <c r="H9" i="2"/>
  <c r="J9" i="2"/>
  <c r="D10" i="2"/>
  <c r="E10" i="2"/>
  <c r="H10" i="2"/>
  <c r="J10" i="2"/>
  <c r="D11" i="2"/>
  <c r="E11" i="2"/>
  <c r="J11" i="2"/>
  <c r="C12" i="2"/>
  <c r="D12" i="2"/>
  <c r="E12" i="2"/>
  <c r="F12" i="2"/>
  <c r="G12" i="2"/>
  <c r="H12" i="2"/>
  <c r="J12" i="2"/>
  <c r="K12" i="2"/>
  <c r="L12" i="2"/>
  <c r="M12" i="2"/>
  <c r="N12" i="2"/>
  <c r="C13" i="2"/>
  <c r="D13" i="2"/>
  <c r="E13" i="2"/>
  <c r="F13" i="2"/>
  <c r="G13" i="2"/>
  <c r="H13" i="2"/>
  <c r="J13" i="2"/>
  <c r="K13" i="2"/>
  <c r="L13" i="2"/>
  <c r="M13" i="2"/>
  <c r="N13" i="2"/>
  <c r="C14" i="2"/>
  <c r="D14" i="2"/>
  <c r="E14" i="2"/>
  <c r="F14" i="2"/>
  <c r="G14" i="2"/>
  <c r="H14" i="2"/>
  <c r="J14" i="2"/>
  <c r="K14" i="2"/>
  <c r="L14" i="2"/>
  <c r="M14" i="2"/>
  <c r="N14" i="2"/>
  <c r="C15" i="2"/>
  <c r="D15" i="2"/>
  <c r="E15" i="2"/>
  <c r="F15" i="2"/>
  <c r="G15" i="2"/>
  <c r="H15" i="2"/>
  <c r="J15" i="2"/>
  <c r="K15" i="2"/>
  <c r="L15" i="2"/>
  <c r="M15" i="2"/>
  <c r="N15" i="2"/>
  <c r="C16" i="2"/>
  <c r="D16" i="2"/>
  <c r="E16" i="2"/>
  <c r="F16" i="2"/>
  <c r="G16" i="2"/>
  <c r="H16" i="2"/>
  <c r="J16" i="2"/>
  <c r="K16" i="2"/>
  <c r="L16" i="2"/>
  <c r="M16" i="2"/>
  <c r="N16" i="2"/>
  <c r="C17" i="2"/>
  <c r="D17" i="2"/>
  <c r="E17" i="2"/>
  <c r="F17" i="2"/>
  <c r="G17" i="2"/>
  <c r="H17" i="2"/>
  <c r="J17" i="2"/>
  <c r="K17" i="2"/>
  <c r="L17" i="2"/>
  <c r="M17" i="2"/>
  <c r="N17" i="2"/>
  <c r="D18" i="2"/>
  <c r="E18" i="2"/>
  <c r="F18" i="2"/>
  <c r="G18" i="2"/>
  <c r="H18" i="2"/>
  <c r="J18" i="2"/>
  <c r="K18" i="2"/>
  <c r="L18" i="2"/>
  <c r="M18" i="2"/>
  <c r="N18" i="2"/>
  <c r="D19" i="2"/>
  <c r="E19" i="2"/>
  <c r="F19" i="2"/>
  <c r="G19" i="2"/>
  <c r="H19" i="2"/>
  <c r="J19" i="2"/>
  <c r="K19" i="2"/>
  <c r="L19" i="2"/>
  <c r="M19" i="2"/>
  <c r="N19" i="2"/>
  <c r="C20" i="2"/>
  <c r="D20" i="2"/>
  <c r="E20" i="2"/>
  <c r="F20" i="2"/>
  <c r="G20" i="2"/>
  <c r="H20" i="2"/>
  <c r="J20" i="2"/>
  <c r="K20" i="2"/>
  <c r="L20" i="2"/>
  <c r="M20" i="2"/>
  <c r="N20" i="2"/>
  <c r="C21" i="2"/>
  <c r="D21" i="2"/>
  <c r="E21" i="2"/>
  <c r="F21" i="2"/>
  <c r="G21" i="2"/>
  <c r="H21" i="2"/>
  <c r="J21" i="2"/>
  <c r="K21" i="2"/>
  <c r="L21" i="2"/>
  <c r="M21" i="2"/>
  <c r="N21" i="2"/>
  <c r="C22" i="2"/>
  <c r="D22" i="2"/>
  <c r="E22" i="2"/>
  <c r="F22" i="2"/>
  <c r="G22" i="2"/>
  <c r="H22" i="2"/>
  <c r="J22" i="2"/>
  <c r="K22" i="2"/>
  <c r="L22" i="2"/>
  <c r="M22" i="2"/>
  <c r="N22" i="2"/>
  <c r="D23" i="2"/>
  <c r="E23" i="2"/>
  <c r="F23" i="2"/>
  <c r="G23" i="2"/>
  <c r="H23" i="2"/>
  <c r="J23" i="2"/>
  <c r="K23" i="2"/>
  <c r="L23" i="2"/>
  <c r="M23" i="2"/>
  <c r="N23" i="2"/>
  <c r="D24" i="2"/>
  <c r="E24" i="2"/>
  <c r="H24" i="2"/>
  <c r="J24" i="2"/>
  <c r="K24" i="2"/>
  <c r="L24" i="2"/>
  <c r="M24" i="2"/>
  <c r="N24" i="2"/>
  <c r="D25" i="2"/>
  <c r="E25" i="2"/>
  <c r="H25" i="2"/>
  <c r="J25" i="2"/>
  <c r="K25" i="2"/>
  <c r="L25" i="2"/>
  <c r="M25" i="2"/>
  <c r="N25" i="2"/>
  <c r="D26" i="2"/>
  <c r="E26" i="2"/>
  <c r="H26" i="2"/>
  <c r="J26" i="2"/>
  <c r="K26" i="2"/>
  <c r="L26" i="2"/>
  <c r="M26" i="2"/>
  <c r="N26" i="2"/>
  <c r="E28" i="2"/>
  <c r="H28" i="2"/>
  <c r="J28" i="2"/>
  <c r="L28" i="2"/>
  <c r="M28" i="2"/>
  <c r="N28" i="2"/>
  <c r="J29" i="2"/>
  <c r="N29" i="2"/>
  <c r="F30" i="2"/>
  <c r="D9" i="10"/>
  <c r="E9" i="10"/>
  <c r="H9" i="10"/>
  <c r="J9" i="10"/>
  <c r="D10" i="10"/>
  <c r="E10" i="10"/>
  <c r="H10" i="10"/>
  <c r="J10" i="10"/>
  <c r="D11" i="10"/>
  <c r="E11" i="10"/>
  <c r="J11" i="10"/>
  <c r="C12" i="10"/>
  <c r="D12" i="10"/>
  <c r="E12" i="10"/>
  <c r="F12" i="10"/>
  <c r="G12" i="10"/>
  <c r="H12" i="10"/>
  <c r="J12" i="10"/>
  <c r="K12" i="10"/>
  <c r="L12" i="10"/>
  <c r="M12" i="10"/>
  <c r="N12" i="10"/>
  <c r="C13" i="10"/>
  <c r="D13" i="10"/>
  <c r="E13" i="10"/>
  <c r="F13" i="10"/>
  <c r="G13" i="10"/>
  <c r="H13" i="10"/>
  <c r="J13" i="10"/>
  <c r="K13" i="10"/>
  <c r="L13" i="10"/>
  <c r="M13" i="10"/>
  <c r="N13" i="10"/>
  <c r="C14" i="10"/>
  <c r="D14" i="10"/>
  <c r="E14" i="10"/>
  <c r="F14" i="10"/>
  <c r="G14" i="10"/>
  <c r="H14" i="10"/>
  <c r="J14" i="10"/>
  <c r="K14" i="10"/>
  <c r="L14" i="10"/>
  <c r="M14" i="10"/>
  <c r="N14" i="10"/>
  <c r="C15" i="10"/>
  <c r="D15" i="10"/>
  <c r="E15" i="10"/>
  <c r="F15" i="10"/>
  <c r="G15" i="10"/>
  <c r="H15" i="10"/>
  <c r="J15" i="10"/>
  <c r="K15" i="10"/>
  <c r="L15" i="10"/>
  <c r="M15" i="10"/>
  <c r="N15" i="10"/>
  <c r="C16" i="10"/>
  <c r="D16" i="10"/>
  <c r="E16" i="10"/>
  <c r="F16" i="10"/>
  <c r="G16" i="10"/>
  <c r="H16" i="10"/>
  <c r="J16" i="10"/>
  <c r="K16" i="10"/>
  <c r="L16" i="10"/>
  <c r="M16" i="10"/>
  <c r="N16" i="10"/>
  <c r="C17" i="10"/>
  <c r="D17" i="10"/>
  <c r="E17" i="10"/>
  <c r="F17" i="10"/>
  <c r="G17" i="10"/>
  <c r="H17" i="10"/>
  <c r="J17" i="10"/>
  <c r="K17" i="10"/>
  <c r="L17" i="10"/>
  <c r="M17" i="10"/>
  <c r="N17" i="10"/>
  <c r="D18" i="10"/>
  <c r="E18" i="10"/>
  <c r="F18" i="10"/>
  <c r="G18" i="10"/>
  <c r="H18" i="10"/>
  <c r="J18" i="10"/>
  <c r="K18" i="10"/>
  <c r="L18" i="10"/>
  <c r="M18" i="10"/>
  <c r="N18" i="10"/>
  <c r="D19" i="10"/>
  <c r="E19" i="10"/>
  <c r="F19" i="10"/>
  <c r="G19" i="10"/>
  <c r="H19" i="10"/>
  <c r="J19" i="10"/>
  <c r="K19" i="10"/>
  <c r="L19" i="10"/>
  <c r="M19" i="10"/>
  <c r="N19" i="10"/>
  <c r="C20" i="10"/>
  <c r="D20" i="10"/>
  <c r="E20" i="10"/>
  <c r="F20" i="10"/>
  <c r="G20" i="10"/>
  <c r="H20" i="10"/>
  <c r="J20" i="10"/>
  <c r="K20" i="10"/>
  <c r="L20" i="10"/>
  <c r="M20" i="10"/>
  <c r="N20" i="10"/>
  <c r="C21" i="10"/>
  <c r="D21" i="10"/>
  <c r="E21" i="10"/>
  <c r="F21" i="10"/>
  <c r="G21" i="10"/>
  <c r="H21" i="10"/>
  <c r="J21" i="10"/>
  <c r="K21" i="10"/>
  <c r="L21" i="10"/>
  <c r="M21" i="10"/>
  <c r="N21" i="10"/>
  <c r="C22" i="10"/>
  <c r="D22" i="10"/>
  <c r="E22" i="10"/>
  <c r="F22" i="10"/>
  <c r="G22" i="10"/>
  <c r="H22" i="10"/>
  <c r="J22" i="10"/>
  <c r="K22" i="10"/>
  <c r="L22" i="10"/>
  <c r="M22" i="10"/>
  <c r="N22" i="10"/>
  <c r="D23" i="10"/>
  <c r="E23" i="10"/>
  <c r="F23" i="10"/>
  <c r="G23" i="10"/>
  <c r="H23" i="10"/>
  <c r="J23" i="10"/>
  <c r="K23" i="10"/>
  <c r="L23" i="10"/>
  <c r="M23" i="10"/>
  <c r="N23" i="10"/>
  <c r="D24" i="10"/>
  <c r="E24" i="10"/>
  <c r="H24" i="10"/>
  <c r="J24" i="10"/>
  <c r="K24" i="10"/>
  <c r="L24" i="10"/>
  <c r="M24" i="10"/>
  <c r="N24" i="10"/>
  <c r="D25" i="10"/>
  <c r="E25" i="10"/>
  <c r="H25" i="10"/>
  <c r="J25" i="10"/>
  <c r="K25" i="10"/>
  <c r="L25" i="10"/>
  <c r="M25" i="10"/>
  <c r="N25" i="10"/>
  <c r="D26" i="10"/>
  <c r="E26" i="10"/>
  <c r="H26" i="10"/>
  <c r="J26" i="10"/>
  <c r="K26" i="10"/>
  <c r="L26" i="10"/>
  <c r="M26" i="10"/>
  <c r="N26" i="10"/>
  <c r="E28" i="10"/>
  <c r="H28" i="10"/>
  <c r="J28" i="10"/>
  <c r="L28" i="10"/>
  <c r="M28" i="10"/>
  <c r="N28" i="10"/>
  <c r="J29" i="10"/>
  <c r="N29" i="10"/>
  <c r="F30" i="10"/>
  <c r="D9" i="11"/>
  <c r="E9" i="11"/>
  <c r="H9" i="11"/>
  <c r="J9" i="11"/>
  <c r="D10" i="11"/>
  <c r="E10" i="11"/>
  <c r="H10" i="11"/>
  <c r="J10" i="11"/>
  <c r="D11" i="11"/>
  <c r="E11" i="11"/>
  <c r="J11" i="11"/>
  <c r="C12" i="11"/>
  <c r="D12" i="11"/>
  <c r="E12" i="11"/>
  <c r="F12" i="11"/>
  <c r="G12" i="11"/>
  <c r="H12" i="11"/>
  <c r="J12" i="11"/>
  <c r="K12" i="11"/>
  <c r="L12" i="11"/>
  <c r="M12" i="11"/>
  <c r="N12" i="11"/>
  <c r="C13" i="11"/>
  <c r="D13" i="11"/>
  <c r="E13" i="11"/>
  <c r="F13" i="11"/>
  <c r="G13" i="11"/>
  <c r="H13" i="11"/>
  <c r="J13" i="11"/>
  <c r="K13" i="11"/>
  <c r="L13" i="11"/>
  <c r="M13" i="11"/>
  <c r="N13" i="11"/>
  <c r="C14" i="11"/>
  <c r="D14" i="11"/>
  <c r="E14" i="11"/>
  <c r="F14" i="11"/>
  <c r="G14" i="11"/>
  <c r="H14" i="11"/>
  <c r="J14" i="11"/>
  <c r="K14" i="11"/>
  <c r="L14" i="11"/>
  <c r="M14" i="11"/>
  <c r="N14" i="11"/>
  <c r="C15" i="11"/>
  <c r="D15" i="11"/>
  <c r="E15" i="11"/>
  <c r="F15" i="11"/>
  <c r="G15" i="11"/>
  <c r="H15" i="11"/>
  <c r="J15" i="11"/>
  <c r="K15" i="11"/>
  <c r="L15" i="11"/>
  <c r="M15" i="11"/>
  <c r="N15" i="11"/>
  <c r="C16" i="11"/>
  <c r="D16" i="11"/>
  <c r="E16" i="11"/>
  <c r="F16" i="11"/>
  <c r="G16" i="11"/>
  <c r="H16" i="11"/>
  <c r="J16" i="11"/>
  <c r="K16" i="11"/>
  <c r="L16" i="11"/>
  <c r="M16" i="11"/>
  <c r="N16" i="11"/>
  <c r="C17" i="11"/>
  <c r="D17" i="11"/>
  <c r="E17" i="11"/>
  <c r="F17" i="11"/>
  <c r="G17" i="11"/>
  <c r="H17" i="11"/>
  <c r="J17" i="11"/>
  <c r="K17" i="11"/>
  <c r="L17" i="11"/>
  <c r="M17" i="11"/>
  <c r="N17" i="11"/>
  <c r="D18" i="11"/>
  <c r="E18" i="11"/>
  <c r="F18" i="11"/>
  <c r="G18" i="11"/>
  <c r="H18" i="11"/>
  <c r="J18" i="11"/>
  <c r="K18" i="11"/>
  <c r="L18" i="11"/>
  <c r="M18" i="11"/>
  <c r="N18" i="11"/>
  <c r="D19" i="11"/>
  <c r="E19" i="11"/>
  <c r="F19" i="11"/>
  <c r="G19" i="11"/>
  <c r="H19" i="11"/>
  <c r="J19" i="11"/>
  <c r="K19" i="11"/>
  <c r="L19" i="11"/>
  <c r="M19" i="11"/>
  <c r="N19" i="11"/>
  <c r="C20" i="11"/>
  <c r="D20" i="11"/>
  <c r="E20" i="11"/>
  <c r="F20" i="11"/>
  <c r="G20" i="11"/>
  <c r="H20" i="11"/>
  <c r="J20" i="11"/>
  <c r="K20" i="11"/>
  <c r="L20" i="11"/>
  <c r="M20" i="11"/>
  <c r="N20" i="11"/>
  <c r="C21" i="11"/>
  <c r="D21" i="11"/>
  <c r="E21" i="11"/>
  <c r="F21" i="11"/>
  <c r="G21" i="11"/>
  <c r="H21" i="11"/>
  <c r="J21" i="11"/>
  <c r="K21" i="11"/>
  <c r="L21" i="11"/>
  <c r="M21" i="11"/>
  <c r="N21" i="11"/>
  <c r="C22" i="11"/>
  <c r="D22" i="11"/>
  <c r="E22" i="11"/>
  <c r="F22" i="11"/>
  <c r="G22" i="11"/>
  <c r="H22" i="11"/>
  <c r="J22" i="11"/>
  <c r="K22" i="11"/>
  <c r="L22" i="11"/>
  <c r="M22" i="11"/>
  <c r="N22" i="11"/>
  <c r="D23" i="11"/>
  <c r="E23" i="11"/>
  <c r="F23" i="11"/>
  <c r="G23" i="11"/>
  <c r="H23" i="11"/>
  <c r="J23" i="11"/>
  <c r="K23" i="11"/>
  <c r="L23" i="11"/>
  <c r="M23" i="11"/>
  <c r="N23" i="11"/>
  <c r="D24" i="11"/>
  <c r="E24" i="11"/>
  <c r="H24" i="11"/>
  <c r="J24" i="11"/>
  <c r="K24" i="11"/>
  <c r="L24" i="11"/>
  <c r="M24" i="11"/>
  <c r="N24" i="11"/>
  <c r="D25" i="11"/>
  <c r="E25" i="11"/>
  <c r="H25" i="11"/>
  <c r="J25" i="11"/>
  <c r="K25" i="11"/>
  <c r="L25" i="11"/>
  <c r="M25" i="11"/>
  <c r="N25" i="11"/>
  <c r="D26" i="11"/>
  <c r="E26" i="11"/>
  <c r="H26" i="11"/>
  <c r="J26" i="11"/>
  <c r="K26" i="11"/>
  <c r="L26" i="11"/>
  <c r="M26" i="11"/>
  <c r="N26" i="11"/>
  <c r="E28" i="11"/>
  <c r="H28" i="11"/>
  <c r="J28" i="11"/>
  <c r="L28" i="11"/>
  <c r="M28" i="11"/>
  <c r="N28" i="11"/>
  <c r="J29" i="11"/>
  <c r="N29" i="11"/>
  <c r="F30" i="11"/>
  <c r="D9" i="8"/>
  <c r="E9" i="8"/>
  <c r="H9" i="8"/>
  <c r="J9" i="8"/>
  <c r="D10" i="8"/>
  <c r="E10" i="8"/>
  <c r="H10" i="8"/>
  <c r="J10" i="8"/>
  <c r="D11" i="8"/>
  <c r="E11" i="8"/>
  <c r="J11" i="8"/>
  <c r="C12" i="8"/>
  <c r="D12" i="8"/>
  <c r="E12" i="8"/>
  <c r="F12" i="8"/>
  <c r="G12" i="8"/>
  <c r="H12" i="8"/>
  <c r="J12" i="8"/>
  <c r="K12" i="8"/>
  <c r="L12" i="8"/>
  <c r="M12" i="8"/>
  <c r="N12" i="8"/>
  <c r="C13" i="8"/>
  <c r="D13" i="8"/>
  <c r="E13" i="8"/>
  <c r="F13" i="8"/>
  <c r="G13" i="8"/>
  <c r="H13" i="8"/>
  <c r="J13" i="8"/>
  <c r="K13" i="8"/>
  <c r="L13" i="8"/>
  <c r="M13" i="8"/>
  <c r="N13" i="8"/>
  <c r="C14" i="8"/>
  <c r="D14" i="8"/>
  <c r="E14" i="8"/>
  <c r="F14" i="8"/>
  <c r="G14" i="8"/>
  <c r="H14" i="8"/>
  <c r="J14" i="8"/>
  <c r="K14" i="8"/>
  <c r="L14" i="8"/>
  <c r="M14" i="8"/>
  <c r="N14" i="8"/>
  <c r="C15" i="8"/>
  <c r="D15" i="8"/>
  <c r="E15" i="8"/>
  <c r="F15" i="8"/>
  <c r="G15" i="8"/>
  <c r="H15" i="8"/>
  <c r="J15" i="8"/>
  <c r="K15" i="8"/>
  <c r="L15" i="8"/>
  <c r="M15" i="8"/>
  <c r="N15" i="8"/>
  <c r="C16" i="8"/>
  <c r="D16" i="8"/>
  <c r="E16" i="8"/>
  <c r="F16" i="8"/>
  <c r="G16" i="8"/>
  <c r="H16" i="8"/>
  <c r="J16" i="8"/>
  <c r="K16" i="8"/>
  <c r="L16" i="8"/>
  <c r="M16" i="8"/>
  <c r="N16" i="8"/>
  <c r="C17" i="8"/>
  <c r="D17" i="8"/>
  <c r="E17" i="8"/>
  <c r="F17" i="8"/>
  <c r="G17" i="8"/>
  <c r="H17" i="8"/>
  <c r="J17" i="8"/>
  <c r="K17" i="8"/>
  <c r="L17" i="8"/>
  <c r="M17" i="8"/>
  <c r="N17" i="8"/>
  <c r="D18" i="8"/>
  <c r="E18" i="8"/>
  <c r="F18" i="8"/>
  <c r="G18" i="8"/>
  <c r="H18" i="8"/>
  <c r="J18" i="8"/>
  <c r="K18" i="8"/>
  <c r="L18" i="8"/>
  <c r="M18" i="8"/>
  <c r="N18" i="8"/>
  <c r="D19" i="8"/>
  <c r="E19" i="8"/>
  <c r="F19" i="8"/>
  <c r="G19" i="8"/>
  <c r="H19" i="8"/>
  <c r="J19" i="8"/>
  <c r="K19" i="8"/>
  <c r="L19" i="8"/>
  <c r="M19" i="8"/>
  <c r="N19" i="8"/>
  <c r="C20" i="8"/>
  <c r="D20" i="8"/>
  <c r="E20" i="8"/>
  <c r="F20" i="8"/>
  <c r="G20" i="8"/>
  <c r="H20" i="8"/>
  <c r="J20" i="8"/>
  <c r="K20" i="8"/>
  <c r="L20" i="8"/>
  <c r="M20" i="8"/>
  <c r="N20" i="8"/>
  <c r="C21" i="8"/>
  <c r="D21" i="8"/>
  <c r="E21" i="8"/>
  <c r="F21" i="8"/>
  <c r="G21" i="8"/>
  <c r="H21" i="8"/>
  <c r="J21" i="8"/>
  <c r="K21" i="8"/>
  <c r="L21" i="8"/>
  <c r="M21" i="8"/>
  <c r="N21" i="8"/>
  <c r="C22" i="8"/>
  <c r="D22" i="8"/>
  <c r="E22" i="8"/>
  <c r="F22" i="8"/>
  <c r="G22" i="8"/>
  <c r="H22" i="8"/>
  <c r="J22" i="8"/>
  <c r="K22" i="8"/>
  <c r="L22" i="8"/>
  <c r="M22" i="8"/>
  <c r="N22" i="8"/>
  <c r="D23" i="8"/>
  <c r="E23" i="8"/>
  <c r="F23" i="8"/>
  <c r="G23" i="8"/>
  <c r="H23" i="8"/>
  <c r="J23" i="8"/>
  <c r="K23" i="8"/>
  <c r="L23" i="8"/>
  <c r="M23" i="8"/>
  <c r="N23" i="8"/>
  <c r="D24" i="8"/>
  <c r="E24" i="8"/>
  <c r="H24" i="8"/>
  <c r="J24" i="8"/>
  <c r="K24" i="8"/>
  <c r="L24" i="8"/>
  <c r="M24" i="8"/>
  <c r="N24" i="8"/>
  <c r="D25" i="8"/>
  <c r="E25" i="8"/>
  <c r="H25" i="8"/>
  <c r="J25" i="8"/>
  <c r="K25" i="8"/>
  <c r="L25" i="8"/>
  <c r="M25" i="8"/>
  <c r="N25" i="8"/>
  <c r="D26" i="8"/>
  <c r="E26" i="8"/>
  <c r="H26" i="8"/>
  <c r="J26" i="8"/>
  <c r="K26" i="8"/>
  <c r="L26" i="8"/>
  <c r="M26" i="8"/>
  <c r="N26" i="8"/>
  <c r="E28" i="8"/>
  <c r="H28" i="8"/>
  <c r="J28" i="8"/>
  <c r="L28" i="8"/>
  <c r="M28" i="8"/>
  <c r="N28" i="8"/>
  <c r="J29" i="8"/>
  <c r="N29" i="8"/>
  <c r="F30" i="8"/>
  <c r="D9" i="7"/>
  <c r="E9" i="7"/>
  <c r="H9" i="7"/>
  <c r="J9" i="7"/>
  <c r="D10" i="7"/>
  <c r="E10" i="7"/>
  <c r="H10" i="7"/>
  <c r="J10" i="7"/>
  <c r="D11" i="7"/>
  <c r="E11" i="7"/>
  <c r="J11" i="7"/>
  <c r="C12" i="7"/>
  <c r="D12" i="7"/>
  <c r="E12" i="7"/>
  <c r="F12" i="7"/>
  <c r="G12" i="7"/>
  <c r="H12" i="7"/>
  <c r="J12" i="7"/>
  <c r="K12" i="7"/>
  <c r="L12" i="7"/>
  <c r="M12" i="7"/>
  <c r="N12" i="7"/>
  <c r="C13" i="7"/>
  <c r="D13" i="7"/>
  <c r="E13" i="7"/>
  <c r="F13" i="7"/>
  <c r="G13" i="7"/>
  <c r="H13" i="7"/>
  <c r="J13" i="7"/>
  <c r="K13" i="7"/>
  <c r="L13" i="7"/>
  <c r="M13" i="7"/>
  <c r="N13" i="7"/>
  <c r="C14" i="7"/>
  <c r="D14" i="7"/>
  <c r="E14" i="7"/>
  <c r="F14" i="7"/>
  <c r="G14" i="7"/>
  <c r="H14" i="7"/>
  <c r="J14" i="7"/>
  <c r="K14" i="7"/>
  <c r="L14" i="7"/>
  <c r="M14" i="7"/>
  <c r="N14" i="7"/>
  <c r="C15" i="7"/>
  <c r="D15" i="7"/>
  <c r="E15" i="7"/>
  <c r="F15" i="7"/>
  <c r="G15" i="7"/>
  <c r="H15" i="7"/>
  <c r="J15" i="7"/>
  <c r="K15" i="7"/>
  <c r="L15" i="7"/>
  <c r="M15" i="7"/>
  <c r="N15" i="7"/>
  <c r="C16" i="7"/>
  <c r="D16" i="7"/>
  <c r="E16" i="7"/>
  <c r="F16" i="7"/>
  <c r="G16" i="7"/>
  <c r="H16" i="7"/>
  <c r="J16" i="7"/>
  <c r="K16" i="7"/>
  <c r="L16" i="7"/>
  <c r="M16" i="7"/>
  <c r="N16" i="7"/>
  <c r="C17" i="7"/>
  <c r="D17" i="7"/>
  <c r="E17" i="7"/>
  <c r="F17" i="7"/>
  <c r="G17" i="7"/>
  <c r="H17" i="7"/>
  <c r="J17" i="7"/>
  <c r="K17" i="7"/>
  <c r="L17" i="7"/>
  <c r="M17" i="7"/>
  <c r="N17" i="7"/>
  <c r="D18" i="7"/>
  <c r="E18" i="7"/>
  <c r="F18" i="7"/>
  <c r="G18" i="7"/>
  <c r="H18" i="7"/>
  <c r="J18" i="7"/>
  <c r="K18" i="7"/>
  <c r="L18" i="7"/>
  <c r="M18" i="7"/>
  <c r="N18" i="7"/>
  <c r="D19" i="7"/>
  <c r="E19" i="7"/>
  <c r="F19" i="7"/>
  <c r="G19" i="7"/>
  <c r="H19" i="7"/>
  <c r="J19" i="7"/>
  <c r="K19" i="7"/>
  <c r="L19" i="7"/>
  <c r="M19" i="7"/>
  <c r="N19" i="7"/>
  <c r="C20" i="7"/>
  <c r="D20" i="7"/>
  <c r="E20" i="7"/>
  <c r="F20" i="7"/>
  <c r="G20" i="7"/>
  <c r="H20" i="7"/>
  <c r="J20" i="7"/>
  <c r="K20" i="7"/>
  <c r="L20" i="7"/>
  <c r="M20" i="7"/>
  <c r="N20" i="7"/>
  <c r="C21" i="7"/>
  <c r="D21" i="7"/>
  <c r="E21" i="7"/>
  <c r="F21" i="7"/>
  <c r="G21" i="7"/>
  <c r="H21" i="7"/>
  <c r="J21" i="7"/>
  <c r="K21" i="7"/>
  <c r="L21" i="7"/>
  <c r="M21" i="7"/>
  <c r="N21" i="7"/>
  <c r="C22" i="7"/>
  <c r="D22" i="7"/>
  <c r="E22" i="7"/>
  <c r="F22" i="7"/>
  <c r="G22" i="7"/>
  <c r="H22" i="7"/>
  <c r="J22" i="7"/>
  <c r="K22" i="7"/>
  <c r="L22" i="7"/>
  <c r="M22" i="7"/>
  <c r="N22" i="7"/>
  <c r="D23" i="7"/>
  <c r="E23" i="7"/>
  <c r="F23" i="7"/>
  <c r="G23" i="7"/>
  <c r="H23" i="7"/>
  <c r="J23" i="7"/>
  <c r="K23" i="7"/>
  <c r="L23" i="7"/>
  <c r="M23" i="7"/>
  <c r="N23" i="7"/>
  <c r="D24" i="7"/>
  <c r="E24" i="7"/>
  <c r="H24" i="7"/>
  <c r="J24" i="7"/>
  <c r="K24" i="7"/>
  <c r="L24" i="7"/>
  <c r="M24" i="7"/>
  <c r="N24" i="7"/>
  <c r="D25" i="7"/>
  <c r="E25" i="7"/>
  <c r="H25" i="7"/>
  <c r="J25" i="7"/>
  <c r="K25" i="7"/>
  <c r="L25" i="7"/>
  <c r="M25" i="7"/>
  <c r="N25" i="7"/>
  <c r="D26" i="7"/>
  <c r="E26" i="7"/>
  <c r="H26" i="7"/>
  <c r="J26" i="7"/>
  <c r="K26" i="7"/>
  <c r="L26" i="7"/>
  <c r="M26" i="7"/>
  <c r="N26" i="7"/>
  <c r="E28" i="7"/>
  <c r="H28" i="7"/>
  <c r="J28" i="7"/>
  <c r="L28" i="7"/>
  <c r="M28" i="7"/>
  <c r="N28" i="7"/>
  <c r="J29" i="7"/>
  <c r="N29" i="7"/>
  <c r="F30" i="7"/>
  <c r="D9" i="6"/>
  <c r="E9" i="6"/>
  <c r="H9" i="6"/>
  <c r="J9" i="6"/>
  <c r="D10" i="6"/>
  <c r="E10" i="6"/>
  <c r="H10" i="6"/>
  <c r="J10" i="6"/>
  <c r="D11" i="6"/>
  <c r="E11" i="6"/>
  <c r="J11" i="6"/>
  <c r="C12" i="6"/>
  <c r="D12" i="6"/>
  <c r="E12" i="6"/>
  <c r="F12" i="6"/>
  <c r="G12" i="6"/>
  <c r="H12" i="6"/>
  <c r="J12" i="6"/>
  <c r="K12" i="6"/>
  <c r="L12" i="6"/>
  <c r="M12" i="6"/>
  <c r="N12" i="6"/>
  <c r="C13" i="6"/>
  <c r="D13" i="6"/>
  <c r="E13" i="6"/>
  <c r="F13" i="6"/>
  <c r="G13" i="6"/>
  <c r="H13" i="6"/>
  <c r="J13" i="6"/>
  <c r="K13" i="6"/>
  <c r="L13" i="6"/>
  <c r="M13" i="6"/>
  <c r="N13" i="6"/>
  <c r="C14" i="6"/>
  <c r="D14" i="6"/>
  <c r="E14" i="6"/>
  <c r="F14" i="6"/>
  <c r="G14" i="6"/>
  <c r="H14" i="6"/>
  <c r="J14" i="6"/>
  <c r="K14" i="6"/>
  <c r="L14" i="6"/>
  <c r="M14" i="6"/>
  <c r="N14" i="6"/>
  <c r="C15" i="6"/>
  <c r="D15" i="6"/>
  <c r="E15" i="6"/>
  <c r="F15" i="6"/>
  <c r="G15" i="6"/>
  <c r="H15" i="6"/>
  <c r="J15" i="6"/>
  <c r="K15" i="6"/>
  <c r="L15" i="6"/>
  <c r="M15" i="6"/>
  <c r="N15" i="6"/>
  <c r="C16" i="6"/>
  <c r="D16" i="6"/>
  <c r="E16" i="6"/>
  <c r="F16" i="6"/>
  <c r="G16" i="6"/>
  <c r="H16" i="6"/>
  <c r="J16" i="6"/>
  <c r="K16" i="6"/>
  <c r="L16" i="6"/>
  <c r="M16" i="6"/>
  <c r="N16" i="6"/>
  <c r="C17" i="6"/>
  <c r="D17" i="6"/>
  <c r="E17" i="6"/>
  <c r="F17" i="6"/>
  <c r="G17" i="6"/>
  <c r="H17" i="6"/>
  <c r="J17" i="6"/>
  <c r="K17" i="6"/>
  <c r="L17" i="6"/>
  <c r="M17" i="6"/>
  <c r="N17" i="6"/>
  <c r="D18" i="6"/>
  <c r="E18" i="6"/>
  <c r="F18" i="6"/>
  <c r="G18" i="6"/>
  <c r="H18" i="6"/>
  <c r="J18" i="6"/>
  <c r="K18" i="6"/>
  <c r="L18" i="6"/>
  <c r="M18" i="6"/>
  <c r="N18" i="6"/>
  <c r="D19" i="6"/>
  <c r="E19" i="6"/>
  <c r="F19" i="6"/>
  <c r="G19" i="6"/>
  <c r="H19" i="6"/>
  <c r="J19" i="6"/>
  <c r="K19" i="6"/>
  <c r="L19" i="6"/>
  <c r="M19" i="6"/>
  <c r="N19" i="6"/>
  <c r="C20" i="6"/>
  <c r="D20" i="6"/>
  <c r="E20" i="6"/>
  <c r="F20" i="6"/>
  <c r="G20" i="6"/>
  <c r="H20" i="6"/>
  <c r="J20" i="6"/>
  <c r="K20" i="6"/>
  <c r="L20" i="6"/>
  <c r="M20" i="6"/>
  <c r="N20" i="6"/>
  <c r="C21" i="6"/>
  <c r="D21" i="6"/>
  <c r="E21" i="6"/>
  <c r="F21" i="6"/>
  <c r="G21" i="6"/>
  <c r="H21" i="6"/>
  <c r="J21" i="6"/>
  <c r="K21" i="6"/>
  <c r="L21" i="6"/>
  <c r="M21" i="6"/>
  <c r="N21" i="6"/>
  <c r="C22" i="6"/>
  <c r="D22" i="6"/>
  <c r="E22" i="6"/>
  <c r="F22" i="6"/>
  <c r="G22" i="6"/>
  <c r="H22" i="6"/>
  <c r="J22" i="6"/>
  <c r="K22" i="6"/>
  <c r="L22" i="6"/>
  <c r="M22" i="6"/>
  <c r="N22" i="6"/>
  <c r="D23" i="6"/>
  <c r="E23" i="6"/>
  <c r="F23" i="6"/>
  <c r="G23" i="6"/>
  <c r="H23" i="6"/>
  <c r="J23" i="6"/>
  <c r="K23" i="6"/>
  <c r="L23" i="6"/>
  <c r="M23" i="6"/>
  <c r="N23" i="6"/>
  <c r="D24" i="6"/>
  <c r="E24" i="6"/>
  <c r="H24" i="6"/>
  <c r="J24" i="6"/>
  <c r="K24" i="6"/>
  <c r="L24" i="6"/>
  <c r="M24" i="6"/>
  <c r="N24" i="6"/>
  <c r="D25" i="6"/>
  <c r="E25" i="6"/>
  <c r="H25" i="6"/>
  <c r="J25" i="6"/>
  <c r="K25" i="6"/>
  <c r="L25" i="6"/>
  <c r="M25" i="6"/>
  <c r="N25" i="6"/>
  <c r="D26" i="6"/>
  <c r="E26" i="6"/>
  <c r="H26" i="6"/>
  <c r="J26" i="6"/>
  <c r="K26" i="6"/>
  <c r="L26" i="6"/>
  <c r="M26" i="6"/>
  <c r="N26" i="6"/>
  <c r="E28" i="6"/>
  <c r="H28" i="6"/>
  <c r="J28" i="6"/>
  <c r="L28" i="6"/>
  <c r="M28" i="6"/>
  <c r="N28" i="6"/>
  <c r="J29" i="6"/>
  <c r="N29" i="6"/>
  <c r="F30" i="6"/>
  <c r="D9" i="3"/>
  <c r="E9" i="3"/>
  <c r="H9" i="3"/>
  <c r="J9" i="3"/>
  <c r="D10" i="3"/>
  <c r="E10" i="3"/>
  <c r="H10" i="3"/>
  <c r="J10" i="3"/>
  <c r="D11" i="3"/>
  <c r="E11" i="3"/>
  <c r="J11" i="3"/>
  <c r="C12" i="3"/>
  <c r="D12" i="3"/>
  <c r="E12" i="3"/>
  <c r="F12" i="3"/>
  <c r="G12" i="3"/>
  <c r="H12" i="3"/>
  <c r="J12" i="3"/>
  <c r="K12" i="3"/>
  <c r="L12" i="3"/>
  <c r="M12" i="3"/>
  <c r="N12" i="3"/>
  <c r="C13" i="3"/>
  <c r="D13" i="3"/>
  <c r="E13" i="3"/>
  <c r="F13" i="3"/>
  <c r="G13" i="3"/>
  <c r="H13" i="3"/>
  <c r="J13" i="3"/>
  <c r="K13" i="3"/>
  <c r="L13" i="3"/>
  <c r="M13" i="3"/>
  <c r="N13" i="3"/>
  <c r="C14" i="3"/>
  <c r="D14" i="3"/>
  <c r="E14" i="3"/>
  <c r="F14" i="3"/>
  <c r="G14" i="3"/>
  <c r="H14" i="3"/>
  <c r="J14" i="3"/>
  <c r="K14" i="3"/>
  <c r="L14" i="3"/>
  <c r="M14" i="3"/>
  <c r="N14" i="3"/>
  <c r="C15" i="3"/>
  <c r="D15" i="3"/>
  <c r="E15" i="3"/>
  <c r="F15" i="3"/>
  <c r="G15" i="3"/>
  <c r="H15" i="3"/>
  <c r="J15" i="3"/>
  <c r="K15" i="3"/>
  <c r="L15" i="3"/>
  <c r="M15" i="3"/>
  <c r="N15" i="3"/>
  <c r="C16" i="3"/>
  <c r="D16" i="3"/>
  <c r="E16" i="3"/>
  <c r="F16" i="3"/>
  <c r="G16" i="3"/>
  <c r="H16" i="3"/>
  <c r="J16" i="3"/>
  <c r="K16" i="3"/>
  <c r="L16" i="3"/>
  <c r="M16" i="3"/>
  <c r="N16" i="3"/>
  <c r="C17" i="3"/>
  <c r="D17" i="3"/>
  <c r="E17" i="3"/>
  <c r="F17" i="3"/>
  <c r="G17" i="3"/>
  <c r="H17" i="3"/>
  <c r="J17" i="3"/>
  <c r="K17" i="3"/>
  <c r="L17" i="3"/>
  <c r="M17" i="3"/>
  <c r="N17" i="3"/>
  <c r="D18" i="3"/>
  <c r="E18" i="3"/>
  <c r="F18" i="3"/>
  <c r="G18" i="3"/>
  <c r="H18" i="3"/>
  <c r="J18" i="3"/>
  <c r="K18" i="3"/>
  <c r="L18" i="3"/>
  <c r="M18" i="3"/>
  <c r="N18" i="3"/>
  <c r="D19" i="3"/>
  <c r="E19" i="3"/>
  <c r="F19" i="3"/>
  <c r="G19" i="3"/>
  <c r="H19" i="3"/>
  <c r="J19" i="3"/>
  <c r="K19" i="3"/>
  <c r="L19" i="3"/>
  <c r="M19" i="3"/>
  <c r="N19" i="3"/>
  <c r="C20" i="3"/>
  <c r="D20" i="3"/>
  <c r="E20" i="3"/>
  <c r="F20" i="3"/>
  <c r="G20" i="3"/>
  <c r="H20" i="3"/>
  <c r="J20" i="3"/>
  <c r="K20" i="3"/>
  <c r="L20" i="3"/>
  <c r="M20" i="3"/>
  <c r="N20" i="3"/>
  <c r="C21" i="3"/>
  <c r="D21" i="3"/>
  <c r="E21" i="3"/>
  <c r="F21" i="3"/>
  <c r="G21" i="3"/>
  <c r="H21" i="3"/>
  <c r="J21" i="3"/>
  <c r="K21" i="3"/>
  <c r="L21" i="3"/>
  <c r="M21" i="3"/>
  <c r="N21" i="3"/>
  <c r="C22" i="3"/>
  <c r="D22" i="3"/>
  <c r="E22" i="3"/>
  <c r="F22" i="3"/>
  <c r="G22" i="3"/>
  <c r="H22" i="3"/>
  <c r="J22" i="3"/>
  <c r="K22" i="3"/>
  <c r="L22" i="3"/>
  <c r="M22" i="3"/>
  <c r="N22" i="3"/>
  <c r="D23" i="3"/>
  <c r="E23" i="3"/>
  <c r="F23" i="3"/>
  <c r="G23" i="3"/>
  <c r="H23" i="3"/>
  <c r="J23" i="3"/>
  <c r="K23" i="3"/>
  <c r="L23" i="3"/>
  <c r="M23" i="3"/>
  <c r="N23" i="3"/>
  <c r="D24" i="3"/>
  <c r="E24" i="3"/>
  <c r="H24" i="3"/>
  <c r="J24" i="3"/>
  <c r="K24" i="3"/>
  <c r="L24" i="3"/>
  <c r="M24" i="3"/>
  <c r="N24" i="3"/>
  <c r="D25" i="3"/>
  <c r="E25" i="3"/>
  <c r="H25" i="3"/>
  <c r="J25" i="3"/>
  <c r="K25" i="3"/>
  <c r="L25" i="3"/>
  <c r="M25" i="3"/>
  <c r="N25" i="3"/>
  <c r="D26" i="3"/>
  <c r="E26" i="3"/>
  <c r="H26" i="3"/>
  <c r="J26" i="3"/>
  <c r="K26" i="3"/>
  <c r="L26" i="3"/>
  <c r="M26" i="3"/>
  <c r="N26" i="3"/>
  <c r="E28" i="3"/>
  <c r="H28" i="3"/>
  <c r="J28" i="3"/>
  <c r="L28" i="3"/>
  <c r="M28" i="3"/>
  <c r="N28" i="3"/>
  <c r="J29" i="3"/>
  <c r="N29" i="3"/>
  <c r="F30" i="3"/>
  <c r="G48" i="3"/>
</calcChain>
</file>

<file path=xl/comments1.xml><?xml version="1.0" encoding="utf-8"?>
<comments xmlns="http://schemas.openxmlformats.org/spreadsheetml/2006/main">
  <authors>
    <author>jedward</author>
  </authors>
  <commentList>
    <comment ref="A7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</t>
        </r>
      </text>
    </comment>
    <comment ref="A14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requested various receipts
</t>
        </r>
      </text>
    </comment>
    <comment ref="A22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requested various delivery points</t>
        </r>
      </text>
    </comment>
  </commentList>
</comments>
</file>

<file path=xl/comments2.xml><?xml version="1.0" encoding="utf-8"?>
<comments xmlns="http://schemas.openxmlformats.org/spreadsheetml/2006/main">
  <authors>
    <author>jedward</author>
  </authors>
  <commentList>
    <comment ref="L6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Notice on w/d formula there is no fuel!!!!  Fuel is calc on Inj.
Also, includes injection and w/d fees.
</t>
        </r>
      </text>
    </comment>
  </commentList>
</comments>
</file>

<file path=xl/comments3.xml><?xml version="1.0" encoding="utf-8"?>
<comments xmlns="http://schemas.openxmlformats.org/spreadsheetml/2006/main">
  <authors>
    <author>jedward</author>
  </authors>
  <commentList>
    <comment ref="L6" authorId="0" shapeId="0">
      <text>
        <r>
          <rPr>
            <b/>
            <sz val="8"/>
            <color indexed="81"/>
            <rFont val="Tahoma"/>
          </rPr>
          <t>jedward:</t>
        </r>
        <r>
          <rPr>
            <sz val="8"/>
            <color indexed="81"/>
            <rFont val="Tahoma"/>
          </rPr>
          <t xml:space="preserve">
Notice on w/d formula there is no fuel!!!!  Fuel is calc on Inj.
Also, includes injection and w/d fees.
</t>
        </r>
      </text>
    </comment>
  </commentList>
</comments>
</file>

<file path=xl/sharedStrings.xml><?xml version="1.0" encoding="utf-8"?>
<sst xmlns="http://schemas.openxmlformats.org/spreadsheetml/2006/main" count="441" uniqueCount="92">
  <si>
    <t>ENRON CAPITAL &amp; TRADE RESOURCES</t>
  </si>
  <si>
    <t>Storage Analysis</t>
  </si>
  <si>
    <t>Volumes</t>
  </si>
  <si>
    <t>Index</t>
  </si>
  <si>
    <t>Cost of</t>
  </si>
  <si>
    <t>Month</t>
  </si>
  <si>
    <t>Daily</t>
  </si>
  <si>
    <t>Monthly</t>
  </si>
  <si>
    <t>Cumulative</t>
  </si>
  <si>
    <t>Nymex</t>
  </si>
  <si>
    <t>Basis</t>
  </si>
  <si>
    <t>Price</t>
  </si>
  <si>
    <t>Dollars</t>
  </si>
  <si>
    <t>Money</t>
  </si>
  <si>
    <t>Injection Fee</t>
  </si>
  <si>
    <t>Withdrawal Fee</t>
  </si>
  <si>
    <t>Storage Fuel</t>
  </si>
  <si>
    <t>Net Storage Fee</t>
  </si>
  <si>
    <t xml:space="preserve"> </t>
  </si>
  <si>
    <t>Koch FSS Bistineau</t>
  </si>
  <si>
    <t>Transco Miss/Ala</t>
  </si>
  <si>
    <t>IF FGT Zone 2</t>
  </si>
  <si>
    <t>IF FGT Zone 3</t>
  </si>
  <si>
    <t xml:space="preserve">IF ANR SE </t>
  </si>
  <si>
    <t>IF ColGulf Rayne</t>
  </si>
  <si>
    <t>Curves as of:</t>
  </si>
  <si>
    <t>Koch texas</t>
  </si>
  <si>
    <t>Henry Hub</t>
  </si>
  <si>
    <t>NYMEX</t>
  </si>
  <si>
    <t>EFP</t>
  </si>
  <si>
    <t xml:space="preserve">Libor </t>
  </si>
  <si>
    <t>Curve</t>
  </si>
  <si>
    <t xml:space="preserve">Net Cash </t>
  </si>
  <si>
    <t>Flow</t>
  </si>
  <si>
    <t>Discounted</t>
  </si>
  <si>
    <t>Net Cash Flow</t>
  </si>
  <si>
    <t>Variables</t>
  </si>
  <si>
    <t>Spread before inj/wd fees, fuel, &amp; cost of $)</t>
  </si>
  <si>
    <t>LIBOR</t>
  </si>
  <si>
    <t>avg</t>
  </si>
  <si>
    <t>Koch Tx/Bayside to Florida Z2</t>
  </si>
  <si>
    <t>Koch Tx/Bayside to Florida Z3</t>
  </si>
  <si>
    <t>Henry Hub Curve/LRC to Holmesville</t>
  </si>
  <si>
    <t>Koch Tx/Bayside to LRC</t>
  </si>
  <si>
    <t>LRC/HenryHub to Florida Z2</t>
  </si>
  <si>
    <t>LRC - Florida Z3</t>
  </si>
  <si>
    <t>LRC to CGT Rayne/Barron</t>
  </si>
  <si>
    <t>Bayside to Holmesville</t>
  </si>
  <si>
    <t>Used for Basis Analysis:</t>
  </si>
  <si>
    <t>Without Transport</t>
  </si>
  <si>
    <t>Transport Costs</t>
  </si>
  <si>
    <t>Value</t>
  </si>
  <si>
    <t>Bayside to Florida Z2</t>
  </si>
  <si>
    <t>Bayside to Florida Z3</t>
  </si>
  <si>
    <t>LRC to Holmesville</t>
  </si>
  <si>
    <t>Bayside to LRC</t>
  </si>
  <si>
    <t>LRC to Barron</t>
  </si>
  <si>
    <t>LRC to Florida Z2</t>
  </si>
  <si>
    <t>LRC to Florida Z3</t>
  </si>
  <si>
    <t>Transportation to Storage</t>
  </si>
  <si>
    <t>Koch Rates</t>
  </si>
  <si>
    <t>IT from Bayside</t>
  </si>
  <si>
    <t>IT from Carthage</t>
  </si>
  <si>
    <t>IT from LRC</t>
  </si>
  <si>
    <t>HH</t>
  </si>
  <si>
    <t>Transportation from Storage</t>
  </si>
  <si>
    <t>FT to Holmesville</t>
  </si>
  <si>
    <t>subject to capacity, submit a service request</t>
  </si>
  <si>
    <t>FT to Kosci</t>
  </si>
  <si>
    <t>FT to LRC</t>
  </si>
  <si>
    <t>FT to Florida Z2</t>
  </si>
  <si>
    <t>FT to Florida Z3</t>
  </si>
  <si>
    <t>FT to CGT - Barron</t>
  </si>
  <si>
    <t>FT to NGPL Goodrich</t>
  </si>
  <si>
    <t>IT to Holmesville</t>
  </si>
  <si>
    <t>IT to Kosci</t>
  </si>
  <si>
    <t>IT to Trunkline/centervil</t>
  </si>
  <si>
    <t>can get secondary firm if there is enough to displace</t>
  </si>
  <si>
    <t>IT to LRC</t>
  </si>
  <si>
    <t>IT to Florida Z2</t>
  </si>
  <si>
    <t>IT to Florida Z3</t>
  </si>
  <si>
    <t>IT to NGPL - Goodrich</t>
  </si>
  <si>
    <t>depends on pressure &amp; displacement gas</t>
  </si>
  <si>
    <t>IT to ANR - Centerville</t>
  </si>
  <si>
    <t>by displacment</t>
  </si>
  <si>
    <t>Rates open until March 15th</t>
  </si>
  <si>
    <t>.</t>
  </si>
  <si>
    <t>FT to Trunkline</t>
  </si>
  <si>
    <t>FT to ANR - Centerville</t>
  </si>
  <si>
    <t>deplacment only</t>
  </si>
  <si>
    <t>avg / bid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</si>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</sst>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164" formatCode="&quot;$&quot;#,##0.000_);[Red]\(&quot;$&quot;#,##0.000\)"/>
    <numFmt numFmtId="166" formatCode="&quot;$&quot;#,##0.0000_);[Red]\(&quot;$&quot;#,##0.0000\)"/>
    <numFmt numFmtId="170" formatCode="0.000"/>
    <numFmt numFmtId="171" formatCode="0.0000"/>
    <numFmt numFmtId="172" formatCode="&quot;$&quot;#,##0.00"/>
    <numFmt numFmtId="173" formatCode="_(* #,##0.0000_);_(* \(#,##0.0000\);_(* &quot;-&quot;??_);_(@_)"/>
    <numFmt numFmtId="174" formatCode="&quot;$&quot;#,##0.0000;[Red]\-&quot;$&quot;#,##0.0000"/>
  </numFmts>
  <fonts count="15" x14ac:knownFonts="1">
    <font>
      <sz val="12"/>
      <name val="Arial"/>
    </font>
    <font>
      <sz val="12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56"/>
      <name val="Times New Roman"/>
      <family val="1"/>
    </font>
    <font>
      <sz val="12"/>
      <name val="Arial"/>
      <family val="2"/>
    </font>
    <font>
      <sz val="12"/>
      <color indexed="48"/>
      <name val="Arial"/>
      <family val="2"/>
    </font>
    <font>
      <b/>
      <sz val="12"/>
      <color indexed="12"/>
      <name val="Arial"/>
      <family val="2"/>
    </font>
    <font>
      <sz val="12"/>
      <color indexed="48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12"/>
      <name val="Arial"/>
      <family val="2"/>
    </font>
    <font>
      <sz val="12"/>
      <color indexed="50"/>
      <name val="Arial"/>
      <family val="2"/>
    </font>
    <font>
      <b/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Continuous"/>
    </xf>
    <xf numFmtId="16" fontId="2" fillId="0" borderId="0" xfId="0" applyNumberFormat="1" applyFont="1" applyAlignment="1">
      <alignment horizontal="center"/>
    </xf>
    <xf numFmtId="17" fontId="3" fillId="0" borderId="0" xfId="0" quotePrefix="1" applyNumberFormat="1" applyFont="1" applyAlignment="1">
      <alignment horizontal="right"/>
    </xf>
    <xf numFmtId="1" fontId="3" fillId="0" borderId="0" xfId="0" applyNumberFormat="1" applyFont="1"/>
    <xf numFmtId="164" fontId="3" fillId="0" borderId="0" xfId="2" applyNumberFormat="1" applyFont="1"/>
    <xf numFmtId="6" fontId="3" fillId="0" borderId="0" xfId="2" applyNumberFormat="1" applyFont="1"/>
    <xf numFmtId="8" fontId="3" fillId="0" borderId="0" xfId="2" applyFont="1"/>
    <xf numFmtId="6" fontId="3" fillId="0" borderId="0" xfId="0" applyNumberFormat="1" applyFont="1"/>
    <xf numFmtId="172" fontId="3" fillId="0" borderId="0" xfId="0" applyNumberFormat="1" applyFont="1"/>
    <xf numFmtId="166" fontId="3" fillId="0" borderId="0" xfId="2" applyNumberFormat="1" applyFont="1"/>
    <xf numFmtId="166" fontId="3" fillId="0" borderId="0" xfId="0" applyNumberFormat="1" applyFont="1"/>
    <xf numFmtId="166" fontId="2" fillId="0" borderId="0" xfId="0" applyNumberFormat="1" applyFont="1"/>
    <xf numFmtId="0" fontId="3" fillId="0" borderId="0" xfId="0" applyFont="1" applyBorder="1"/>
    <xf numFmtId="0" fontId="5" fillId="0" borderId="1" xfId="0" applyFont="1" applyBorder="1"/>
    <xf numFmtId="0" fontId="6" fillId="0" borderId="1" xfId="0" applyFont="1" applyBorder="1"/>
    <xf numFmtId="0" fontId="5" fillId="0" borderId="0" xfId="0" applyFont="1"/>
    <xf numFmtId="14" fontId="5" fillId="0" borderId="0" xfId="0" applyNumberFormat="1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0" xfId="0" applyFont="1"/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/>
    <xf numFmtId="17" fontId="5" fillId="0" borderId="0" xfId="0" applyNumberFormat="1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170" fontId="5" fillId="0" borderId="2" xfId="0" applyNumberFormat="1" applyFont="1" applyBorder="1"/>
    <xf numFmtId="170" fontId="5" fillId="0" borderId="3" xfId="0" applyNumberFormat="1" applyFont="1" applyBorder="1"/>
    <xf numFmtId="170" fontId="5" fillId="0" borderId="0" xfId="0" applyNumberFormat="1" applyFont="1"/>
    <xf numFmtId="0" fontId="5" fillId="0" borderId="0" xfId="0" applyFont="1" applyBorder="1"/>
    <xf numFmtId="0" fontId="5" fillId="0" borderId="9" xfId="0" applyFont="1" applyBorder="1"/>
    <xf numFmtId="170" fontId="5" fillId="0" borderId="1" xfId="0" applyNumberFormat="1" applyFont="1" applyBorder="1"/>
    <xf numFmtId="170" fontId="5" fillId="0" borderId="0" xfId="0" applyNumberFormat="1" applyFont="1" applyBorder="1"/>
    <xf numFmtId="0" fontId="6" fillId="0" borderId="0" xfId="0" applyFont="1"/>
    <xf numFmtId="17" fontId="6" fillId="0" borderId="0" xfId="0" applyNumberFormat="1" applyFont="1"/>
    <xf numFmtId="0" fontId="6" fillId="0" borderId="0" xfId="0" applyFont="1" applyBorder="1"/>
    <xf numFmtId="0" fontId="6" fillId="0" borderId="9" xfId="0" applyFont="1" applyBorder="1"/>
    <xf numFmtId="170" fontId="6" fillId="0" borderId="1" xfId="0" applyNumberFormat="1" applyFont="1" applyBorder="1"/>
    <xf numFmtId="170" fontId="6" fillId="0" borderId="0" xfId="0" applyNumberFormat="1" applyFont="1" applyBorder="1"/>
    <xf numFmtId="170" fontId="6" fillId="0" borderId="0" xfId="0" applyNumberFormat="1" applyFont="1"/>
    <xf numFmtId="0" fontId="5" fillId="0" borderId="6" xfId="0" applyFont="1" applyBorder="1"/>
    <xf numFmtId="0" fontId="5" fillId="0" borderId="7" xfId="0" applyFont="1" applyBorder="1"/>
    <xf numFmtId="0" fontId="5" fillId="0" borderId="10" xfId="0" applyFont="1" applyBorder="1"/>
    <xf numFmtId="170" fontId="5" fillId="0" borderId="6" xfId="0" applyNumberFormat="1" applyFont="1" applyBorder="1"/>
    <xf numFmtId="170" fontId="5" fillId="0" borderId="7" xfId="0" applyNumberFormat="1" applyFont="1" applyBorder="1"/>
    <xf numFmtId="166" fontId="8" fillId="0" borderId="0" xfId="2" applyNumberFormat="1" applyFont="1"/>
    <xf numFmtId="10" fontId="8" fillId="0" borderId="0" xfId="3" applyNumberFormat="1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41" fontId="4" fillId="0" borderId="0" xfId="0" applyNumberFormat="1" applyFont="1" applyFill="1"/>
    <xf numFmtId="8" fontId="3" fillId="0" borderId="0" xfId="0" applyNumberFormat="1" applyFont="1" applyFill="1"/>
    <xf numFmtId="166" fontId="3" fillId="0" borderId="0" xfId="0" applyNumberFormat="1" applyFont="1" applyFill="1"/>
    <xf numFmtId="41" fontId="3" fillId="0" borderId="0" xfId="0" applyNumberFormat="1" applyFont="1" applyFill="1"/>
    <xf numFmtId="6" fontId="3" fillId="0" borderId="0" xfId="2" applyNumberFormat="1" applyFont="1" applyFill="1"/>
    <xf numFmtId="17" fontId="3" fillId="0" borderId="0" xfId="0" quotePrefix="1" applyNumberFormat="1" applyFont="1" applyFill="1" applyAlignment="1">
      <alignment horizontal="right"/>
    </xf>
    <xf numFmtId="170" fontId="3" fillId="0" borderId="0" xfId="0" applyNumberFormat="1" applyFont="1" applyBorder="1"/>
    <xf numFmtId="166" fontId="3" fillId="2" borderId="0" xfId="0" applyNumberFormat="1" applyFont="1" applyFill="1"/>
    <xf numFmtId="8" fontId="3" fillId="0" borderId="0" xfId="0" applyNumberFormat="1" applyFont="1"/>
    <xf numFmtId="1" fontId="8" fillId="0" borderId="0" xfId="0" applyNumberFormat="1" applyFont="1"/>
    <xf numFmtId="1" fontId="8" fillId="0" borderId="0" xfId="0" applyNumberFormat="1" applyFont="1" applyFill="1"/>
    <xf numFmtId="174" fontId="11" fillId="0" borderId="0" xfId="0" applyNumberFormat="1" applyFont="1" applyAlignment="1">
      <alignment horizontal="right" wrapText="1"/>
    </xf>
    <xf numFmtId="173" fontId="0" fillId="0" borderId="0" xfId="1" applyNumberFormat="1" applyFont="1"/>
    <xf numFmtId="22" fontId="3" fillId="0" borderId="0" xfId="0" applyNumberFormat="1" applyFont="1"/>
    <xf numFmtId="171" fontId="5" fillId="0" borderId="0" xfId="0" applyNumberFormat="1" applyFont="1"/>
    <xf numFmtId="171" fontId="7" fillId="0" borderId="4" xfId="0" applyNumberFormat="1" applyFont="1" applyBorder="1"/>
    <xf numFmtId="171" fontId="5" fillId="0" borderId="10" xfId="0" applyNumberFormat="1" applyFont="1" applyBorder="1" applyAlignment="1">
      <alignment horizontal="right"/>
    </xf>
    <xf numFmtId="171" fontId="5" fillId="0" borderId="4" xfId="0" applyNumberFormat="1" applyFont="1" applyBorder="1"/>
    <xf numFmtId="171" fontId="5" fillId="0" borderId="9" xfId="0" applyNumberFormat="1" applyFont="1" applyBorder="1"/>
    <xf numFmtId="171" fontId="6" fillId="0" borderId="9" xfId="0" applyNumberFormat="1" applyFont="1" applyBorder="1"/>
    <xf numFmtId="171" fontId="5" fillId="0" borderId="10" xfId="0" applyNumberFormat="1" applyFont="1" applyBorder="1"/>
    <xf numFmtId="0" fontId="12" fillId="0" borderId="10" xfId="0" applyFont="1" applyBorder="1" applyAlignment="1">
      <alignment horizontal="right"/>
    </xf>
    <xf numFmtId="171" fontId="12" fillId="0" borderId="10" xfId="0" applyNumberFormat="1" applyFont="1" applyBorder="1" applyAlignment="1">
      <alignment horizontal="right"/>
    </xf>
    <xf numFmtId="171" fontId="3" fillId="0" borderId="0" xfId="0" applyNumberFormat="1" applyFont="1" applyFill="1"/>
    <xf numFmtId="0" fontId="13" fillId="0" borderId="0" xfId="0" applyFont="1"/>
    <xf numFmtId="17" fontId="13" fillId="0" borderId="0" xfId="0" applyNumberFormat="1" applyFont="1"/>
    <xf numFmtId="0" fontId="13" fillId="0" borderId="1" xfId="0" applyFont="1" applyBorder="1"/>
    <xf numFmtId="0" fontId="13" fillId="0" borderId="0" xfId="0" applyFont="1" applyBorder="1"/>
    <xf numFmtId="0" fontId="13" fillId="0" borderId="9" xfId="0" applyFont="1" applyBorder="1"/>
    <xf numFmtId="170" fontId="13" fillId="0" borderId="1" xfId="0" applyNumberFormat="1" applyFont="1" applyBorder="1"/>
    <xf numFmtId="170" fontId="13" fillId="0" borderId="0" xfId="0" applyNumberFormat="1" applyFont="1" applyBorder="1"/>
    <xf numFmtId="171" fontId="13" fillId="0" borderId="9" xfId="0" applyNumberFormat="1" applyFont="1" applyBorder="1"/>
    <xf numFmtId="170" fontId="13" fillId="0" borderId="0" xfId="0" applyNumberFormat="1" applyFont="1"/>
    <xf numFmtId="173" fontId="13" fillId="0" borderId="0" xfId="1" applyNumberFormat="1" applyFont="1"/>
    <xf numFmtId="0" fontId="12" fillId="0" borderId="0" xfId="0" applyFont="1"/>
    <xf numFmtId="0" fontId="5" fillId="0" borderId="0" xfId="0" applyFont="1" applyAlignment="1">
      <alignment horizontal="center"/>
    </xf>
    <xf numFmtId="2" fontId="5" fillId="0" borderId="11" xfId="0" applyNumberFormat="1" applyFont="1" applyBorder="1" applyAlignment="1">
      <alignment horizontal="right"/>
    </xf>
    <xf numFmtId="2" fontId="5" fillId="0" borderId="0" xfId="0" applyNumberFormat="1" applyFont="1" applyBorder="1" applyAlignment="1">
      <alignment horizontal="right"/>
    </xf>
    <xf numFmtId="0" fontId="14" fillId="0" borderId="0" xfId="0" applyFont="1"/>
    <xf numFmtId="2" fontId="12" fillId="2" borderId="11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rage%20Bisteneau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Operations"/>
      <sheetName val="Curves"/>
      <sheetName val="KGPL Bistineau"/>
    </sheetNames>
    <sheetDataSet>
      <sheetData sheetId="0" refreshError="1"/>
      <sheetData sheetId="1">
        <row r="11">
          <cell r="C11">
            <v>1</v>
          </cell>
          <cell r="D11">
            <v>2</v>
          </cell>
          <cell r="E11">
            <v>3</v>
          </cell>
          <cell r="F11">
            <v>4</v>
          </cell>
          <cell r="G11">
            <v>5</v>
          </cell>
          <cell r="H11">
            <v>6</v>
          </cell>
          <cell r="I11">
            <v>7</v>
          </cell>
          <cell r="J11">
            <v>8</v>
          </cell>
          <cell r="K11">
            <v>9</v>
          </cell>
          <cell r="L11">
            <v>10</v>
          </cell>
          <cell r="M11">
            <v>11</v>
          </cell>
          <cell r="N11">
            <v>12</v>
          </cell>
          <cell r="O11">
            <v>13</v>
          </cell>
          <cell r="P11">
            <v>14</v>
          </cell>
          <cell r="Q11">
            <v>15</v>
          </cell>
          <cell r="R11">
            <v>16</v>
          </cell>
          <cell r="S11">
            <v>17</v>
          </cell>
          <cell r="T11">
            <v>18</v>
          </cell>
          <cell r="U11">
            <v>19</v>
          </cell>
          <cell r="V11">
            <v>20</v>
          </cell>
          <cell r="W11">
            <v>21</v>
          </cell>
          <cell r="X11">
            <v>22</v>
          </cell>
          <cell r="Y11">
            <v>23</v>
          </cell>
          <cell r="Z11">
            <v>24</v>
          </cell>
          <cell r="AA11">
            <v>25</v>
          </cell>
          <cell r="AB11">
            <v>26</v>
          </cell>
          <cell r="AC11">
            <v>27</v>
          </cell>
          <cell r="AD11">
            <v>28</v>
          </cell>
          <cell r="AE11">
            <v>29</v>
          </cell>
          <cell r="AF11">
            <v>30</v>
          </cell>
          <cell r="AG11">
            <v>31</v>
          </cell>
          <cell r="AH11">
            <v>32</v>
          </cell>
          <cell r="AI11">
            <v>33</v>
          </cell>
          <cell r="AJ11">
            <v>34</v>
          </cell>
          <cell r="AK11">
            <v>35</v>
          </cell>
          <cell r="AL11">
            <v>36</v>
          </cell>
          <cell r="AM11">
            <v>37</v>
          </cell>
        </row>
        <row r="12">
          <cell r="C12" t="str">
            <v>NYMEX Mid</v>
          </cell>
          <cell r="D12" t="str">
            <v>Henry Hub</v>
          </cell>
          <cell r="E12" t="str">
            <v>LIBOR</v>
          </cell>
          <cell r="F12" t="str">
            <v>INDEX $0</v>
          </cell>
        </row>
        <row r="13">
          <cell r="C13">
            <v>2.548</v>
          </cell>
          <cell r="D13">
            <v>0.01</v>
          </cell>
          <cell r="E13">
            <v>0.99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</row>
        <row r="14">
          <cell r="C14">
            <v>2.54</v>
          </cell>
          <cell r="D14">
            <v>0.01</v>
          </cell>
          <cell r="E14">
            <v>0.98799999999999999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</row>
        <row r="15">
          <cell r="C15">
            <v>2.54</v>
          </cell>
          <cell r="D15">
            <v>1.2500000000000001E-2</v>
          </cell>
          <cell r="E15">
            <v>0.98699999999999999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</row>
        <row r="16">
          <cell r="C16">
            <v>2.552</v>
          </cell>
          <cell r="D16">
            <v>1.2500000000000001E-2</v>
          </cell>
          <cell r="E16">
            <v>0.98599999999999999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</row>
        <row r="17">
          <cell r="C17">
            <v>2.5669999999999997</v>
          </cell>
          <cell r="D17">
            <v>1.2500000000000001E-2</v>
          </cell>
          <cell r="E17">
            <v>0.98499999999999999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</row>
        <row r="18">
          <cell r="C18">
            <v>2.577</v>
          </cell>
          <cell r="D18">
            <v>0.01</v>
          </cell>
          <cell r="E18">
            <v>0.98399999999999999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</row>
        <row r="19">
          <cell r="C19">
            <v>2.593</v>
          </cell>
          <cell r="D19">
            <v>0.01</v>
          </cell>
          <cell r="E19">
            <v>0.98299999999999998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</row>
        <row r="20">
          <cell r="C20">
            <v>2.6949999999999998</v>
          </cell>
          <cell r="D20">
            <v>0.01</v>
          </cell>
          <cell r="E20">
            <v>0.98199999999999998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</row>
        <row r="21">
          <cell r="C21">
            <v>2.8040000000000003</v>
          </cell>
          <cell r="D21">
            <v>0.01</v>
          </cell>
          <cell r="E21">
            <v>0.98099999999999998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</row>
        <row r="22">
          <cell r="C22">
            <v>2.827</v>
          </cell>
          <cell r="D22">
            <v>0.01</v>
          </cell>
          <cell r="E22">
            <v>0.98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</row>
        <row r="23">
          <cell r="C23">
            <v>2.7010000000000001</v>
          </cell>
          <cell r="D23">
            <v>0.01</v>
          </cell>
          <cell r="E23">
            <v>0.97899999999999998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C24">
            <v>2.5950000000000002</v>
          </cell>
          <cell r="D24">
            <v>0.01</v>
          </cell>
          <cell r="E24">
            <v>0.97799999999999998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</row>
        <row r="38"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</row>
        <row r="48"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</row>
        <row r="50"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</row>
        <row r="52"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46"/>
  <sheetViews>
    <sheetView zoomScale="75" workbookViewId="0">
      <selection activeCell="C3" sqref="C3"/>
    </sheetView>
  </sheetViews>
  <sheetFormatPr defaultColWidth="8.90625" defaultRowHeight="15" x14ac:dyDescent="0.25"/>
  <cols>
    <col min="1" max="1" width="17.08984375" style="19" customWidth="1"/>
    <col min="2" max="2" width="8.90625" style="19"/>
    <col min="3" max="3" width="16" style="19" customWidth="1"/>
    <col min="4" max="4" width="8.08984375" style="19" customWidth="1"/>
    <col min="5" max="5" width="19.54296875" style="19" customWidth="1"/>
    <col min="6" max="6" width="17.08984375" style="19" customWidth="1"/>
    <col min="7" max="16384" width="8.90625" style="19"/>
  </cols>
  <sheetData>
    <row r="1" spans="1:7" ht="15.6" x14ac:dyDescent="0.3">
      <c r="A1" s="90" t="s">
        <v>48</v>
      </c>
      <c r="C1" s="91" t="s">
        <v>49</v>
      </c>
      <c r="E1" s="91" t="s">
        <v>50</v>
      </c>
      <c r="F1" s="91" t="s">
        <v>51</v>
      </c>
    </row>
    <row r="2" spans="1:7" x14ac:dyDescent="0.25">
      <c r="A2" s="19" t="s">
        <v>52</v>
      </c>
      <c r="C2" s="19">
        <v>0.32</v>
      </c>
      <c r="E2" s="19">
        <v>0.12</v>
      </c>
      <c r="F2" s="19">
        <f>C2-E2</f>
        <v>0.2</v>
      </c>
    </row>
    <row r="3" spans="1:7" x14ac:dyDescent="0.25">
      <c r="A3" s="19" t="s">
        <v>53</v>
      </c>
      <c r="C3" s="19">
        <v>0.28999999999999998</v>
      </c>
      <c r="E3" s="19">
        <f>0.08+0.06</f>
        <v>0.14000000000000001</v>
      </c>
      <c r="F3" s="19">
        <f t="shared" ref="F3:F9" si="0">C3-E3</f>
        <v>0.14999999999999997</v>
      </c>
    </row>
    <row r="4" spans="1:7" x14ac:dyDescent="0.25">
      <c r="A4" s="19" t="s">
        <v>47</v>
      </c>
      <c r="C4" s="19">
        <v>0.36</v>
      </c>
      <c r="E4" s="19">
        <f>0.08+0.07</f>
        <v>0.15000000000000002</v>
      </c>
      <c r="F4" s="19">
        <f t="shared" si="0"/>
        <v>0.20999999999999996</v>
      </c>
    </row>
    <row r="5" spans="1:7" x14ac:dyDescent="0.25">
      <c r="A5" s="19" t="s">
        <v>54</v>
      </c>
      <c r="C5" s="19">
        <v>0.23</v>
      </c>
      <c r="E5" s="19">
        <f>0.02+0.07</f>
        <v>9.0000000000000011E-2</v>
      </c>
      <c r="F5" s="19">
        <f t="shared" si="0"/>
        <v>0.14000000000000001</v>
      </c>
    </row>
    <row r="6" spans="1:7" x14ac:dyDescent="0.25">
      <c r="A6" s="19" t="s">
        <v>55</v>
      </c>
      <c r="C6" s="19">
        <v>0.34</v>
      </c>
      <c r="E6" s="19">
        <f>0.08+0.06</f>
        <v>0.14000000000000001</v>
      </c>
      <c r="F6" s="19">
        <f t="shared" si="0"/>
        <v>0.2</v>
      </c>
    </row>
    <row r="7" spans="1:7" x14ac:dyDescent="0.25">
      <c r="A7" s="19" t="s">
        <v>56</v>
      </c>
      <c r="C7" s="19">
        <v>0.23</v>
      </c>
      <c r="E7" s="19">
        <f>0.02+0.06</f>
        <v>0.08</v>
      </c>
      <c r="F7" s="19">
        <f t="shared" si="0"/>
        <v>0.15000000000000002</v>
      </c>
    </row>
    <row r="8" spans="1:7" x14ac:dyDescent="0.25">
      <c r="A8" s="19" t="s">
        <v>57</v>
      </c>
      <c r="C8" s="19">
        <v>0.19</v>
      </c>
      <c r="E8" s="19">
        <f>0.02+0.04</f>
        <v>0.06</v>
      </c>
      <c r="F8" s="19">
        <f t="shared" si="0"/>
        <v>0.13</v>
      </c>
    </row>
    <row r="9" spans="1:7" x14ac:dyDescent="0.25">
      <c r="A9" s="19" t="s">
        <v>58</v>
      </c>
      <c r="C9" s="19">
        <v>0.17</v>
      </c>
      <c r="E9" s="19">
        <f>0.02+0.06</f>
        <v>0.08</v>
      </c>
      <c r="F9" s="19">
        <f t="shared" si="0"/>
        <v>9.0000000000000011E-2</v>
      </c>
    </row>
    <row r="10" spans="1:7" ht="16.2" thickBot="1" x14ac:dyDescent="0.35">
      <c r="C10" s="92">
        <f>AVERAGE(C2:C9)</f>
        <v>0.26624999999999999</v>
      </c>
      <c r="D10" s="19" t="s">
        <v>39</v>
      </c>
      <c r="E10" s="19" t="s">
        <v>18</v>
      </c>
      <c r="F10" s="95">
        <f>AVERAGE(F2:F9)</f>
        <v>0.15874999999999997</v>
      </c>
      <c r="G10" s="19" t="s">
        <v>90</v>
      </c>
    </row>
    <row r="11" spans="1:7" ht="15.6" thickTop="1" x14ac:dyDescent="0.25">
      <c r="C11" s="93"/>
    </row>
    <row r="12" spans="1:7" x14ac:dyDescent="0.25">
      <c r="C12" s="93"/>
    </row>
    <row r="14" spans="1:7" ht="15.6" x14ac:dyDescent="0.3">
      <c r="A14" s="90" t="s">
        <v>59</v>
      </c>
    </row>
    <row r="15" spans="1:7" ht="15.6" x14ac:dyDescent="0.3">
      <c r="A15" s="90"/>
      <c r="C15" s="94" t="s">
        <v>60</v>
      </c>
    </row>
    <row r="16" spans="1:7" x14ac:dyDescent="0.25">
      <c r="A16" s="19" t="s">
        <v>61</v>
      </c>
      <c r="C16" s="19">
        <v>0.08</v>
      </c>
      <c r="D16" s="19" t="s">
        <v>18</v>
      </c>
    </row>
    <row r="17" spans="1:4" x14ac:dyDescent="0.25">
      <c r="A17" s="19" t="s">
        <v>62</v>
      </c>
      <c r="C17" s="19">
        <v>7.0000000000000007E-2</v>
      </c>
    </row>
    <row r="18" spans="1:4" x14ac:dyDescent="0.25">
      <c r="A18" s="19" t="s">
        <v>63</v>
      </c>
      <c r="C18" s="19">
        <v>0.02</v>
      </c>
    </row>
    <row r="19" spans="1:4" x14ac:dyDescent="0.25">
      <c r="A19" s="19" t="s">
        <v>64</v>
      </c>
      <c r="C19" s="19">
        <v>0.01</v>
      </c>
    </row>
    <row r="20" spans="1:4" x14ac:dyDescent="0.25">
      <c r="A20" s="19" t="s">
        <v>18</v>
      </c>
      <c r="C20" s="19" t="s">
        <v>91</v>
      </c>
      <c r="D20" s="19" t="s">
        <v>18</v>
      </c>
    </row>
    <row r="22" spans="1:4" ht="15.6" x14ac:dyDescent="0.3">
      <c r="A22" s="90" t="s">
        <v>65</v>
      </c>
    </row>
    <row r="23" spans="1:4" ht="15.6" x14ac:dyDescent="0.3">
      <c r="C23" s="94" t="s">
        <v>60</v>
      </c>
    </row>
    <row r="24" spans="1:4" x14ac:dyDescent="0.25">
      <c r="A24" s="19" t="s">
        <v>66</v>
      </c>
      <c r="C24" s="19">
        <v>7.0000000000000007E-2</v>
      </c>
      <c r="D24" s="19" t="s">
        <v>67</v>
      </c>
    </row>
    <row r="25" spans="1:4" x14ac:dyDescent="0.25">
      <c r="A25" s="19" t="s">
        <v>68</v>
      </c>
      <c r="C25" s="19">
        <v>0.13</v>
      </c>
    </row>
    <row r="26" spans="1:4" x14ac:dyDescent="0.25">
      <c r="A26" s="19" t="s">
        <v>69</v>
      </c>
      <c r="C26" s="19">
        <v>0.06</v>
      </c>
    </row>
    <row r="27" spans="1:4" x14ac:dyDescent="0.25">
      <c r="A27" s="19" t="s">
        <v>70</v>
      </c>
      <c r="C27" s="19">
        <v>0.04</v>
      </c>
    </row>
    <row r="28" spans="1:4" x14ac:dyDescent="0.25">
      <c r="A28" s="19" t="s">
        <v>71</v>
      </c>
      <c r="C28" s="19">
        <v>0.06</v>
      </c>
    </row>
    <row r="29" spans="1:4" x14ac:dyDescent="0.25">
      <c r="A29" s="19" t="s">
        <v>72</v>
      </c>
      <c r="C29" s="19">
        <v>0.06</v>
      </c>
    </row>
    <row r="30" spans="1:4" x14ac:dyDescent="0.25">
      <c r="A30" s="19" t="s">
        <v>73</v>
      </c>
      <c r="C30" s="19">
        <v>0.03</v>
      </c>
    </row>
    <row r="31" spans="1:4" x14ac:dyDescent="0.25">
      <c r="A31" s="19" t="s">
        <v>74</v>
      </c>
      <c r="C31" s="19">
        <v>7.0000000000000007E-2</v>
      </c>
    </row>
    <row r="32" spans="1:4" x14ac:dyDescent="0.25">
      <c r="A32" s="19" t="s">
        <v>75</v>
      </c>
      <c r="C32" s="19">
        <v>0.13</v>
      </c>
    </row>
    <row r="33" spans="1:4" x14ac:dyDescent="0.25">
      <c r="A33" s="19" t="s">
        <v>76</v>
      </c>
      <c r="C33" s="19">
        <v>0.04</v>
      </c>
      <c r="D33" s="19" t="s">
        <v>77</v>
      </c>
    </row>
    <row r="34" spans="1:4" x14ac:dyDescent="0.25">
      <c r="A34" s="19" t="s">
        <v>78</v>
      </c>
      <c r="C34" s="19">
        <v>0.06</v>
      </c>
    </row>
    <row r="35" spans="1:4" x14ac:dyDescent="0.25">
      <c r="A35" s="19" t="s">
        <v>79</v>
      </c>
      <c r="C35" s="19">
        <v>0.04</v>
      </c>
    </row>
    <row r="36" spans="1:4" x14ac:dyDescent="0.25">
      <c r="A36" s="19" t="s">
        <v>80</v>
      </c>
      <c r="C36" s="19">
        <v>0.06</v>
      </c>
    </row>
    <row r="37" spans="1:4" x14ac:dyDescent="0.25">
      <c r="A37" s="19" t="s">
        <v>81</v>
      </c>
      <c r="C37" s="19">
        <v>0.03</v>
      </c>
      <c r="D37" s="19" t="s">
        <v>82</v>
      </c>
    </row>
    <row r="38" spans="1:4" x14ac:dyDescent="0.25">
      <c r="A38" s="19" t="s">
        <v>83</v>
      </c>
      <c r="C38" s="19">
        <v>0.04</v>
      </c>
      <c r="D38" s="19" t="s">
        <v>84</v>
      </c>
    </row>
    <row r="39" spans="1:4" x14ac:dyDescent="0.25">
      <c r="A39" s="19" t="s">
        <v>64</v>
      </c>
      <c r="C39" s="19">
        <v>0.04</v>
      </c>
    </row>
    <row r="40" spans="1:4" x14ac:dyDescent="0.25">
      <c r="C40" s="19" t="s">
        <v>18</v>
      </c>
      <c r="D40" s="19" t="s">
        <v>18</v>
      </c>
    </row>
    <row r="42" spans="1:4" ht="15.6" x14ac:dyDescent="0.3">
      <c r="A42" s="90" t="s">
        <v>85</v>
      </c>
    </row>
    <row r="43" spans="1:4" x14ac:dyDescent="0.25">
      <c r="A43" s="19" t="s">
        <v>86</v>
      </c>
    </row>
    <row r="45" spans="1:4" x14ac:dyDescent="0.25">
      <c r="A45" s="19" t="s">
        <v>87</v>
      </c>
      <c r="D45" s="19" t="s">
        <v>77</v>
      </c>
    </row>
    <row r="46" spans="1:4" x14ac:dyDescent="0.25">
      <c r="A46" s="19" t="s">
        <v>88</v>
      </c>
      <c r="D46" s="19" t="s">
        <v>89</v>
      </c>
    </row>
  </sheetData>
  <pageMargins left="0.75" right="0.75" top="1" bottom="1" header="0.5" footer="0.5"/>
  <pageSetup scale="78" fitToHeight="3" orientation="portrait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zoomScale="75" workbookViewId="0">
      <pane xSplit="2" topLeftCell="C1" activePane="topRight" state="frozen"/>
      <selection pane="topRight" activeCell="C1" sqref="C1"/>
    </sheetView>
  </sheetViews>
  <sheetFormatPr defaultColWidth="8.90625" defaultRowHeight="15" x14ac:dyDescent="0.25"/>
  <cols>
    <col min="1" max="1" width="11.1796875" style="19" customWidth="1"/>
    <col min="2" max="7" width="8.90625" style="19"/>
    <col min="8" max="8" width="8.90625" style="70"/>
    <col min="9" max="10" width="8.90625" style="19"/>
    <col min="11" max="11" width="8.90625" style="70"/>
    <col min="12" max="13" width="8.90625" style="19"/>
    <col min="14" max="14" width="8.90625" style="70"/>
    <col min="15" max="16" width="8.90625" style="19"/>
    <col min="17" max="17" width="8.90625" style="70"/>
    <col min="18" max="19" width="8.90625" style="19"/>
    <col min="20" max="20" width="8.90625" style="70"/>
    <col min="21" max="22" width="8.90625" style="19"/>
    <col min="23" max="23" width="8.90625" style="70"/>
    <col min="24" max="16384" width="8.90625" style="19"/>
  </cols>
  <sheetData>
    <row r="1" spans="1:25" x14ac:dyDescent="0.25">
      <c r="A1" s="19" t="s">
        <v>25</v>
      </c>
    </row>
    <row r="2" spans="1:25" x14ac:dyDescent="0.25">
      <c r="A2" s="20">
        <v>36550</v>
      </c>
    </row>
    <row r="3" spans="1:25" ht="15.6" x14ac:dyDescent="0.3">
      <c r="C3" s="21" t="s">
        <v>26</v>
      </c>
      <c r="D3" s="22"/>
      <c r="E3" s="23"/>
      <c r="F3" s="21" t="s">
        <v>27</v>
      </c>
      <c r="G3" s="22"/>
      <c r="H3" s="71"/>
      <c r="I3" s="21" t="s">
        <v>20</v>
      </c>
      <c r="J3" s="22"/>
      <c r="K3" s="71"/>
      <c r="L3" s="21" t="s">
        <v>21</v>
      </c>
      <c r="M3" s="22"/>
      <c r="N3" s="71"/>
      <c r="O3" s="21" t="s">
        <v>22</v>
      </c>
      <c r="P3" s="22"/>
      <c r="Q3" s="71"/>
      <c r="R3" s="21" t="s">
        <v>23</v>
      </c>
      <c r="S3" s="22"/>
      <c r="T3" s="71"/>
      <c r="U3" s="21" t="s">
        <v>24</v>
      </c>
      <c r="V3" s="22"/>
      <c r="W3" s="71"/>
      <c r="X3" s="24" t="s">
        <v>28</v>
      </c>
      <c r="Y3" s="25"/>
    </row>
    <row r="4" spans="1:25" ht="15.6" x14ac:dyDescent="0.3">
      <c r="C4" s="26" t="s">
        <v>10</v>
      </c>
      <c r="D4" s="27" t="s">
        <v>3</v>
      </c>
      <c r="E4" s="77" t="s">
        <v>29</v>
      </c>
      <c r="F4" s="26" t="s">
        <v>10</v>
      </c>
      <c r="G4" s="27" t="s">
        <v>3</v>
      </c>
      <c r="H4" s="78" t="s">
        <v>29</v>
      </c>
      <c r="I4" s="26" t="s">
        <v>10</v>
      </c>
      <c r="J4" s="27" t="s">
        <v>3</v>
      </c>
      <c r="K4" s="78" t="s">
        <v>29</v>
      </c>
      <c r="L4" s="26" t="s">
        <v>10</v>
      </c>
      <c r="M4" s="27" t="s">
        <v>3</v>
      </c>
      <c r="N4" s="78" t="s">
        <v>29</v>
      </c>
      <c r="O4" s="26" t="s">
        <v>10</v>
      </c>
      <c r="P4" s="27" t="s">
        <v>3</v>
      </c>
      <c r="Q4" s="78" t="s">
        <v>29</v>
      </c>
      <c r="R4" s="26" t="s">
        <v>10</v>
      </c>
      <c r="S4" s="27" t="s">
        <v>3</v>
      </c>
      <c r="T4" s="78" t="s">
        <v>29</v>
      </c>
      <c r="U4" s="26" t="s">
        <v>10</v>
      </c>
      <c r="V4" s="27" t="s">
        <v>3</v>
      </c>
      <c r="W4" s="72" t="s">
        <v>29</v>
      </c>
      <c r="X4" s="28"/>
      <c r="Y4" s="67" t="s">
        <v>38</v>
      </c>
    </row>
    <row r="5" spans="1:25" x14ac:dyDescent="0.25">
      <c r="B5" s="29">
        <v>36557</v>
      </c>
      <c r="C5" s="30">
        <v>-0.13500000000000001</v>
      </c>
      <c r="D5" s="31">
        <v>5.0000000000000001E-3</v>
      </c>
      <c r="E5" s="32">
        <f>C5+D5</f>
        <v>-0.13</v>
      </c>
      <c r="F5" s="33">
        <v>5.0000000000000001E-3</v>
      </c>
      <c r="G5" s="34">
        <v>0</v>
      </c>
      <c r="H5" s="73">
        <f>F5+G5</f>
        <v>5.0000000000000001E-3</v>
      </c>
      <c r="I5" s="33">
        <v>1.4999999999999999E-2</v>
      </c>
      <c r="J5" s="34">
        <v>1.4999999999999999E-2</v>
      </c>
      <c r="K5" s="73">
        <f>I5+J5</f>
        <v>0.03</v>
      </c>
      <c r="L5" s="33">
        <v>0</v>
      </c>
      <c r="M5" s="34">
        <v>7.4999999999999997E-3</v>
      </c>
      <c r="N5" s="73">
        <f>L5+M5</f>
        <v>7.4999999999999997E-3</v>
      </c>
      <c r="O5" s="33">
        <v>-3.5000000000000003E-2</v>
      </c>
      <c r="P5" s="34">
        <v>5.0000000000000001E-3</v>
      </c>
      <c r="Q5" s="73">
        <f>O5+P5</f>
        <v>-3.0000000000000002E-2</v>
      </c>
      <c r="R5" s="33">
        <v>-0.05</v>
      </c>
      <c r="S5" s="34">
        <v>1.2500000000000001E-2</v>
      </c>
      <c r="T5" s="73">
        <f>R5+S5</f>
        <v>-3.7500000000000006E-2</v>
      </c>
      <c r="U5" s="33">
        <v>3.2500000000000001E-2</v>
      </c>
      <c r="V5" s="34">
        <v>5.0000000000000001E-3</v>
      </c>
      <c r="W5" s="73">
        <f>U5+V5</f>
        <v>3.7499999999999999E-2</v>
      </c>
      <c r="X5" s="35">
        <v>2.6160000000000001</v>
      </c>
    </row>
    <row r="6" spans="1:25" x14ac:dyDescent="0.25">
      <c r="B6" s="29">
        <v>36586</v>
      </c>
      <c r="C6" s="17">
        <v>-0.13500000000000001</v>
      </c>
      <c r="D6" s="36">
        <v>5.0000000000000001E-3</v>
      </c>
      <c r="E6" s="37">
        <f t="shared" ref="E6:E30" si="0">C6+D6</f>
        <v>-0.13</v>
      </c>
      <c r="F6" s="38">
        <v>5.0000000000000001E-3</v>
      </c>
      <c r="G6" s="39">
        <v>5.0000000000000001E-3</v>
      </c>
      <c r="H6" s="74">
        <f t="shared" ref="H6:H30" si="1">F6+G6</f>
        <v>0.01</v>
      </c>
      <c r="I6" s="38">
        <v>1.4999999999999999E-2</v>
      </c>
      <c r="J6" s="39">
        <v>1.4999999999999999E-2</v>
      </c>
      <c r="K6" s="74">
        <f t="shared" ref="K6:K30" si="2">I6+J6</f>
        <v>0.03</v>
      </c>
      <c r="L6" s="38">
        <v>-2.5000000000000001E-3</v>
      </c>
      <c r="M6" s="39">
        <v>5.0000000000000001E-3</v>
      </c>
      <c r="N6" s="74">
        <f t="shared" ref="N6:N30" si="3">L6+M6</f>
        <v>2.5000000000000001E-3</v>
      </c>
      <c r="O6" s="38">
        <v>-3.5000000000000003E-2</v>
      </c>
      <c r="P6" s="39">
        <v>5.0000000000000001E-3</v>
      </c>
      <c r="Q6" s="74">
        <f t="shared" ref="Q6:Q30" si="4">O6+P6</f>
        <v>-3.0000000000000002E-2</v>
      </c>
      <c r="R6" s="38">
        <v>-5.2499999999999998E-2</v>
      </c>
      <c r="S6" s="39">
        <v>1.2500000000000001E-2</v>
      </c>
      <c r="T6" s="74">
        <f t="shared" ref="T6:T30" si="5">R6+S6</f>
        <v>-3.9999999999999994E-2</v>
      </c>
      <c r="U6" s="38">
        <v>2.75E-2</v>
      </c>
      <c r="V6" s="39">
        <v>5.0000000000000001E-3</v>
      </c>
      <c r="W6" s="74">
        <f t="shared" ref="W6:W30" si="6">U6+V6</f>
        <v>3.2500000000000001E-2</v>
      </c>
      <c r="X6" s="35">
        <v>2.5619999999999998</v>
      </c>
    </row>
    <row r="7" spans="1:25" s="80" customFormat="1" x14ac:dyDescent="0.25">
      <c r="B7" s="81">
        <v>36617</v>
      </c>
      <c r="C7" s="82">
        <v>-0.11749999999999999</v>
      </c>
      <c r="D7" s="83">
        <v>5.0000000000000001E-3</v>
      </c>
      <c r="E7" s="84">
        <v>-0.1125</v>
      </c>
      <c r="F7" s="85">
        <v>7.4999999999999997E-3</v>
      </c>
      <c r="G7" s="86">
        <v>5.0000000000000001E-3</v>
      </c>
      <c r="H7" s="87">
        <v>1.2500000000000001E-2</v>
      </c>
      <c r="I7" s="85">
        <v>1.4999999999999999E-2</v>
      </c>
      <c r="J7" s="86">
        <v>0.01</v>
      </c>
      <c r="K7" s="87">
        <v>2.5000000000000001E-2</v>
      </c>
      <c r="L7" s="85">
        <v>5.0000000000000001E-3</v>
      </c>
      <c r="M7" s="86">
        <v>5.0000000000000001E-3</v>
      </c>
      <c r="N7" s="87">
        <v>0.01</v>
      </c>
      <c r="O7" s="85">
        <v>-2.75E-2</v>
      </c>
      <c r="P7" s="86">
        <v>7.4999999999999997E-3</v>
      </c>
      <c r="Q7" s="87">
        <v>-0.02</v>
      </c>
      <c r="R7" s="85">
        <v>-5.7500000000000002E-2</v>
      </c>
      <c r="S7" s="86">
        <v>0.01</v>
      </c>
      <c r="T7" s="87">
        <v>-4.7500000000000001E-2</v>
      </c>
      <c r="U7" s="85">
        <v>2.5000000000000001E-2</v>
      </c>
      <c r="V7" s="86">
        <v>5.0000000000000001E-3</v>
      </c>
      <c r="W7" s="87">
        <v>0.03</v>
      </c>
      <c r="X7" s="88">
        <v>2.508</v>
      </c>
      <c r="Y7" s="89">
        <v>0.99</v>
      </c>
    </row>
    <row r="8" spans="1:25" s="80" customFormat="1" x14ac:dyDescent="0.25">
      <c r="B8" s="81">
        <v>36647</v>
      </c>
      <c r="C8" s="82">
        <v>-0.11749999999999999</v>
      </c>
      <c r="D8" s="83">
        <v>5.0000000000000001E-3</v>
      </c>
      <c r="E8" s="84">
        <v>-0.1125</v>
      </c>
      <c r="F8" s="85">
        <v>7.4999999999999997E-3</v>
      </c>
      <c r="G8" s="86">
        <v>5.0000000000000001E-3</v>
      </c>
      <c r="H8" s="87">
        <v>1.2500000000000001E-2</v>
      </c>
      <c r="I8" s="85">
        <v>1.4999999999999999E-2</v>
      </c>
      <c r="J8" s="86">
        <v>0.01</v>
      </c>
      <c r="K8" s="87">
        <v>2.5000000000000001E-2</v>
      </c>
      <c r="L8" s="85">
        <v>5.0000000000000001E-3</v>
      </c>
      <c r="M8" s="86">
        <v>5.0000000000000001E-3</v>
      </c>
      <c r="N8" s="87">
        <v>0.01</v>
      </c>
      <c r="O8" s="85">
        <v>-2.75E-2</v>
      </c>
      <c r="P8" s="86">
        <v>7.4999999999999997E-3</v>
      </c>
      <c r="Q8" s="87">
        <v>-0.02</v>
      </c>
      <c r="R8" s="85">
        <v>-5.7500000000000002E-2</v>
      </c>
      <c r="S8" s="86">
        <v>0.01</v>
      </c>
      <c r="T8" s="87">
        <v>-4.7500000000000001E-2</v>
      </c>
      <c r="U8" s="85">
        <v>2.75E-2</v>
      </c>
      <c r="V8" s="86">
        <v>5.0000000000000001E-3</v>
      </c>
      <c r="W8" s="87">
        <v>3.2500000000000001E-2</v>
      </c>
      <c r="X8" s="88">
        <v>2.496</v>
      </c>
      <c r="Y8" s="89">
        <v>0.98799999999999999</v>
      </c>
    </row>
    <row r="9" spans="1:25" s="80" customFormat="1" x14ac:dyDescent="0.25">
      <c r="B9" s="81">
        <v>36678</v>
      </c>
      <c r="C9" s="82">
        <v>-0.11749999999999999</v>
      </c>
      <c r="D9" s="83">
        <v>5.0000000000000001E-3</v>
      </c>
      <c r="E9" s="84">
        <v>-0.1125</v>
      </c>
      <c r="F9" s="85">
        <v>5.0000000000000001E-3</v>
      </c>
      <c r="G9" s="86">
        <v>5.0000000000000001E-3</v>
      </c>
      <c r="H9" s="87">
        <v>0.01</v>
      </c>
      <c r="I9" s="85">
        <v>1.4999999999999999E-2</v>
      </c>
      <c r="J9" s="86">
        <v>0.01</v>
      </c>
      <c r="K9" s="87">
        <v>2.5000000000000001E-2</v>
      </c>
      <c r="L9" s="85">
        <v>7.4999999999999997E-3</v>
      </c>
      <c r="M9" s="86">
        <v>5.0000000000000001E-3</v>
      </c>
      <c r="N9" s="87">
        <v>1.2500000000000001E-2</v>
      </c>
      <c r="O9" s="85">
        <v>-2.5000000000000001E-2</v>
      </c>
      <c r="P9" s="86">
        <v>7.4999999999999997E-3</v>
      </c>
      <c r="Q9" s="87">
        <v>-1.7500000000000002E-2</v>
      </c>
      <c r="R9" s="85">
        <v>-5.7500000000000002E-2</v>
      </c>
      <c r="S9" s="86">
        <v>0.01</v>
      </c>
      <c r="T9" s="87">
        <v>-4.7500000000000001E-2</v>
      </c>
      <c r="U9" s="85">
        <v>2.75E-2</v>
      </c>
      <c r="V9" s="86">
        <v>5.0000000000000001E-3</v>
      </c>
      <c r="W9" s="87">
        <v>3.2500000000000001E-2</v>
      </c>
      <c r="X9" s="88">
        <v>2.5059999999999998</v>
      </c>
      <c r="Y9" s="89">
        <v>0.98699999999999999</v>
      </c>
    </row>
    <row r="10" spans="1:25" s="80" customFormat="1" x14ac:dyDescent="0.25">
      <c r="B10" s="81">
        <v>36708</v>
      </c>
      <c r="C10" s="82">
        <v>-0.11749999999999999</v>
      </c>
      <c r="D10" s="83">
        <v>5.0000000000000001E-3</v>
      </c>
      <c r="E10" s="84">
        <v>-0.1125</v>
      </c>
      <c r="F10" s="85">
        <v>5.0000000000000001E-3</v>
      </c>
      <c r="G10" s="86">
        <v>5.0000000000000001E-3</v>
      </c>
      <c r="H10" s="87">
        <v>0.01</v>
      </c>
      <c r="I10" s="85">
        <v>1.4999999999999999E-2</v>
      </c>
      <c r="J10" s="86">
        <v>0.01</v>
      </c>
      <c r="K10" s="87">
        <v>2.5000000000000001E-2</v>
      </c>
      <c r="L10" s="85">
        <v>7.4999999999999997E-3</v>
      </c>
      <c r="M10" s="86">
        <v>5.0000000000000001E-3</v>
      </c>
      <c r="N10" s="87">
        <v>1.2500000000000001E-2</v>
      </c>
      <c r="O10" s="85">
        <v>-2.5000000000000001E-2</v>
      </c>
      <c r="P10" s="86">
        <v>7.4999999999999997E-3</v>
      </c>
      <c r="Q10" s="87">
        <v>-1.7500000000000002E-2</v>
      </c>
      <c r="R10" s="85">
        <v>-5.7500000000000002E-2</v>
      </c>
      <c r="S10" s="86">
        <v>0.01</v>
      </c>
      <c r="T10" s="87">
        <v>-4.7500000000000001E-2</v>
      </c>
      <c r="U10" s="85">
        <v>2.75E-2</v>
      </c>
      <c r="V10" s="86">
        <v>5.0000000000000001E-3</v>
      </c>
      <c r="W10" s="87">
        <v>3.2500000000000001E-2</v>
      </c>
      <c r="X10" s="88">
        <v>2.52</v>
      </c>
      <c r="Y10" s="89">
        <f>+Y9-0.001</f>
        <v>0.98599999999999999</v>
      </c>
    </row>
    <row r="11" spans="1:25" s="80" customFormat="1" x14ac:dyDescent="0.25">
      <c r="B11" s="81">
        <v>36739</v>
      </c>
      <c r="C11" s="82">
        <v>-0.11749999999999999</v>
      </c>
      <c r="D11" s="83">
        <v>5.0000000000000001E-3</v>
      </c>
      <c r="E11" s="84">
        <v>-0.1125</v>
      </c>
      <c r="F11" s="85">
        <v>5.0000000000000001E-3</v>
      </c>
      <c r="G11" s="86">
        <v>5.0000000000000001E-3</v>
      </c>
      <c r="H11" s="87">
        <v>0.01</v>
      </c>
      <c r="I11" s="85">
        <v>1.4999999999999999E-2</v>
      </c>
      <c r="J11" s="86">
        <v>0.01</v>
      </c>
      <c r="K11" s="87">
        <v>2.5000000000000001E-2</v>
      </c>
      <c r="L11" s="85">
        <v>7.4999999999999997E-3</v>
      </c>
      <c r="M11" s="86">
        <v>5.0000000000000001E-3</v>
      </c>
      <c r="N11" s="87">
        <v>1.2500000000000001E-2</v>
      </c>
      <c r="O11" s="85">
        <v>-2.5000000000000001E-2</v>
      </c>
      <c r="P11" s="86">
        <v>7.4999999999999997E-3</v>
      </c>
      <c r="Q11" s="87">
        <v>-1.7500000000000002E-2</v>
      </c>
      <c r="R11" s="85">
        <v>-5.7500000000000002E-2</v>
      </c>
      <c r="S11" s="86">
        <v>0.01</v>
      </c>
      <c r="T11" s="87">
        <v>-4.7500000000000001E-2</v>
      </c>
      <c r="U11" s="85">
        <v>2.75E-2</v>
      </c>
      <c r="V11" s="86">
        <v>5.0000000000000001E-3</v>
      </c>
      <c r="W11" s="87">
        <v>3.2500000000000001E-2</v>
      </c>
      <c r="X11" s="88">
        <v>2.5339999999999998</v>
      </c>
      <c r="Y11" s="89">
        <f t="shared" ref="Y11:Y18" si="7">+Y10-0.001</f>
        <v>0.98499999999999999</v>
      </c>
    </row>
    <row r="12" spans="1:25" s="80" customFormat="1" x14ac:dyDescent="0.25">
      <c r="B12" s="81">
        <v>36770</v>
      </c>
      <c r="C12" s="82">
        <v>-0.11749999999999999</v>
      </c>
      <c r="D12" s="83">
        <v>5.0000000000000001E-3</v>
      </c>
      <c r="E12" s="84">
        <v>-0.1125</v>
      </c>
      <c r="F12" s="85">
        <v>5.0000000000000001E-3</v>
      </c>
      <c r="G12" s="86">
        <v>5.0000000000000001E-3</v>
      </c>
      <c r="H12" s="87">
        <v>0.01</v>
      </c>
      <c r="I12" s="85">
        <v>1.4999999999999999E-2</v>
      </c>
      <c r="J12" s="86">
        <v>0.01</v>
      </c>
      <c r="K12" s="87">
        <v>2.5000000000000001E-2</v>
      </c>
      <c r="L12" s="85">
        <v>2.5000000000000001E-3</v>
      </c>
      <c r="M12" s="86">
        <v>5.0000000000000001E-3</v>
      </c>
      <c r="N12" s="87">
        <v>7.4999999999999997E-3</v>
      </c>
      <c r="O12" s="85">
        <v>-0.03</v>
      </c>
      <c r="P12" s="86">
        <v>7.4999999999999997E-3</v>
      </c>
      <c r="Q12" s="87">
        <v>-2.2499999999999999E-2</v>
      </c>
      <c r="R12" s="85">
        <v>-5.7500000000000002E-2</v>
      </c>
      <c r="S12" s="86">
        <v>0.01</v>
      </c>
      <c r="T12" s="87">
        <v>-4.7500000000000001E-2</v>
      </c>
      <c r="U12" s="85">
        <v>2.2499999999999999E-2</v>
      </c>
      <c r="V12" s="86">
        <v>5.0000000000000001E-3</v>
      </c>
      <c r="W12" s="87">
        <v>2.75E-2</v>
      </c>
      <c r="X12" s="88">
        <v>2.54</v>
      </c>
      <c r="Y12" s="89">
        <f t="shared" si="7"/>
        <v>0.98399999999999999</v>
      </c>
    </row>
    <row r="13" spans="1:25" s="80" customFormat="1" x14ac:dyDescent="0.25">
      <c r="B13" s="81">
        <v>36800</v>
      </c>
      <c r="C13" s="82">
        <v>-0.11749999999999999</v>
      </c>
      <c r="D13" s="83">
        <v>5.0000000000000001E-3</v>
      </c>
      <c r="E13" s="84">
        <v>-0.1125</v>
      </c>
      <c r="F13" s="85">
        <v>5.0000000000000001E-3</v>
      </c>
      <c r="G13" s="86">
        <v>5.0000000000000001E-3</v>
      </c>
      <c r="H13" s="87">
        <v>0.01</v>
      </c>
      <c r="I13" s="85">
        <v>1.4999999999999999E-2</v>
      </c>
      <c r="J13" s="86">
        <v>0.01</v>
      </c>
      <c r="K13" s="87">
        <v>2.5000000000000001E-2</v>
      </c>
      <c r="L13" s="85">
        <v>2.5000000000000001E-3</v>
      </c>
      <c r="M13" s="86">
        <v>5.0000000000000001E-3</v>
      </c>
      <c r="N13" s="87">
        <v>7.4999999999999997E-3</v>
      </c>
      <c r="O13" s="85">
        <v>-0.03</v>
      </c>
      <c r="P13" s="86">
        <v>7.4999999999999997E-3</v>
      </c>
      <c r="Q13" s="87">
        <v>-2.2499999999999999E-2</v>
      </c>
      <c r="R13" s="85">
        <v>-5.7500000000000002E-2</v>
      </c>
      <c r="S13" s="86">
        <v>0.01</v>
      </c>
      <c r="T13" s="87">
        <v>-4.7500000000000001E-2</v>
      </c>
      <c r="U13" s="85">
        <v>2.2499999999999999E-2</v>
      </c>
      <c r="V13" s="86">
        <v>5.0000000000000001E-3</v>
      </c>
      <c r="W13" s="87">
        <v>2.75E-2</v>
      </c>
      <c r="X13" s="88">
        <v>2.5670000000000002</v>
      </c>
      <c r="Y13" s="89">
        <f t="shared" si="7"/>
        <v>0.98299999999999998</v>
      </c>
    </row>
    <row r="14" spans="1:25" s="40" customFormat="1" x14ac:dyDescent="0.25">
      <c r="B14" s="41">
        <v>36831</v>
      </c>
      <c r="C14" s="18">
        <v>-0.1575</v>
      </c>
      <c r="D14" s="42">
        <v>5.0000000000000001E-3</v>
      </c>
      <c r="E14" s="43">
        <v>-0.1525</v>
      </c>
      <c r="F14" s="44">
        <v>5.0000000000000001E-3</v>
      </c>
      <c r="G14" s="45">
        <v>5.0000000000000001E-3</v>
      </c>
      <c r="H14" s="75">
        <v>0.01</v>
      </c>
      <c r="I14" s="44">
        <v>1.2500000000000001E-2</v>
      </c>
      <c r="J14" s="45">
        <v>0.02</v>
      </c>
      <c r="K14" s="75">
        <v>3.2500000000000001E-2</v>
      </c>
      <c r="L14" s="44">
        <v>-1.2500000000000001E-2</v>
      </c>
      <c r="M14" s="45">
        <v>5.0000000000000001E-3</v>
      </c>
      <c r="N14" s="75">
        <v>-7.4999999999999997E-3</v>
      </c>
      <c r="O14" s="44">
        <v>-4.2500000000000003E-2</v>
      </c>
      <c r="P14" s="45">
        <v>7.4999999999999997E-3</v>
      </c>
      <c r="Q14" s="75">
        <v>-3.5000000000000003E-2</v>
      </c>
      <c r="R14" s="44">
        <v>-6.5000000000000002E-2</v>
      </c>
      <c r="S14" s="45">
        <v>6.2500000000000003E-3</v>
      </c>
      <c r="T14" s="75">
        <v>-5.8749999999999997E-2</v>
      </c>
      <c r="U14" s="44">
        <v>2.2499999999999999E-2</v>
      </c>
      <c r="V14" s="45">
        <v>7.4999999999999997E-3</v>
      </c>
      <c r="W14" s="75">
        <v>0.03</v>
      </c>
      <c r="X14" s="46">
        <v>2.6970000000000001</v>
      </c>
      <c r="Y14" s="68">
        <f t="shared" si="7"/>
        <v>0.98199999999999998</v>
      </c>
    </row>
    <row r="15" spans="1:25" s="40" customFormat="1" x14ac:dyDescent="0.25">
      <c r="B15" s="41">
        <v>36861</v>
      </c>
      <c r="C15" s="18">
        <v>-0.1575</v>
      </c>
      <c r="D15" s="42">
        <v>9.5000000000000015E-3</v>
      </c>
      <c r="E15" s="43">
        <v>-0.14799999999999999</v>
      </c>
      <c r="F15" s="44">
        <v>5.0000000000000001E-3</v>
      </c>
      <c r="G15" s="45">
        <v>5.0000000000000001E-3</v>
      </c>
      <c r="H15" s="75">
        <v>0.01</v>
      </c>
      <c r="I15" s="44">
        <v>1.2500000000000001E-2</v>
      </c>
      <c r="J15" s="45">
        <v>0.02</v>
      </c>
      <c r="K15" s="75">
        <v>3.2500000000000001E-2</v>
      </c>
      <c r="L15" s="44">
        <v>-1.2500000000000001E-2</v>
      </c>
      <c r="M15" s="45">
        <v>5.0000000000000001E-3</v>
      </c>
      <c r="N15" s="75">
        <v>-7.4999999999999997E-3</v>
      </c>
      <c r="O15" s="44">
        <v>-4.2500000000000003E-2</v>
      </c>
      <c r="P15" s="45">
        <v>7.4999999999999997E-3</v>
      </c>
      <c r="Q15" s="75">
        <v>-3.5000000000000003E-2</v>
      </c>
      <c r="R15" s="44">
        <v>-6.5000000000000002E-2</v>
      </c>
      <c r="S15" s="45">
        <v>6.2500000000000003E-3</v>
      </c>
      <c r="T15" s="75">
        <v>-5.8749999999999997E-2</v>
      </c>
      <c r="U15" s="44">
        <v>2.2499999999999999E-2</v>
      </c>
      <c r="V15" s="45">
        <v>7.4999999999999997E-3</v>
      </c>
      <c r="W15" s="75">
        <v>0.03</v>
      </c>
      <c r="X15" s="46">
        <v>2.8079999999999998</v>
      </c>
      <c r="Y15" s="68">
        <f t="shared" si="7"/>
        <v>0.98099999999999998</v>
      </c>
    </row>
    <row r="16" spans="1:25" s="40" customFormat="1" x14ac:dyDescent="0.25">
      <c r="B16" s="41">
        <v>36892</v>
      </c>
      <c r="C16" s="18">
        <v>-0.1575</v>
      </c>
      <c r="D16" s="42">
        <v>7.000000000000001E-3</v>
      </c>
      <c r="E16" s="43">
        <v>-0.15049999999999999</v>
      </c>
      <c r="F16" s="44">
        <v>5.0000000000000001E-3</v>
      </c>
      <c r="G16" s="45">
        <v>5.0000000000000001E-3</v>
      </c>
      <c r="H16" s="75">
        <v>0.01</v>
      </c>
      <c r="I16" s="44">
        <v>1.2500000000000001E-2</v>
      </c>
      <c r="J16" s="45">
        <v>0.02</v>
      </c>
      <c r="K16" s="75">
        <v>3.2500000000000001E-2</v>
      </c>
      <c r="L16" s="44">
        <v>-1.2500000000000001E-2</v>
      </c>
      <c r="M16" s="45">
        <v>5.0000000000000001E-3</v>
      </c>
      <c r="N16" s="75">
        <v>-7.4999999999999997E-3</v>
      </c>
      <c r="O16" s="44">
        <v>-4.2500000000000003E-2</v>
      </c>
      <c r="P16" s="45">
        <v>7.4999999999999997E-3</v>
      </c>
      <c r="Q16" s="75">
        <v>-3.5000000000000003E-2</v>
      </c>
      <c r="R16" s="44">
        <v>-6.5000000000000002E-2</v>
      </c>
      <c r="S16" s="45">
        <v>6.2500000000000003E-3</v>
      </c>
      <c r="T16" s="75">
        <v>-5.8749999999999997E-2</v>
      </c>
      <c r="U16" s="44">
        <v>2.2499999999999999E-2</v>
      </c>
      <c r="V16" s="45">
        <v>7.4999999999999997E-3</v>
      </c>
      <c r="W16" s="75">
        <v>0.03</v>
      </c>
      <c r="X16" s="46">
        <v>2.8380000000000001</v>
      </c>
      <c r="Y16" s="68">
        <f t="shared" si="7"/>
        <v>0.98</v>
      </c>
    </row>
    <row r="17" spans="2:25" s="40" customFormat="1" x14ac:dyDescent="0.25">
      <c r="B17" s="41">
        <v>36923</v>
      </c>
      <c r="C17" s="18">
        <v>-0.1575</v>
      </c>
      <c r="D17" s="42">
        <v>7.000000000000001E-3</v>
      </c>
      <c r="E17" s="43">
        <v>-0.15049999999999999</v>
      </c>
      <c r="F17" s="44">
        <v>5.0000000000000001E-3</v>
      </c>
      <c r="G17" s="45">
        <v>5.0000000000000001E-3</v>
      </c>
      <c r="H17" s="75">
        <v>0.01</v>
      </c>
      <c r="I17" s="44">
        <v>1.2500000000000001E-2</v>
      </c>
      <c r="J17" s="45">
        <v>0.02</v>
      </c>
      <c r="K17" s="75">
        <v>3.2500000000000001E-2</v>
      </c>
      <c r="L17" s="44">
        <v>-1.2500000000000001E-2</v>
      </c>
      <c r="M17" s="45">
        <v>5.0000000000000001E-3</v>
      </c>
      <c r="N17" s="75">
        <v>-7.4999999999999997E-3</v>
      </c>
      <c r="O17" s="44">
        <v>-4.2500000000000003E-2</v>
      </c>
      <c r="P17" s="45">
        <v>7.4999999999999997E-3</v>
      </c>
      <c r="Q17" s="75">
        <v>-3.5000000000000003E-2</v>
      </c>
      <c r="R17" s="44">
        <v>-6.5000000000000002E-2</v>
      </c>
      <c r="S17" s="45">
        <v>6.2500000000000003E-3</v>
      </c>
      <c r="T17" s="75">
        <v>-5.8749999999999997E-2</v>
      </c>
      <c r="U17" s="44">
        <v>2.2499999999999999E-2</v>
      </c>
      <c r="V17" s="45">
        <v>7.4999999999999997E-3</v>
      </c>
      <c r="W17" s="75">
        <v>0.03</v>
      </c>
      <c r="X17" s="46">
        <v>2.7</v>
      </c>
      <c r="Y17" s="68">
        <f t="shared" si="7"/>
        <v>0.97899999999999998</v>
      </c>
    </row>
    <row r="18" spans="2:25" s="40" customFormat="1" x14ac:dyDescent="0.25">
      <c r="B18" s="41">
        <v>36951</v>
      </c>
      <c r="C18" s="18">
        <v>-0.1575</v>
      </c>
      <c r="D18" s="42">
        <v>7.000000000000001E-3</v>
      </c>
      <c r="E18" s="43">
        <v>-0.15049999999999999</v>
      </c>
      <c r="F18" s="44">
        <v>5.0000000000000001E-3</v>
      </c>
      <c r="G18" s="45">
        <v>5.0000000000000001E-3</v>
      </c>
      <c r="H18" s="75">
        <v>0.01</v>
      </c>
      <c r="I18" s="44">
        <v>1.2500000000000001E-2</v>
      </c>
      <c r="J18" s="45">
        <v>0.02</v>
      </c>
      <c r="K18" s="75">
        <v>3.2500000000000001E-2</v>
      </c>
      <c r="L18" s="44">
        <v>-1.2500000000000001E-2</v>
      </c>
      <c r="M18" s="45">
        <v>5.0000000000000001E-3</v>
      </c>
      <c r="N18" s="75">
        <v>-7.4999999999999997E-3</v>
      </c>
      <c r="O18" s="44">
        <v>-4.2500000000000003E-2</v>
      </c>
      <c r="P18" s="45">
        <v>7.4999999999999997E-3</v>
      </c>
      <c r="Q18" s="75">
        <v>-3.5000000000000003E-2</v>
      </c>
      <c r="R18" s="44">
        <v>-6.5000000000000002E-2</v>
      </c>
      <c r="S18" s="45">
        <v>6.2500000000000003E-3</v>
      </c>
      <c r="T18" s="75">
        <v>-5.8749999999999997E-2</v>
      </c>
      <c r="U18" s="44">
        <v>2.2499999999999999E-2</v>
      </c>
      <c r="V18" s="45">
        <v>7.4999999999999997E-3</v>
      </c>
      <c r="W18" s="75">
        <v>0.03</v>
      </c>
      <c r="X18" s="46">
        <v>2.5779999999999998</v>
      </c>
      <c r="Y18" s="68">
        <f t="shared" si="7"/>
        <v>0.97799999999999998</v>
      </c>
    </row>
    <row r="19" spans="2:25" x14ac:dyDescent="0.25">
      <c r="B19" s="29">
        <v>36982</v>
      </c>
      <c r="C19" s="17">
        <v>-0.11550000000000001</v>
      </c>
      <c r="D19" s="36">
        <v>7.000000000000001E-3</v>
      </c>
      <c r="E19" s="37">
        <f t="shared" si="0"/>
        <v>-0.1085</v>
      </c>
      <c r="F19" s="38">
        <v>5.0000000000000001E-3</v>
      </c>
      <c r="G19" s="39">
        <v>5.0000000000000001E-3</v>
      </c>
      <c r="H19" s="74">
        <f t="shared" si="1"/>
        <v>0.01</v>
      </c>
      <c r="I19" s="38">
        <v>1.7000000000000001E-2</v>
      </c>
      <c r="J19" s="39">
        <v>0.01</v>
      </c>
      <c r="K19" s="74">
        <f t="shared" si="2"/>
        <v>2.7000000000000003E-2</v>
      </c>
      <c r="L19" s="38">
        <v>4.7500000000000007E-3</v>
      </c>
      <c r="M19" s="39">
        <v>5.0000000000000001E-3</v>
      </c>
      <c r="N19" s="74">
        <f t="shared" si="3"/>
        <v>9.7500000000000017E-3</v>
      </c>
      <c r="O19" s="38">
        <v>-2.5249999999999998E-2</v>
      </c>
      <c r="P19" s="39">
        <v>0.01</v>
      </c>
      <c r="Q19" s="74">
        <f t="shared" si="4"/>
        <v>-1.5249999999999998E-2</v>
      </c>
      <c r="R19" s="38">
        <v>-5.5E-2</v>
      </c>
      <c r="S19" s="39">
        <v>3.7499999999999999E-3</v>
      </c>
      <c r="T19" s="74">
        <f t="shared" si="5"/>
        <v>-5.1250000000000004E-2</v>
      </c>
      <c r="U19" s="38">
        <v>2.75E-2</v>
      </c>
      <c r="V19" s="39">
        <v>7.4999999999999997E-3</v>
      </c>
      <c r="W19" s="74">
        <f t="shared" si="6"/>
        <v>3.5000000000000003E-2</v>
      </c>
      <c r="X19" s="35">
        <v>2.4900000000000002</v>
      </c>
    </row>
    <row r="20" spans="2:25" x14ac:dyDescent="0.25">
      <c r="B20" s="29">
        <v>37012</v>
      </c>
      <c r="C20" s="17">
        <v>-0.11550000000000001</v>
      </c>
      <c r="D20" s="36">
        <v>7.000000000000001E-3</v>
      </c>
      <c r="E20" s="37">
        <f t="shared" si="0"/>
        <v>-0.1085</v>
      </c>
      <c r="F20" s="38">
        <v>5.0000000000000001E-3</v>
      </c>
      <c r="G20" s="39">
        <v>5.0000000000000001E-3</v>
      </c>
      <c r="H20" s="74">
        <f t="shared" si="1"/>
        <v>0.01</v>
      </c>
      <c r="I20" s="38">
        <v>1.7000000000000001E-2</v>
      </c>
      <c r="J20" s="39">
        <v>0.01</v>
      </c>
      <c r="K20" s="74">
        <f t="shared" si="2"/>
        <v>2.7000000000000003E-2</v>
      </c>
      <c r="L20" s="38">
        <v>4.7500000000000007E-3</v>
      </c>
      <c r="M20" s="39">
        <v>5.0000000000000001E-3</v>
      </c>
      <c r="N20" s="74">
        <f t="shared" si="3"/>
        <v>9.7500000000000017E-3</v>
      </c>
      <c r="O20" s="38">
        <v>-2.5249999999999998E-2</v>
      </c>
      <c r="P20" s="39">
        <v>0.01</v>
      </c>
      <c r="Q20" s="74">
        <f t="shared" si="4"/>
        <v>-1.5249999999999998E-2</v>
      </c>
      <c r="R20" s="38">
        <v>-5.5E-2</v>
      </c>
      <c r="S20" s="39">
        <v>3.7499999999999999E-3</v>
      </c>
      <c r="T20" s="74">
        <f t="shared" si="5"/>
        <v>-5.1250000000000004E-2</v>
      </c>
      <c r="U20" s="38">
        <v>2.75E-2</v>
      </c>
      <c r="V20" s="39">
        <v>7.4999999999999997E-3</v>
      </c>
      <c r="W20" s="74">
        <f t="shared" si="6"/>
        <v>3.5000000000000003E-2</v>
      </c>
      <c r="X20" s="35">
        <v>2.4590000000000001</v>
      </c>
    </row>
    <row r="21" spans="2:25" x14ac:dyDescent="0.25">
      <c r="B21" s="29">
        <v>37043</v>
      </c>
      <c r="C21" s="17">
        <v>-0.11550000000000001</v>
      </c>
      <c r="D21" s="36">
        <v>7.000000000000001E-3</v>
      </c>
      <c r="E21" s="37">
        <f t="shared" si="0"/>
        <v>-0.1085</v>
      </c>
      <c r="F21" s="38">
        <v>5.0000000000000001E-3</v>
      </c>
      <c r="G21" s="39">
        <v>5.0000000000000001E-3</v>
      </c>
      <c r="H21" s="74">
        <f t="shared" si="1"/>
        <v>0.01</v>
      </c>
      <c r="I21" s="38">
        <v>1.7000000000000001E-2</v>
      </c>
      <c r="J21" s="39">
        <v>0.01</v>
      </c>
      <c r="K21" s="74">
        <f t="shared" si="2"/>
        <v>2.7000000000000003E-2</v>
      </c>
      <c r="L21" s="38">
        <v>4.7500000000000007E-3</v>
      </c>
      <c r="M21" s="39">
        <v>5.0000000000000001E-3</v>
      </c>
      <c r="N21" s="74">
        <f t="shared" si="3"/>
        <v>9.7500000000000017E-3</v>
      </c>
      <c r="O21" s="38">
        <v>-2.5249999999999998E-2</v>
      </c>
      <c r="P21" s="39">
        <v>0.01</v>
      </c>
      <c r="Q21" s="74">
        <f t="shared" si="4"/>
        <v>-1.5249999999999998E-2</v>
      </c>
      <c r="R21" s="38">
        <v>-5.5E-2</v>
      </c>
      <c r="S21" s="39">
        <v>3.7499999999999999E-3</v>
      </c>
      <c r="T21" s="74">
        <f t="shared" si="5"/>
        <v>-5.1250000000000004E-2</v>
      </c>
      <c r="U21" s="38">
        <v>0.03</v>
      </c>
      <c r="V21" s="39">
        <v>7.4999999999999997E-3</v>
      </c>
      <c r="W21" s="74">
        <f t="shared" si="6"/>
        <v>3.7499999999999999E-2</v>
      </c>
      <c r="X21" s="35">
        <v>2.4620000000000002</v>
      </c>
    </row>
    <row r="22" spans="2:25" x14ac:dyDescent="0.25">
      <c r="B22" s="29">
        <v>37073</v>
      </c>
      <c r="C22" s="17">
        <v>-0.11550000000000001</v>
      </c>
      <c r="D22" s="36">
        <v>7.000000000000001E-3</v>
      </c>
      <c r="E22" s="37">
        <f t="shared" si="0"/>
        <v>-0.1085</v>
      </c>
      <c r="F22" s="38">
        <v>5.0000000000000001E-3</v>
      </c>
      <c r="G22" s="39">
        <v>5.0000000000000001E-3</v>
      </c>
      <c r="H22" s="74">
        <f t="shared" si="1"/>
        <v>0.01</v>
      </c>
      <c r="I22" s="38">
        <v>1.7000000000000001E-2</v>
      </c>
      <c r="J22" s="39">
        <v>0.01</v>
      </c>
      <c r="K22" s="74">
        <f t="shared" si="2"/>
        <v>2.7000000000000003E-2</v>
      </c>
      <c r="L22" s="38">
        <v>4.7500000000000007E-3</v>
      </c>
      <c r="M22" s="39">
        <v>5.0000000000000001E-3</v>
      </c>
      <c r="N22" s="74">
        <f t="shared" si="3"/>
        <v>9.7500000000000017E-3</v>
      </c>
      <c r="O22" s="38">
        <v>-2.5249999999999998E-2</v>
      </c>
      <c r="P22" s="39">
        <v>0.01</v>
      </c>
      <c r="Q22" s="74">
        <f t="shared" si="4"/>
        <v>-1.5249999999999998E-2</v>
      </c>
      <c r="R22" s="38">
        <v>-5.5E-2</v>
      </c>
      <c r="S22" s="39">
        <v>3.7499999999999999E-3</v>
      </c>
      <c r="T22" s="74">
        <f t="shared" si="5"/>
        <v>-5.1250000000000004E-2</v>
      </c>
      <c r="U22" s="38">
        <v>0.03</v>
      </c>
      <c r="V22" s="39">
        <v>7.4999999999999997E-3</v>
      </c>
      <c r="W22" s="74">
        <f t="shared" si="6"/>
        <v>3.7499999999999999E-2</v>
      </c>
      <c r="X22" s="35">
        <v>2.4720000000000004</v>
      </c>
    </row>
    <row r="23" spans="2:25" x14ac:dyDescent="0.25">
      <c r="B23" s="29">
        <v>37104</v>
      </c>
      <c r="C23" s="17">
        <v>-0.11550000000000001</v>
      </c>
      <c r="D23" s="36">
        <v>7.000000000000001E-3</v>
      </c>
      <c r="E23" s="37">
        <f t="shared" si="0"/>
        <v>-0.1085</v>
      </c>
      <c r="F23" s="38">
        <v>5.0000000000000001E-3</v>
      </c>
      <c r="G23" s="39">
        <v>5.0000000000000001E-3</v>
      </c>
      <c r="H23" s="74">
        <f t="shared" si="1"/>
        <v>0.01</v>
      </c>
      <c r="I23" s="38">
        <v>1.7000000000000001E-2</v>
      </c>
      <c r="J23" s="39">
        <v>0.01</v>
      </c>
      <c r="K23" s="74">
        <f t="shared" si="2"/>
        <v>2.7000000000000003E-2</v>
      </c>
      <c r="L23" s="38">
        <v>4.7500000000000007E-3</v>
      </c>
      <c r="M23" s="39">
        <v>5.0000000000000001E-3</v>
      </c>
      <c r="N23" s="74">
        <f t="shared" si="3"/>
        <v>9.7500000000000017E-3</v>
      </c>
      <c r="O23" s="38">
        <v>-2.5249999999999998E-2</v>
      </c>
      <c r="P23" s="39">
        <v>0.01</v>
      </c>
      <c r="Q23" s="74">
        <f t="shared" si="4"/>
        <v>-1.5249999999999998E-2</v>
      </c>
      <c r="R23" s="38">
        <v>-5.5E-2</v>
      </c>
      <c r="S23" s="39">
        <v>3.7499999999999999E-3</v>
      </c>
      <c r="T23" s="74">
        <f t="shared" si="5"/>
        <v>-5.1250000000000004E-2</v>
      </c>
      <c r="U23" s="38">
        <v>0.03</v>
      </c>
      <c r="V23" s="39">
        <v>7.4999999999999997E-3</v>
      </c>
      <c r="W23" s="74">
        <f t="shared" si="6"/>
        <v>3.7499999999999999E-2</v>
      </c>
      <c r="X23" s="35">
        <v>2.4849999999999999</v>
      </c>
    </row>
    <row r="24" spans="2:25" x14ac:dyDescent="0.25">
      <c r="B24" s="29">
        <v>37135</v>
      </c>
      <c r="C24" s="17">
        <v>-0.11550000000000001</v>
      </c>
      <c r="D24" s="36">
        <v>5.0000000000000001E-3</v>
      </c>
      <c r="E24" s="37">
        <f t="shared" si="0"/>
        <v>-0.1105</v>
      </c>
      <c r="F24" s="38">
        <v>5.0000000000000001E-3</v>
      </c>
      <c r="G24" s="39">
        <v>5.0000000000000001E-3</v>
      </c>
      <c r="H24" s="74">
        <f t="shared" si="1"/>
        <v>0.01</v>
      </c>
      <c r="I24" s="38">
        <v>1.7000000000000001E-2</v>
      </c>
      <c r="J24" s="39">
        <v>0.01</v>
      </c>
      <c r="K24" s="74">
        <f t="shared" si="2"/>
        <v>2.7000000000000003E-2</v>
      </c>
      <c r="L24" s="38">
        <v>2.2500000000000003E-3</v>
      </c>
      <c r="M24" s="39">
        <v>5.0000000000000001E-3</v>
      </c>
      <c r="N24" s="74">
        <f t="shared" si="3"/>
        <v>7.2500000000000004E-3</v>
      </c>
      <c r="O24" s="38">
        <v>-2.775E-2</v>
      </c>
      <c r="P24" s="39">
        <v>0.01</v>
      </c>
      <c r="Q24" s="74">
        <f t="shared" si="4"/>
        <v>-1.7750000000000002E-2</v>
      </c>
      <c r="R24" s="38">
        <v>-5.5E-2</v>
      </c>
      <c r="S24" s="39">
        <v>3.7499999999999999E-3</v>
      </c>
      <c r="T24" s="74">
        <f t="shared" si="5"/>
        <v>-5.1250000000000004E-2</v>
      </c>
      <c r="U24" s="38">
        <v>2.5000000000000001E-2</v>
      </c>
      <c r="V24" s="39">
        <v>7.4999999999999997E-3</v>
      </c>
      <c r="W24" s="74">
        <f t="shared" si="6"/>
        <v>3.2500000000000001E-2</v>
      </c>
      <c r="X24" s="35">
        <v>2.4940000000000002</v>
      </c>
    </row>
    <row r="25" spans="2:25" x14ac:dyDescent="0.25">
      <c r="B25" s="29">
        <v>37165</v>
      </c>
      <c r="C25" s="17">
        <v>-0.11550000000000001</v>
      </c>
      <c r="D25" s="36">
        <v>5.0000000000000001E-3</v>
      </c>
      <c r="E25" s="37">
        <f t="shared" si="0"/>
        <v>-0.1105</v>
      </c>
      <c r="F25" s="38">
        <v>5.0000000000000001E-3</v>
      </c>
      <c r="G25" s="39">
        <v>5.0000000000000001E-3</v>
      </c>
      <c r="H25" s="74">
        <f t="shared" si="1"/>
        <v>0.01</v>
      </c>
      <c r="I25" s="38">
        <v>1.7000000000000001E-2</v>
      </c>
      <c r="J25" s="39">
        <v>0.01</v>
      </c>
      <c r="K25" s="74">
        <f t="shared" si="2"/>
        <v>2.7000000000000003E-2</v>
      </c>
      <c r="L25" s="38">
        <v>2.2500000000000003E-3</v>
      </c>
      <c r="M25" s="39">
        <v>5.0000000000000001E-3</v>
      </c>
      <c r="N25" s="74">
        <f t="shared" si="3"/>
        <v>7.2500000000000004E-3</v>
      </c>
      <c r="O25" s="38">
        <v>-2.775E-2</v>
      </c>
      <c r="P25" s="39">
        <v>0.01</v>
      </c>
      <c r="Q25" s="74">
        <f t="shared" si="4"/>
        <v>-1.7750000000000002E-2</v>
      </c>
      <c r="R25" s="38">
        <v>-5.5E-2</v>
      </c>
      <c r="S25" s="39">
        <v>3.7499999999999999E-3</v>
      </c>
      <c r="T25" s="74">
        <f t="shared" si="5"/>
        <v>-5.1250000000000004E-2</v>
      </c>
      <c r="U25" s="38">
        <v>2.5000000000000001E-2</v>
      </c>
      <c r="V25" s="39">
        <v>7.4999999999999997E-3</v>
      </c>
      <c r="W25" s="74">
        <f t="shared" si="6"/>
        <v>3.2500000000000001E-2</v>
      </c>
      <c r="X25" s="35">
        <v>2.5220000000000002</v>
      </c>
    </row>
    <row r="26" spans="2:25" x14ac:dyDescent="0.25">
      <c r="B26" s="29">
        <v>37196</v>
      </c>
      <c r="C26" s="17">
        <v>-0.1555</v>
      </c>
      <c r="D26" s="36">
        <v>5.0000000000000001E-3</v>
      </c>
      <c r="E26" s="37">
        <f t="shared" si="0"/>
        <v>-0.15049999999999999</v>
      </c>
      <c r="F26" s="38">
        <v>5.0000000000000001E-3</v>
      </c>
      <c r="G26" s="39">
        <v>5.0000000000000001E-3</v>
      </c>
      <c r="H26" s="74">
        <f t="shared" si="1"/>
        <v>0.01</v>
      </c>
      <c r="I26" s="38">
        <v>1.2500000000000001E-2</v>
      </c>
      <c r="J26" s="39">
        <v>1.7500000000000002E-2</v>
      </c>
      <c r="K26" s="74">
        <f t="shared" si="2"/>
        <v>3.0000000000000002E-2</v>
      </c>
      <c r="L26" s="38">
        <v>-1.4999999999999999E-2</v>
      </c>
      <c r="M26" s="39">
        <v>5.0000000000000001E-3</v>
      </c>
      <c r="N26" s="74">
        <f t="shared" si="3"/>
        <v>-9.9999999999999985E-3</v>
      </c>
      <c r="O26" s="38">
        <v>-4.4999999999999998E-2</v>
      </c>
      <c r="P26" s="39">
        <v>0.01</v>
      </c>
      <c r="Q26" s="74">
        <f t="shared" si="4"/>
        <v>-3.4999999999999996E-2</v>
      </c>
      <c r="R26" s="38">
        <v>-6.5000000000000002E-2</v>
      </c>
      <c r="S26" s="39">
        <v>6.2500000000000003E-3</v>
      </c>
      <c r="T26" s="74">
        <f t="shared" si="5"/>
        <v>-5.8750000000000004E-2</v>
      </c>
      <c r="U26" s="38">
        <v>2.7000000000000003E-2</v>
      </c>
      <c r="V26" s="39">
        <v>0.01</v>
      </c>
      <c r="W26" s="74">
        <f t="shared" si="6"/>
        <v>3.7000000000000005E-2</v>
      </c>
      <c r="X26" s="35">
        <v>2.6469999999999998</v>
      </c>
    </row>
    <row r="27" spans="2:25" x14ac:dyDescent="0.25">
      <c r="B27" s="29">
        <v>37226</v>
      </c>
      <c r="C27" s="17">
        <v>-0.1555</v>
      </c>
      <c r="D27" s="36">
        <v>9.5000000000000015E-3</v>
      </c>
      <c r="E27" s="37">
        <f t="shared" si="0"/>
        <v>-0.14599999999999999</v>
      </c>
      <c r="F27" s="38">
        <v>5.0000000000000001E-3</v>
      </c>
      <c r="G27" s="39">
        <v>5.0000000000000001E-3</v>
      </c>
      <c r="H27" s="74">
        <f t="shared" si="1"/>
        <v>0.01</v>
      </c>
      <c r="I27" s="38">
        <v>1.2500000000000001E-2</v>
      </c>
      <c r="J27" s="39">
        <v>1.7500000000000002E-2</v>
      </c>
      <c r="K27" s="74">
        <f t="shared" si="2"/>
        <v>3.0000000000000002E-2</v>
      </c>
      <c r="L27" s="38">
        <v>-1.4999999999999999E-2</v>
      </c>
      <c r="M27" s="39">
        <v>5.0000000000000001E-3</v>
      </c>
      <c r="N27" s="74">
        <f t="shared" si="3"/>
        <v>-9.9999999999999985E-3</v>
      </c>
      <c r="O27" s="38">
        <v>-4.4999999999999998E-2</v>
      </c>
      <c r="P27" s="39">
        <v>0.01</v>
      </c>
      <c r="Q27" s="74">
        <f t="shared" si="4"/>
        <v>-3.4999999999999996E-2</v>
      </c>
      <c r="R27" s="38">
        <v>-6.5000000000000002E-2</v>
      </c>
      <c r="S27" s="39">
        <v>6.2500000000000003E-3</v>
      </c>
      <c r="T27" s="74">
        <f t="shared" si="5"/>
        <v>-5.8750000000000004E-2</v>
      </c>
      <c r="U27" s="38">
        <v>2.4500000000000001E-2</v>
      </c>
      <c r="V27" s="39">
        <v>0.01</v>
      </c>
      <c r="W27" s="74">
        <f t="shared" si="6"/>
        <v>3.4500000000000003E-2</v>
      </c>
      <c r="X27" s="35">
        <v>2.7790000000000004</v>
      </c>
    </row>
    <row r="28" spans="2:25" x14ac:dyDescent="0.25">
      <c r="B28" s="29">
        <v>37257</v>
      </c>
      <c r="C28" s="17">
        <v>-0.1555</v>
      </c>
      <c r="D28" s="36">
        <v>7.000000000000001E-3</v>
      </c>
      <c r="E28" s="37">
        <f t="shared" si="0"/>
        <v>-0.14849999999999999</v>
      </c>
      <c r="F28" s="38">
        <v>5.0000000000000001E-3</v>
      </c>
      <c r="G28" s="39">
        <v>5.0000000000000001E-3</v>
      </c>
      <c r="H28" s="74">
        <f t="shared" si="1"/>
        <v>0.01</v>
      </c>
      <c r="I28" s="38">
        <v>1.2500000000000001E-2</v>
      </c>
      <c r="J28" s="39">
        <v>1.7500000000000002E-2</v>
      </c>
      <c r="K28" s="74">
        <f t="shared" si="2"/>
        <v>3.0000000000000002E-2</v>
      </c>
      <c r="L28" s="38">
        <v>-1.4999999999999999E-2</v>
      </c>
      <c r="M28" s="39">
        <v>5.0000000000000001E-3</v>
      </c>
      <c r="N28" s="74">
        <f t="shared" si="3"/>
        <v>-9.9999999999999985E-3</v>
      </c>
      <c r="O28" s="38">
        <v>-4.4999999999999998E-2</v>
      </c>
      <c r="P28" s="39">
        <v>0.01</v>
      </c>
      <c r="Q28" s="74">
        <f t="shared" si="4"/>
        <v>-3.4999999999999996E-2</v>
      </c>
      <c r="R28" s="38">
        <v>-6.5000000000000002E-2</v>
      </c>
      <c r="S28" s="39">
        <v>6.2500000000000003E-3</v>
      </c>
      <c r="T28" s="74">
        <f t="shared" si="5"/>
        <v>-5.8750000000000004E-2</v>
      </c>
      <c r="U28" s="38">
        <v>2.4500000000000001E-2</v>
      </c>
      <c r="V28" s="39">
        <v>0.01</v>
      </c>
      <c r="W28" s="74">
        <f t="shared" si="6"/>
        <v>3.4500000000000003E-2</v>
      </c>
      <c r="X28" s="35">
        <v>2.7990000000000004</v>
      </c>
    </row>
    <row r="29" spans="2:25" x14ac:dyDescent="0.25">
      <c r="B29" s="29">
        <v>37288</v>
      </c>
      <c r="C29" s="17">
        <v>-0.1555</v>
      </c>
      <c r="D29" s="36">
        <v>7.000000000000001E-3</v>
      </c>
      <c r="E29" s="37">
        <f t="shared" si="0"/>
        <v>-0.14849999999999999</v>
      </c>
      <c r="F29" s="38">
        <v>5.0000000000000001E-3</v>
      </c>
      <c r="G29" s="39">
        <v>5.0000000000000001E-3</v>
      </c>
      <c r="H29" s="74">
        <f t="shared" si="1"/>
        <v>0.01</v>
      </c>
      <c r="I29" s="38">
        <v>1.2500000000000001E-2</v>
      </c>
      <c r="J29" s="39">
        <v>1.7500000000000002E-2</v>
      </c>
      <c r="K29" s="74">
        <f t="shared" si="2"/>
        <v>3.0000000000000002E-2</v>
      </c>
      <c r="L29" s="38">
        <v>-1.4999999999999999E-2</v>
      </c>
      <c r="M29" s="39">
        <v>5.0000000000000001E-3</v>
      </c>
      <c r="N29" s="74">
        <f t="shared" si="3"/>
        <v>-9.9999999999999985E-3</v>
      </c>
      <c r="O29" s="38">
        <v>-4.4999999999999998E-2</v>
      </c>
      <c r="P29" s="39">
        <v>0.01</v>
      </c>
      <c r="Q29" s="74">
        <f t="shared" si="4"/>
        <v>-3.4999999999999996E-2</v>
      </c>
      <c r="R29" s="38">
        <v>-6.5000000000000002E-2</v>
      </c>
      <c r="S29" s="39">
        <v>6.2500000000000003E-3</v>
      </c>
      <c r="T29" s="74">
        <f t="shared" si="5"/>
        <v>-5.8750000000000004E-2</v>
      </c>
      <c r="U29" s="38">
        <v>2.4500000000000001E-2</v>
      </c>
      <c r="V29" s="39">
        <v>0.01</v>
      </c>
      <c r="W29" s="74">
        <f t="shared" si="6"/>
        <v>3.4500000000000003E-2</v>
      </c>
      <c r="X29" s="35">
        <v>2.6889999999999996</v>
      </c>
    </row>
    <row r="30" spans="2:25" x14ac:dyDescent="0.25">
      <c r="B30" s="29">
        <v>37316</v>
      </c>
      <c r="C30" s="47">
        <v>-0.1555</v>
      </c>
      <c r="D30" s="48">
        <v>7.000000000000001E-3</v>
      </c>
      <c r="E30" s="49">
        <f t="shared" si="0"/>
        <v>-0.14849999999999999</v>
      </c>
      <c r="F30" s="50">
        <v>5.0000000000000001E-3</v>
      </c>
      <c r="G30" s="51">
        <v>5.0000000000000001E-3</v>
      </c>
      <c r="H30" s="76">
        <f t="shared" si="1"/>
        <v>0.01</v>
      </c>
      <c r="I30" s="50">
        <v>1.2500000000000001E-2</v>
      </c>
      <c r="J30" s="51">
        <v>1.7500000000000002E-2</v>
      </c>
      <c r="K30" s="76">
        <f t="shared" si="2"/>
        <v>3.0000000000000002E-2</v>
      </c>
      <c r="L30" s="50">
        <v>-1.4999999999999999E-2</v>
      </c>
      <c r="M30" s="51">
        <v>5.0000000000000001E-3</v>
      </c>
      <c r="N30" s="76">
        <f t="shared" si="3"/>
        <v>-9.9999999999999985E-3</v>
      </c>
      <c r="O30" s="50">
        <v>-4.4999999999999998E-2</v>
      </c>
      <c r="P30" s="51">
        <v>0.01</v>
      </c>
      <c r="Q30" s="76">
        <f t="shared" si="4"/>
        <v>-3.4999999999999996E-2</v>
      </c>
      <c r="R30" s="50">
        <v>-6.5000000000000002E-2</v>
      </c>
      <c r="S30" s="51">
        <v>6.2500000000000003E-3</v>
      </c>
      <c r="T30" s="76">
        <f t="shared" si="5"/>
        <v>-5.8750000000000004E-2</v>
      </c>
      <c r="U30" s="50">
        <v>2.4500000000000001E-2</v>
      </c>
      <c r="V30" s="51">
        <v>0.01</v>
      </c>
      <c r="W30" s="76">
        <f t="shared" si="6"/>
        <v>3.4500000000000003E-2</v>
      </c>
      <c r="X30" s="35">
        <v>2.5789999999999997</v>
      </c>
    </row>
    <row r="31" spans="2:25" x14ac:dyDescent="0.25">
      <c r="X31" s="35"/>
    </row>
    <row r="32" spans="2:25" x14ac:dyDescent="0.25">
      <c r="X32" s="35"/>
    </row>
    <row r="33" spans="24:24" x14ac:dyDescent="0.25">
      <c r="X33" s="35"/>
    </row>
    <row r="34" spans="24:24" x14ac:dyDescent="0.25">
      <c r="X34" s="35"/>
    </row>
    <row r="35" spans="24:24" x14ac:dyDescent="0.25">
      <c r="X35" s="35"/>
    </row>
    <row r="36" spans="24:24" x14ac:dyDescent="0.25">
      <c r="X36" s="35"/>
    </row>
    <row r="37" spans="24:24" x14ac:dyDescent="0.25">
      <c r="X37" s="35"/>
    </row>
    <row r="38" spans="24:24" x14ac:dyDescent="0.25">
      <c r="X38" s="35"/>
    </row>
    <row r="39" spans="24:24" x14ac:dyDescent="0.25">
      <c r="X39" s="35"/>
    </row>
    <row r="40" spans="24:24" x14ac:dyDescent="0.25">
      <c r="X40" s="35"/>
    </row>
    <row r="41" spans="24:24" x14ac:dyDescent="0.25">
      <c r="X41" s="35"/>
    </row>
    <row r="42" spans="24:24" x14ac:dyDescent="0.25">
      <c r="X42" s="3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tabSelected="1" zoomScale="75" workbookViewId="0"/>
  </sheetViews>
  <sheetFormatPr defaultColWidth="8.90625" defaultRowHeight="15.6" x14ac:dyDescent="0.3"/>
  <cols>
    <col min="1" max="1" width="8.90625" style="2"/>
    <col min="2" max="2" width="5.08984375" style="2" customWidth="1"/>
    <col min="3" max="3" width="8.90625" style="2"/>
    <col min="4" max="4" width="16" style="2" customWidth="1"/>
    <col min="5" max="5" width="10.453125" style="2" customWidth="1"/>
    <col min="6" max="7" width="8.90625" style="2"/>
    <col min="8" max="8" width="12" style="2" customWidth="1"/>
    <col min="9" max="9" width="1.453125" style="2" customWidth="1"/>
    <col min="10" max="10" width="13.08984375" style="2" customWidth="1"/>
    <col min="11" max="11" width="8.90625" style="54"/>
    <col min="12" max="12" width="13" style="54" customWidth="1"/>
    <col min="13" max="13" width="13.36328125" style="54" customWidth="1"/>
    <col min="14" max="14" width="14.08984375" style="54" customWidth="1"/>
    <col min="15" max="15" width="13.81640625" style="2" customWidth="1"/>
    <col min="16" max="16384" width="8.90625" style="2"/>
  </cols>
  <sheetData>
    <row r="1" spans="1:18" x14ac:dyDescent="0.3">
      <c r="A1" s="1" t="s">
        <v>0</v>
      </c>
    </row>
    <row r="2" spans="1:18" x14ac:dyDescent="0.3">
      <c r="A2" s="1" t="s">
        <v>1</v>
      </c>
      <c r="F2" s="1" t="s">
        <v>40</v>
      </c>
    </row>
    <row r="3" spans="1:18" ht="7.5" customHeight="1" x14ac:dyDescent="0.3"/>
    <row r="4" spans="1:18" ht="12.75" customHeight="1" x14ac:dyDescent="0.3">
      <c r="A4" s="1" t="s">
        <v>19</v>
      </c>
      <c r="G4" s="2" t="s">
        <v>18</v>
      </c>
      <c r="L4" s="54" t="s">
        <v>18</v>
      </c>
    </row>
    <row r="5" spans="1:18" ht="12.75" customHeight="1" x14ac:dyDescent="0.3"/>
    <row r="6" spans="1:18" s="3" customFormat="1" x14ac:dyDescent="0.3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3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3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3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3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3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3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3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3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3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3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3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3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3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Curves!N15</f>
        <v>-7.4999999999999997E-3</v>
      </c>
      <c r="H20" s="58">
        <f t="shared" si="2"/>
        <v>2.8005</v>
      </c>
      <c r="J20" s="60">
        <f t="shared" si="3"/>
        <v>-1241461.6499999999</v>
      </c>
      <c r="K20" s="54">
        <f>Curves!Y15</f>
        <v>0.98099999999999998</v>
      </c>
      <c r="L20" s="59">
        <f t="shared" si="7"/>
        <v>-1239245.1500000001</v>
      </c>
      <c r="M20" s="57">
        <f t="shared" si="5"/>
        <v>-23545.657850000076</v>
      </c>
      <c r="N20" s="57">
        <f t="shared" si="6"/>
        <v>-1215699.4921500001</v>
      </c>
      <c r="P20" s="54" t="s">
        <v>18</v>
      </c>
    </row>
    <row r="21" spans="1:16" s="54" customFormat="1" x14ac:dyDescent="0.3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Curves!N16</f>
        <v>-7.4999999999999997E-3</v>
      </c>
      <c r="H21" s="58">
        <f t="shared" si="2"/>
        <v>2.8305000000000002</v>
      </c>
      <c r="J21" s="60">
        <f t="shared" si="3"/>
        <v>-1062286.6500000001</v>
      </c>
      <c r="K21" s="54">
        <f>Curves!Y16</f>
        <v>0.98</v>
      </c>
      <c r="L21" s="59">
        <f t="shared" si="7"/>
        <v>-1060410.1500000001</v>
      </c>
      <c r="M21" s="57">
        <f t="shared" si="5"/>
        <v>-21208.20299999998</v>
      </c>
      <c r="N21" s="57">
        <f t="shared" si="6"/>
        <v>-1039201.9470000002</v>
      </c>
    </row>
    <row r="22" spans="1:16" s="54" customFormat="1" x14ac:dyDescent="0.3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Curves!N17</f>
        <v>-7.4999999999999997E-3</v>
      </c>
      <c r="H22" s="58">
        <f t="shared" si="2"/>
        <v>2.6925000000000003</v>
      </c>
      <c r="J22" s="60">
        <f t="shared" si="3"/>
        <v>-488419.50000000006</v>
      </c>
      <c r="K22" s="54">
        <f>Curves!Y17</f>
        <v>0.97899999999999998</v>
      </c>
      <c r="L22" s="59">
        <f t="shared" si="7"/>
        <v>-487512.50000000006</v>
      </c>
      <c r="M22" s="57">
        <f t="shared" si="5"/>
        <v>-10237.762500000012</v>
      </c>
      <c r="N22" s="57">
        <f t="shared" si="6"/>
        <v>-477274.73750000005</v>
      </c>
    </row>
    <row r="23" spans="1:16" s="54" customFormat="1" x14ac:dyDescent="0.3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Curves!N18</f>
        <v>-7.4999999999999997E-3</v>
      </c>
      <c r="H23" s="58">
        <f t="shared" si="2"/>
        <v>2.5705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3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3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3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3">
      <c r="G27" s="8"/>
      <c r="H27" s="14"/>
      <c r="J27" s="9"/>
      <c r="L27" s="59"/>
      <c r="N27" s="57" t="s">
        <v>18</v>
      </c>
    </row>
    <row r="28" spans="1:16" x14ac:dyDescent="0.3">
      <c r="C28" s="2" t="s">
        <v>18</v>
      </c>
      <c r="E28" s="7">
        <f>E18</f>
        <v>1000000</v>
      </c>
      <c r="H28" s="13">
        <f>J28/E28</f>
        <v>-0.39108180000000009</v>
      </c>
      <c r="J28" s="11">
        <f>SUM(J9:J27)</f>
        <v>-391081.8000000001</v>
      </c>
      <c r="L28" s="59">
        <f>SUM(L12:L27)</f>
        <v>-342490.94285714306</v>
      </c>
      <c r="M28" s="60">
        <f>SUM(M12:M27)</f>
        <v>-23692.908923714276</v>
      </c>
      <c r="N28" s="57">
        <f>SUM(N12:N24)</f>
        <v>-318798.03393342905</v>
      </c>
    </row>
    <row r="29" spans="1:16" x14ac:dyDescent="0.3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-0.39108180000000009</v>
      </c>
      <c r="K29" s="54" t="s">
        <v>37</v>
      </c>
      <c r="M29" s="58" t="s">
        <v>18</v>
      </c>
      <c r="N29" s="63">
        <f>N28/E28</f>
        <v>-0.31879803393342904</v>
      </c>
      <c r="O29" s="2" t="s">
        <v>17</v>
      </c>
    </row>
    <row r="30" spans="1:16" x14ac:dyDescent="0.3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3">
      <c r="A31" s="1"/>
      <c r="C31" s="2" t="s">
        <v>14</v>
      </c>
      <c r="F31" s="52">
        <v>5.0000000000000001E-3</v>
      </c>
      <c r="I31" s="15"/>
    </row>
    <row r="32" spans="1:16" x14ac:dyDescent="0.3">
      <c r="A32" s="1"/>
      <c r="C32" s="2" t="s">
        <v>15</v>
      </c>
      <c r="F32" s="52">
        <v>5.0000000000000001E-3</v>
      </c>
      <c r="I32" s="15"/>
    </row>
    <row r="33" spans="1:12" x14ac:dyDescent="0.3">
      <c r="A33" s="1"/>
      <c r="E33" s="53"/>
      <c r="F33" s="13"/>
      <c r="I33" s="15"/>
    </row>
    <row r="35" spans="1:12" x14ac:dyDescent="0.3">
      <c r="E35" s="13"/>
      <c r="H35" s="13"/>
    </row>
    <row r="36" spans="1:12" x14ac:dyDescent="0.3">
      <c r="E36" s="13"/>
      <c r="H36" s="13"/>
    </row>
    <row r="37" spans="1:12" x14ac:dyDescent="0.3">
      <c r="E37" s="13"/>
    </row>
    <row r="38" spans="1:12" x14ac:dyDescent="0.3">
      <c r="E38" s="13"/>
    </row>
    <row r="39" spans="1:12" x14ac:dyDescent="0.3">
      <c r="E39" s="13"/>
    </row>
    <row r="40" spans="1:12" x14ac:dyDescent="0.3">
      <c r="E40" s="13"/>
      <c r="L40" s="79"/>
    </row>
    <row r="41" spans="1:12" x14ac:dyDescent="0.3">
      <c r="E41" s="13"/>
    </row>
    <row r="42" spans="1:12" x14ac:dyDescent="0.3">
      <c r="E42" s="13"/>
    </row>
    <row r="43" spans="1:12" x14ac:dyDescent="0.3">
      <c r="E43" s="13"/>
    </row>
    <row r="44" spans="1:12" x14ac:dyDescent="0.3">
      <c r="E44" s="13"/>
    </row>
    <row r="45" spans="1:12" x14ac:dyDescent="0.3">
      <c r="E45" s="13"/>
    </row>
    <row r="46" spans="1:12" x14ac:dyDescent="0.3">
      <c r="E46" s="13"/>
    </row>
  </sheetData>
  <pageMargins left="0.75" right="0.75" top="1" bottom="1" header="0.5" footer="0.5"/>
  <pageSetup scale="71" fitToHeight="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ColWidth="8.90625" defaultRowHeight="15.6" x14ac:dyDescent="0.3"/>
  <cols>
    <col min="1" max="1" width="8.90625" style="2"/>
    <col min="2" max="2" width="5.08984375" style="2" customWidth="1"/>
    <col min="3" max="3" width="8.90625" style="2"/>
    <col min="4" max="4" width="16" style="2" customWidth="1"/>
    <col min="5" max="5" width="10.453125" style="2" customWidth="1"/>
    <col min="6" max="7" width="8.90625" style="2"/>
    <col min="8" max="8" width="12" style="2" customWidth="1"/>
    <col min="9" max="9" width="1.453125" style="2" customWidth="1"/>
    <col min="10" max="10" width="13.08984375" style="2" customWidth="1"/>
    <col min="11" max="11" width="8.90625" style="54"/>
    <col min="12" max="12" width="13" style="54" customWidth="1"/>
    <col min="13" max="13" width="13.36328125" style="54" customWidth="1"/>
    <col min="14" max="14" width="14.08984375" style="54" customWidth="1"/>
    <col min="15" max="15" width="13.81640625" style="2" customWidth="1"/>
    <col min="16" max="16384" width="8.90625" style="2"/>
  </cols>
  <sheetData>
    <row r="1" spans="1:18" x14ac:dyDescent="0.3">
      <c r="A1" s="1" t="s">
        <v>0</v>
      </c>
    </row>
    <row r="2" spans="1:18" x14ac:dyDescent="0.3">
      <c r="A2" s="1" t="s">
        <v>1</v>
      </c>
      <c r="F2" s="1" t="s">
        <v>41</v>
      </c>
    </row>
    <row r="3" spans="1:18" ht="7.5" customHeight="1" x14ac:dyDescent="0.3"/>
    <row r="4" spans="1:18" ht="12.75" customHeight="1" x14ac:dyDescent="0.3">
      <c r="A4" s="1" t="s">
        <v>19</v>
      </c>
      <c r="G4" s="2" t="s">
        <v>18</v>
      </c>
      <c r="L4" s="54" t="s">
        <v>18</v>
      </c>
    </row>
    <row r="5" spans="1:18" ht="12.75" customHeight="1" x14ac:dyDescent="0.3"/>
    <row r="6" spans="1:18" s="3" customFormat="1" x14ac:dyDescent="0.3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3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3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3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3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3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3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3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3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3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3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3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3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3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Curves!Q15</f>
        <v>-3.5000000000000003E-2</v>
      </c>
      <c r="H20" s="58">
        <f t="shared" si="2"/>
        <v>2.7729999999999997</v>
      </c>
      <c r="J20" s="60">
        <f t="shared" si="3"/>
        <v>-1229270.8999999999</v>
      </c>
      <c r="K20" s="54">
        <f>Curves!Y15</f>
        <v>0.98099999999999998</v>
      </c>
      <c r="L20" s="59">
        <f t="shared" si="7"/>
        <v>-1227054.3999999999</v>
      </c>
      <c r="M20" s="57">
        <f t="shared" si="5"/>
        <v>-23314.033599999966</v>
      </c>
      <c r="N20" s="57">
        <f t="shared" si="6"/>
        <v>-1203740.3663999999</v>
      </c>
      <c r="P20" s="54" t="s">
        <v>18</v>
      </c>
    </row>
    <row r="21" spans="1:16" s="54" customFormat="1" x14ac:dyDescent="0.3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Curves!Q16</f>
        <v>-3.5000000000000003E-2</v>
      </c>
      <c r="H21" s="58">
        <f t="shared" si="2"/>
        <v>2.8029999999999999</v>
      </c>
      <c r="J21" s="60">
        <f t="shared" si="3"/>
        <v>-1051965.8999999999</v>
      </c>
      <c r="K21" s="54">
        <f>Curves!Y16</f>
        <v>0.98</v>
      </c>
      <c r="L21" s="59">
        <f t="shared" si="7"/>
        <v>-1050089.3999999999</v>
      </c>
      <c r="M21" s="57">
        <f t="shared" si="5"/>
        <v>-21001.788000000059</v>
      </c>
      <c r="N21" s="57">
        <f t="shared" si="6"/>
        <v>-1029087.6119999998</v>
      </c>
    </row>
    <row r="22" spans="1:16" s="54" customFormat="1" x14ac:dyDescent="0.3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Curves!Q17</f>
        <v>-3.5000000000000003E-2</v>
      </c>
      <c r="H22" s="58">
        <f t="shared" si="2"/>
        <v>2.665</v>
      </c>
      <c r="J22" s="60">
        <f t="shared" si="3"/>
        <v>-483431</v>
      </c>
      <c r="K22" s="54">
        <f>Curves!Y17</f>
        <v>0.97899999999999998</v>
      </c>
      <c r="L22" s="59">
        <f t="shared" si="7"/>
        <v>-482524</v>
      </c>
      <c r="M22" s="57">
        <f t="shared" si="5"/>
        <v>-10133.004000000015</v>
      </c>
      <c r="N22" s="57">
        <f t="shared" si="6"/>
        <v>-472390.99599999998</v>
      </c>
    </row>
    <row r="23" spans="1:16" s="54" customFormat="1" x14ac:dyDescent="0.3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Curves!Q18</f>
        <v>-3.5000000000000003E-2</v>
      </c>
      <c r="H23" s="58">
        <f t="shared" si="2"/>
        <v>2.5429999999999997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3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3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3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3">
      <c r="G27" s="8"/>
      <c r="H27" s="14"/>
      <c r="J27" s="9"/>
      <c r="L27" s="59"/>
      <c r="N27" s="57" t="s">
        <v>18</v>
      </c>
    </row>
    <row r="28" spans="1:16" x14ac:dyDescent="0.3">
      <c r="C28" s="2" t="s">
        <v>18</v>
      </c>
      <c r="E28" s="7">
        <f>E18</f>
        <v>1000000</v>
      </c>
      <c r="H28" s="13">
        <f>J28/E28</f>
        <v>-0.36358179999999979</v>
      </c>
      <c r="J28" s="11">
        <f>SUM(J9:J27)</f>
        <v>-363581.79999999981</v>
      </c>
      <c r="L28" s="59">
        <f>SUM(L12:L27)</f>
        <v>-314990.94285714254</v>
      </c>
      <c r="M28" s="60">
        <f>SUM(M12:M27)</f>
        <v>-23150.111173714249</v>
      </c>
      <c r="N28" s="57">
        <f>SUM(N12:N24)</f>
        <v>-291840.83168342855</v>
      </c>
    </row>
    <row r="29" spans="1:16" x14ac:dyDescent="0.3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-0.36358179999999979</v>
      </c>
      <c r="K29" s="54" t="s">
        <v>37</v>
      </c>
      <c r="M29" s="58" t="s">
        <v>18</v>
      </c>
      <c r="N29" s="63">
        <f>N28/E28</f>
        <v>-0.29184083168342856</v>
      </c>
      <c r="O29" s="2" t="s">
        <v>17</v>
      </c>
    </row>
    <row r="30" spans="1:16" x14ac:dyDescent="0.3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3">
      <c r="A31" s="1"/>
      <c r="C31" s="2" t="s">
        <v>14</v>
      </c>
      <c r="F31" s="52">
        <v>5.0000000000000001E-3</v>
      </c>
      <c r="I31" s="15"/>
    </row>
    <row r="32" spans="1:16" x14ac:dyDescent="0.3">
      <c r="A32" s="1"/>
      <c r="C32" s="2" t="s">
        <v>15</v>
      </c>
      <c r="F32" s="52">
        <v>5.0000000000000001E-3</v>
      </c>
      <c r="I32" s="15"/>
    </row>
    <row r="33" spans="1:12" x14ac:dyDescent="0.3">
      <c r="A33" s="1"/>
      <c r="E33" s="53"/>
      <c r="F33" s="13"/>
      <c r="I33" s="15"/>
    </row>
    <row r="35" spans="1:12" x14ac:dyDescent="0.3">
      <c r="E35" s="13"/>
      <c r="H35" s="13"/>
    </row>
    <row r="36" spans="1:12" x14ac:dyDescent="0.3">
      <c r="E36" s="13"/>
      <c r="H36" s="13"/>
    </row>
    <row r="37" spans="1:12" x14ac:dyDescent="0.3">
      <c r="E37" s="13"/>
    </row>
    <row r="38" spans="1:12" x14ac:dyDescent="0.3">
      <c r="E38" s="13"/>
    </row>
    <row r="39" spans="1:12" x14ac:dyDescent="0.3">
      <c r="E39" s="13"/>
    </row>
    <row r="40" spans="1:12" x14ac:dyDescent="0.3">
      <c r="E40" s="13"/>
      <c r="L40" s="79"/>
    </row>
    <row r="41" spans="1:12" x14ac:dyDescent="0.3">
      <c r="E41" s="13"/>
    </row>
    <row r="42" spans="1:12" x14ac:dyDescent="0.3">
      <c r="E42" s="13"/>
    </row>
    <row r="43" spans="1:12" x14ac:dyDescent="0.3">
      <c r="E43" s="13"/>
    </row>
    <row r="44" spans="1:12" x14ac:dyDescent="0.3">
      <c r="E44" s="13"/>
    </row>
    <row r="45" spans="1:12" x14ac:dyDescent="0.3">
      <c r="E45" s="13"/>
    </row>
    <row r="46" spans="1:12" x14ac:dyDescent="0.3">
      <c r="E46" s="13"/>
    </row>
  </sheetData>
  <pageMargins left="0.75" right="0.75" top="1" bottom="1" header="0.5" footer="0.5"/>
  <pageSetup scale="64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ColWidth="8.90625" defaultRowHeight="15.6" x14ac:dyDescent="0.3"/>
  <cols>
    <col min="1" max="1" width="8.90625" style="2"/>
    <col min="2" max="2" width="5.08984375" style="2" customWidth="1"/>
    <col min="3" max="3" width="8.90625" style="2"/>
    <col min="4" max="4" width="16" style="2" customWidth="1"/>
    <col min="5" max="5" width="12.453125" style="2" customWidth="1"/>
    <col min="6" max="7" width="8.90625" style="2"/>
    <col min="8" max="8" width="12" style="2" customWidth="1"/>
    <col min="9" max="9" width="1.453125" style="2" customWidth="1"/>
    <col min="10" max="10" width="13.08984375" style="2" customWidth="1"/>
    <col min="11" max="11" width="8.90625" style="54"/>
    <col min="12" max="12" width="13" style="54" customWidth="1"/>
    <col min="13" max="13" width="13.36328125" style="54" customWidth="1"/>
    <col min="14" max="14" width="14.08984375" style="54" customWidth="1"/>
    <col min="15" max="15" width="13.81640625" style="2" customWidth="1"/>
    <col min="16" max="16384" width="8.90625" style="2"/>
  </cols>
  <sheetData>
    <row r="1" spans="1:18" x14ac:dyDescent="0.3">
      <c r="A1" s="1" t="s">
        <v>0</v>
      </c>
      <c r="E1" s="69" t="s">
        <v>18</v>
      </c>
    </row>
    <row r="2" spans="1:18" x14ac:dyDescent="0.3">
      <c r="A2" s="1" t="s">
        <v>1</v>
      </c>
      <c r="F2" s="2" t="s">
        <v>18</v>
      </c>
    </row>
    <row r="3" spans="1:18" ht="7.5" customHeight="1" x14ac:dyDescent="0.3"/>
    <row r="4" spans="1:18" ht="12.75" customHeight="1" x14ac:dyDescent="0.3">
      <c r="A4" s="1" t="s">
        <v>19</v>
      </c>
      <c r="G4" s="1" t="s">
        <v>47</v>
      </c>
      <c r="L4" s="54" t="s">
        <v>18</v>
      </c>
    </row>
    <row r="5" spans="1:18" ht="12.75" customHeight="1" x14ac:dyDescent="0.3"/>
    <row r="6" spans="1:18" s="3" customFormat="1" x14ac:dyDescent="0.3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3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3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3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3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3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3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3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3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3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3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3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3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3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Curves!K15</f>
        <v>3.2500000000000001E-2</v>
      </c>
      <c r="H20" s="58">
        <f t="shared" si="2"/>
        <v>2.8405</v>
      </c>
      <c r="J20" s="60">
        <f t="shared" si="3"/>
        <v>-1259193.6499999999</v>
      </c>
      <c r="K20" s="54">
        <f>Curves!Y15</f>
        <v>0.98099999999999998</v>
      </c>
      <c r="L20" s="59">
        <f t="shared" si="7"/>
        <v>-1256977.1500000001</v>
      </c>
      <c r="M20" s="57">
        <f t="shared" si="5"/>
        <v>-23882.56585000013</v>
      </c>
      <c r="N20" s="57">
        <f t="shared" si="6"/>
        <v>-1233094.58415</v>
      </c>
      <c r="P20" s="54" t="s">
        <v>18</v>
      </c>
    </row>
    <row r="21" spans="1:16" s="54" customFormat="1" x14ac:dyDescent="0.3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Curves!K16</f>
        <v>3.2500000000000001E-2</v>
      </c>
      <c r="H21" s="58">
        <f t="shared" si="2"/>
        <v>2.8705000000000003</v>
      </c>
      <c r="J21" s="60">
        <f t="shared" si="3"/>
        <v>-1077298.6500000001</v>
      </c>
      <c r="K21" s="54">
        <f>Curves!Y16</f>
        <v>0.98</v>
      </c>
      <c r="L21" s="59">
        <f t="shared" si="7"/>
        <v>-1075422.1500000001</v>
      </c>
      <c r="M21" s="57">
        <f t="shared" si="5"/>
        <v>-21508.44299999997</v>
      </c>
      <c r="N21" s="57">
        <f t="shared" si="6"/>
        <v>-1053913.7070000002</v>
      </c>
    </row>
    <row r="22" spans="1:16" s="54" customFormat="1" x14ac:dyDescent="0.3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Curves!K17</f>
        <v>3.2500000000000001E-2</v>
      </c>
      <c r="H22" s="58">
        <f t="shared" si="2"/>
        <v>2.7325000000000004</v>
      </c>
      <c r="J22" s="60">
        <f t="shared" si="3"/>
        <v>-495675.50000000006</v>
      </c>
      <c r="K22" s="54">
        <f>Curves!Y17</f>
        <v>0.97899999999999998</v>
      </c>
      <c r="L22" s="59">
        <f t="shared" si="7"/>
        <v>-494768.50000000006</v>
      </c>
      <c r="M22" s="57">
        <f t="shared" si="5"/>
        <v>-10390.138500000001</v>
      </c>
      <c r="N22" s="57">
        <f t="shared" si="6"/>
        <v>-484378.36150000006</v>
      </c>
    </row>
    <row r="23" spans="1:16" s="54" customFormat="1" x14ac:dyDescent="0.3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Curves!K18</f>
        <v>3.2500000000000001E-2</v>
      </c>
      <c r="H23" s="58">
        <f t="shared" si="2"/>
        <v>2.6105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3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8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3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8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3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8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3">
      <c r="G27" s="8"/>
      <c r="H27" s="14"/>
      <c r="J27" s="9"/>
      <c r="L27" s="59"/>
      <c r="N27" s="57" t="s">
        <v>18</v>
      </c>
    </row>
    <row r="28" spans="1:16" x14ac:dyDescent="0.3">
      <c r="C28" s="2" t="s">
        <v>18</v>
      </c>
      <c r="E28" s="7">
        <f>E18</f>
        <v>1000000</v>
      </c>
      <c r="H28" s="13">
        <f>J28/E28</f>
        <v>-0.43108180000000013</v>
      </c>
      <c r="J28" s="11">
        <f>SUM(J9:J27)</f>
        <v>-431081.8000000001</v>
      </c>
      <c r="L28" s="59">
        <f>SUM(L12:L27)</f>
        <v>-382490.94285714306</v>
      </c>
      <c r="M28" s="60">
        <f>SUM(M12:M27)</f>
        <v>-24482.43292371431</v>
      </c>
      <c r="N28" s="57">
        <f>SUM(N12:N24)</f>
        <v>-358008.50993342901</v>
      </c>
    </row>
    <row r="29" spans="1:16" x14ac:dyDescent="0.3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-0.43108180000000013</v>
      </c>
      <c r="K29" s="54" t="s">
        <v>37</v>
      </c>
      <c r="M29" s="58" t="s">
        <v>18</v>
      </c>
      <c r="N29" s="63">
        <f>N28/E28</f>
        <v>-0.35800850993342903</v>
      </c>
      <c r="O29" s="2" t="s">
        <v>17</v>
      </c>
    </row>
    <row r="30" spans="1:16" x14ac:dyDescent="0.3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3">
      <c r="A31" s="1"/>
      <c r="C31" s="2" t="s">
        <v>14</v>
      </c>
      <c r="F31" s="52">
        <v>5.0000000000000001E-3</v>
      </c>
      <c r="I31" s="15"/>
    </row>
    <row r="32" spans="1:16" x14ac:dyDescent="0.3">
      <c r="A32" s="1"/>
      <c r="C32" s="2" t="s">
        <v>15</v>
      </c>
      <c r="F32" s="52">
        <v>5.0000000000000001E-3</v>
      </c>
      <c r="I32" s="15"/>
    </row>
    <row r="33" spans="1:9" x14ac:dyDescent="0.3">
      <c r="A33" s="1"/>
      <c r="E33" s="53"/>
      <c r="F33" s="13"/>
      <c r="I33" s="15"/>
    </row>
    <row r="35" spans="1:9" x14ac:dyDescent="0.3">
      <c r="E35" s="13"/>
      <c r="H35" s="13"/>
    </row>
    <row r="36" spans="1:9" x14ac:dyDescent="0.3">
      <c r="E36" s="13"/>
      <c r="H36" s="13"/>
    </row>
    <row r="37" spans="1:9" x14ac:dyDescent="0.3">
      <c r="E37" s="13"/>
    </row>
    <row r="38" spans="1:9" x14ac:dyDescent="0.3">
      <c r="E38" s="13"/>
    </row>
    <row r="39" spans="1:9" x14ac:dyDescent="0.3">
      <c r="E39" s="13"/>
    </row>
    <row r="40" spans="1:9" x14ac:dyDescent="0.3">
      <c r="E40" s="13"/>
    </row>
    <row r="41" spans="1:9" x14ac:dyDescent="0.3">
      <c r="E41" s="13"/>
    </row>
    <row r="42" spans="1:9" x14ac:dyDescent="0.3">
      <c r="E42" s="13"/>
    </row>
    <row r="43" spans="1:9" x14ac:dyDescent="0.3">
      <c r="E43" s="13"/>
    </row>
    <row r="44" spans="1:9" x14ac:dyDescent="0.3">
      <c r="E44" s="13"/>
    </row>
    <row r="45" spans="1:9" x14ac:dyDescent="0.3">
      <c r="E45" s="13"/>
    </row>
    <row r="46" spans="1:9" x14ac:dyDescent="0.3">
      <c r="E46" s="13"/>
    </row>
  </sheetData>
  <pageMargins left="0.75" right="0.75" top="1" bottom="1" header="0.5" footer="0.5"/>
  <pageSetup scale="63" fitToHeight="3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48"/>
  <sheetViews>
    <sheetView zoomScale="75" workbookViewId="0"/>
  </sheetViews>
  <sheetFormatPr defaultColWidth="8.90625" defaultRowHeight="15.6" x14ac:dyDescent="0.3"/>
  <cols>
    <col min="1" max="1" width="8.90625" style="2"/>
    <col min="2" max="2" width="5.08984375" style="2" customWidth="1"/>
    <col min="3" max="3" width="8.90625" style="2"/>
    <col min="4" max="4" width="16" style="2" customWidth="1"/>
    <col min="5" max="5" width="12.453125" style="2" customWidth="1"/>
    <col min="6" max="7" width="8.90625" style="2"/>
    <col min="8" max="8" width="12" style="2" customWidth="1"/>
    <col min="9" max="9" width="1.453125" style="2" customWidth="1"/>
    <col min="10" max="10" width="13.08984375" style="2" customWidth="1"/>
    <col min="11" max="11" width="8.90625" style="54"/>
    <col min="12" max="12" width="13" style="54" customWidth="1"/>
    <col min="13" max="13" width="13.36328125" style="54" customWidth="1"/>
    <col min="14" max="14" width="14.08984375" style="54" customWidth="1"/>
    <col min="15" max="15" width="13.81640625" style="2" customWidth="1"/>
    <col min="16" max="16384" width="8.90625" style="2"/>
  </cols>
  <sheetData>
    <row r="1" spans="1:18" x14ac:dyDescent="0.3">
      <c r="A1" s="1" t="s">
        <v>0</v>
      </c>
      <c r="E1" s="69" t="s">
        <v>18</v>
      </c>
    </row>
    <row r="2" spans="1:18" x14ac:dyDescent="0.3">
      <c r="A2" s="1" t="s">
        <v>1</v>
      </c>
      <c r="F2" s="2" t="s">
        <v>18</v>
      </c>
    </row>
    <row r="3" spans="1:18" ht="7.5" customHeight="1" x14ac:dyDescent="0.3"/>
    <row r="4" spans="1:18" ht="12.75" customHeight="1" x14ac:dyDescent="0.3">
      <c r="A4" s="1" t="s">
        <v>19</v>
      </c>
      <c r="G4" s="1" t="s">
        <v>42</v>
      </c>
      <c r="L4" s="54" t="s">
        <v>18</v>
      </c>
    </row>
    <row r="5" spans="1:18" ht="12.75" customHeight="1" x14ac:dyDescent="0.3"/>
    <row r="6" spans="1:18" s="3" customFormat="1" x14ac:dyDescent="0.3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3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3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3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3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3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3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3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3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3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3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3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3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3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Curves!K15</f>
        <v>3.2500000000000001E-2</v>
      </c>
      <c r="H20" s="58">
        <f t="shared" si="2"/>
        <v>2.8405</v>
      </c>
      <c r="J20" s="60">
        <f t="shared" si="3"/>
        <v>-1259193.6499999999</v>
      </c>
      <c r="K20" s="54">
        <f>Curves!Y15</f>
        <v>0.98099999999999998</v>
      </c>
      <c r="L20" s="59">
        <f t="shared" si="7"/>
        <v>-1256977.1500000001</v>
      </c>
      <c r="M20" s="57">
        <f t="shared" si="5"/>
        <v>-23882.56585000013</v>
      </c>
      <c r="N20" s="57">
        <f t="shared" si="6"/>
        <v>-1233094.58415</v>
      </c>
      <c r="P20" s="54" t="s">
        <v>18</v>
      </c>
    </row>
    <row r="21" spans="1:16" s="54" customFormat="1" x14ac:dyDescent="0.3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Curves!K16</f>
        <v>3.2500000000000001E-2</v>
      </c>
      <c r="H21" s="58">
        <f t="shared" si="2"/>
        <v>2.8705000000000003</v>
      </c>
      <c r="J21" s="60">
        <f t="shared" si="3"/>
        <v>-1077298.6500000001</v>
      </c>
      <c r="K21" s="54">
        <f>Curves!Y16</f>
        <v>0.98</v>
      </c>
      <c r="L21" s="59">
        <f t="shared" si="7"/>
        <v>-1075422.1500000001</v>
      </c>
      <c r="M21" s="57">
        <f t="shared" si="5"/>
        <v>-21508.44299999997</v>
      </c>
      <c r="N21" s="57">
        <f t="shared" si="6"/>
        <v>-1053913.7070000002</v>
      </c>
    </row>
    <row r="22" spans="1:16" s="54" customFormat="1" x14ac:dyDescent="0.3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Curves!K17</f>
        <v>3.2500000000000001E-2</v>
      </c>
      <c r="H22" s="58">
        <f t="shared" si="2"/>
        <v>2.7325000000000004</v>
      </c>
      <c r="J22" s="60">
        <f t="shared" si="3"/>
        <v>-495675.50000000006</v>
      </c>
      <c r="K22" s="54">
        <f>Curves!Y17</f>
        <v>0.97899999999999998</v>
      </c>
      <c r="L22" s="59">
        <f t="shared" si="7"/>
        <v>-494768.50000000006</v>
      </c>
      <c r="M22" s="57">
        <f t="shared" si="5"/>
        <v>-10390.138500000001</v>
      </c>
      <c r="N22" s="57">
        <f t="shared" si="6"/>
        <v>-484378.36150000006</v>
      </c>
    </row>
    <row r="23" spans="1:16" s="54" customFormat="1" x14ac:dyDescent="0.3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Curves!K18</f>
        <v>3.2500000000000001E-2</v>
      </c>
      <c r="H23" s="58">
        <f t="shared" si="2"/>
        <v>2.6105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3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8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3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8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3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8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3">
      <c r="G27" s="8"/>
      <c r="H27" s="14"/>
      <c r="J27" s="9"/>
      <c r="L27" s="59"/>
      <c r="N27" s="57" t="s">
        <v>18</v>
      </c>
    </row>
    <row r="28" spans="1:16" x14ac:dyDescent="0.3">
      <c r="C28" s="2" t="s">
        <v>18</v>
      </c>
      <c r="E28" s="7">
        <f>E18</f>
        <v>1000000</v>
      </c>
      <c r="H28" s="13">
        <f>J28/E28</f>
        <v>-0.30747305000000008</v>
      </c>
      <c r="J28" s="11">
        <f>SUM(J9:J27)</f>
        <v>-307473.0500000001</v>
      </c>
      <c r="L28" s="59">
        <f>SUM(L12:L27)</f>
        <v>-256910.76428571536</v>
      </c>
      <c r="M28" s="60">
        <f>SUM(M12:M27)</f>
        <v>-22877.82546657155</v>
      </c>
      <c r="N28" s="57">
        <f>SUM(N12:N24)</f>
        <v>-234032.93881914363</v>
      </c>
    </row>
    <row r="29" spans="1:16" x14ac:dyDescent="0.3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-0.30747305000000008</v>
      </c>
      <c r="K29" s="54" t="s">
        <v>37</v>
      </c>
      <c r="M29" s="58" t="s">
        <v>18</v>
      </c>
      <c r="N29" s="63">
        <f>N28/E28</f>
        <v>-0.23403293881914364</v>
      </c>
      <c r="O29" s="2" t="s">
        <v>17</v>
      </c>
    </row>
    <row r="30" spans="1:16" x14ac:dyDescent="0.3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3">
      <c r="A31" s="1"/>
      <c r="C31" s="2" t="s">
        <v>14</v>
      </c>
      <c r="F31" s="52">
        <v>5.0000000000000001E-3</v>
      </c>
      <c r="I31" s="15"/>
    </row>
    <row r="32" spans="1:16" x14ac:dyDescent="0.3">
      <c r="A32" s="1"/>
      <c r="C32" s="2" t="s">
        <v>15</v>
      </c>
      <c r="F32" s="52">
        <v>5.0000000000000001E-3</v>
      </c>
      <c r="I32" s="15"/>
    </row>
    <row r="33" spans="1:9" x14ac:dyDescent="0.3">
      <c r="A33" s="1"/>
      <c r="E33" s="53"/>
      <c r="F33" s="13"/>
      <c r="I33" s="15"/>
    </row>
    <row r="35" spans="1:9" x14ac:dyDescent="0.3">
      <c r="E35" s="13"/>
      <c r="H35" s="13"/>
    </row>
    <row r="36" spans="1:9" x14ac:dyDescent="0.3">
      <c r="E36" s="13"/>
      <c r="H36" s="13"/>
    </row>
    <row r="37" spans="1:9" x14ac:dyDescent="0.3">
      <c r="E37" s="13"/>
    </row>
    <row r="38" spans="1:9" x14ac:dyDescent="0.3">
      <c r="E38" s="13"/>
    </row>
    <row r="39" spans="1:9" x14ac:dyDescent="0.3">
      <c r="E39" s="13"/>
    </row>
    <row r="40" spans="1:9" x14ac:dyDescent="0.3">
      <c r="E40" s="13"/>
    </row>
    <row r="41" spans="1:9" x14ac:dyDescent="0.3">
      <c r="E41" s="13"/>
      <c r="G41" s="2">
        <v>0.1152</v>
      </c>
    </row>
    <row r="42" spans="1:9" x14ac:dyDescent="0.3">
      <c r="E42" s="13"/>
      <c r="G42" s="2">
        <v>0.1474</v>
      </c>
    </row>
    <row r="43" spans="1:9" x14ac:dyDescent="0.3">
      <c r="E43" s="13"/>
      <c r="G43" s="2">
        <v>0.1555</v>
      </c>
    </row>
    <row r="44" spans="1:9" x14ac:dyDescent="0.3">
      <c r="E44" s="13"/>
      <c r="G44" s="2">
        <v>0.1305</v>
      </c>
    </row>
    <row r="45" spans="1:9" x14ac:dyDescent="0.3">
      <c r="E45" s="13"/>
      <c r="G45" s="2">
        <v>0.1336</v>
      </c>
    </row>
    <row r="46" spans="1:9" x14ac:dyDescent="0.3">
      <c r="E46" s="13"/>
      <c r="G46" s="2">
        <v>0.13880000000000001</v>
      </c>
    </row>
    <row r="47" spans="1:9" x14ac:dyDescent="0.3">
      <c r="G47" s="2">
        <v>0.14680000000000001</v>
      </c>
    </row>
    <row r="48" spans="1:9" x14ac:dyDescent="0.3">
      <c r="G48" s="2">
        <f>AVERAGE(G41:G47)</f>
        <v>0.13825714285714286</v>
      </c>
    </row>
  </sheetData>
  <pageMargins left="0.75" right="0.75" top="1" bottom="1" header="0.5" footer="0.5"/>
  <pageSetup scale="63" fitToHeight="5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ColWidth="8.90625" defaultRowHeight="15.6" x14ac:dyDescent="0.3"/>
  <cols>
    <col min="1" max="1" width="8.90625" style="2"/>
    <col min="2" max="2" width="5.08984375" style="2" customWidth="1"/>
    <col min="3" max="3" width="8.90625" style="2"/>
    <col min="4" max="4" width="16" style="2" customWidth="1"/>
    <col min="5" max="5" width="10.453125" style="2" customWidth="1"/>
    <col min="6" max="7" width="8.90625" style="2"/>
    <col min="8" max="8" width="12" style="2" customWidth="1"/>
    <col min="9" max="9" width="1.453125" style="2" customWidth="1"/>
    <col min="10" max="10" width="13.08984375" style="2" customWidth="1"/>
    <col min="11" max="11" width="8.90625" style="54"/>
    <col min="12" max="12" width="13" style="54" customWidth="1"/>
    <col min="13" max="13" width="13.36328125" style="54" customWidth="1"/>
    <col min="14" max="14" width="14.08984375" style="54" customWidth="1"/>
    <col min="15" max="15" width="13.81640625" style="2" customWidth="1"/>
    <col min="16" max="16384" width="8.90625" style="2"/>
  </cols>
  <sheetData>
    <row r="1" spans="1:18" x14ac:dyDescent="0.3">
      <c r="A1" s="1" t="s">
        <v>0</v>
      </c>
    </row>
    <row r="2" spans="1:18" x14ac:dyDescent="0.3">
      <c r="A2" s="1" t="s">
        <v>1</v>
      </c>
      <c r="F2" s="1" t="s">
        <v>43</v>
      </c>
    </row>
    <row r="3" spans="1:18" ht="7.5" customHeight="1" x14ac:dyDescent="0.3"/>
    <row r="4" spans="1:18" ht="12.75" customHeight="1" x14ac:dyDescent="0.3">
      <c r="A4" s="1" t="s">
        <v>19</v>
      </c>
      <c r="G4" s="2" t="s">
        <v>18</v>
      </c>
      <c r="L4" s="54" t="s">
        <v>18</v>
      </c>
    </row>
    <row r="5" spans="1:18" ht="12.75" customHeight="1" x14ac:dyDescent="0.3"/>
    <row r="6" spans="1:18" s="3" customFormat="1" x14ac:dyDescent="0.3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3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3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3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3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3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Curves!E7</f>
        <v>-0.1125</v>
      </c>
      <c r="H12" s="58">
        <f t="shared" si="2"/>
        <v>2.3955000000000002</v>
      </c>
      <c r="J12" s="60">
        <f t="shared" si="3"/>
        <v>567733.5</v>
      </c>
      <c r="K12" s="54">
        <f>Curves!Y7</f>
        <v>0.99</v>
      </c>
      <c r="L12" s="59">
        <f>(H12+$F$30+$F$31)*D12</f>
        <v>578064.53314285714</v>
      </c>
      <c r="M12" s="57">
        <f>L12-N12</f>
        <v>5780.6453314286191</v>
      </c>
      <c r="N12" s="57">
        <f>L12*K12</f>
        <v>572283.88781142852</v>
      </c>
    </row>
    <row r="13" spans="1:18" s="54" customFormat="1" x14ac:dyDescent="0.3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Curves!E8</f>
        <v>-0.1125</v>
      </c>
      <c r="H13" s="58">
        <f t="shared" si="2"/>
        <v>2.3835000000000002</v>
      </c>
      <c r="J13" s="60">
        <f t="shared" si="3"/>
        <v>492192.75000000006</v>
      </c>
      <c r="K13" s="54">
        <f>Curves!Y8</f>
        <v>0.98799999999999999</v>
      </c>
      <c r="L13" s="59">
        <f t="shared" ref="L13:L18" si="4">(H13+$F$30+$F$31)*D13</f>
        <v>501194.26200000005</v>
      </c>
      <c r="M13" s="57">
        <f t="shared" ref="M13:M26" si="5">L13-N13</f>
        <v>6014.3311439999961</v>
      </c>
      <c r="N13" s="57">
        <f t="shared" ref="N13:N26" si="6">L13*K13</f>
        <v>495179.93085600005</v>
      </c>
    </row>
    <row r="14" spans="1:18" s="54" customFormat="1" x14ac:dyDescent="0.3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Curves!E9</f>
        <v>-0.1125</v>
      </c>
      <c r="H14" s="58">
        <f t="shared" si="2"/>
        <v>2.3935</v>
      </c>
      <c r="J14" s="60">
        <f t="shared" si="3"/>
        <v>394927.5</v>
      </c>
      <c r="K14" s="54">
        <f>Curves!Y9</f>
        <v>0.98699999999999999</v>
      </c>
      <c r="L14" s="59">
        <f t="shared" si="4"/>
        <v>402119.9914285714</v>
      </c>
      <c r="M14" s="57">
        <f t="shared" si="5"/>
        <v>5227.5598885714426</v>
      </c>
      <c r="N14" s="57">
        <f t="shared" si="6"/>
        <v>396892.43153999996</v>
      </c>
    </row>
    <row r="15" spans="1:18" s="54" customFormat="1" x14ac:dyDescent="0.3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Curves!E10</f>
        <v>-0.1125</v>
      </c>
      <c r="H15" s="58">
        <f t="shared" si="2"/>
        <v>2.4075000000000002</v>
      </c>
      <c r="J15" s="60">
        <f t="shared" si="3"/>
        <v>408071.25000000006</v>
      </c>
      <c r="K15" s="54">
        <f>Curves!Y10</f>
        <v>0.98599999999999999</v>
      </c>
      <c r="L15" s="59">
        <f t="shared" si="4"/>
        <v>415459.90028571431</v>
      </c>
      <c r="M15" s="57">
        <f t="shared" si="5"/>
        <v>5816.4386040000245</v>
      </c>
      <c r="N15" s="57">
        <f t="shared" si="6"/>
        <v>409643.46168171428</v>
      </c>
      <c r="O15" s="60"/>
      <c r="P15" s="60"/>
      <c r="Q15" s="60"/>
      <c r="R15" s="60"/>
    </row>
    <row r="16" spans="1:18" s="54" customFormat="1" x14ac:dyDescent="0.3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Curves!E11</f>
        <v>-0.1125</v>
      </c>
      <c r="H16" s="58">
        <f t="shared" si="2"/>
        <v>2.4215</v>
      </c>
      <c r="J16" s="60">
        <f t="shared" si="3"/>
        <v>300266</v>
      </c>
      <c r="K16" s="54">
        <f>Curves!Y11</f>
        <v>0.98499999999999999</v>
      </c>
      <c r="L16" s="59">
        <f t="shared" si="4"/>
        <v>305671.26628571429</v>
      </c>
      <c r="M16" s="57">
        <f t="shared" si="5"/>
        <v>4585.0689942857134</v>
      </c>
      <c r="N16" s="57">
        <f t="shared" si="6"/>
        <v>301086.19729142857</v>
      </c>
    </row>
    <row r="17" spans="1:16" s="54" customFormat="1" x14ac:dyDescent="0.3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Curves!E12</f>
        <v>-0.1125</v>
      </c>
      <c r="H17" s="58">
        <f t="shared" si="2"/>
        <v>2.4275000000000002</v>
      </c>
      <c r="J17" s="60">
        <f t="shared" si="3"/>
        <v>237895.00000000003</v>
      </c>
      <c r="K17" s="54">
        <f>Curves!Y12</f>
        <v>0.98399999999999999</v>
      </c>
      <c r="L17" s="59">
        <f t="shared" si="4"/>
        <v>242166.90400000001</v>
      </c>
      <c r="M17" s="57">
        <f t="shared" si="5"/>
        <v>3874.6704639999953</v>
      </c>
      <c r="N17" s="57">
        <f t="shared" si="6"/>
        <v>238292.23353600001</v>
      </c>
    </row>
    <row r="18" spans="1:16" s="54" customFormat="1" x14ac:dyDescent="0.3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Curves!E13</f>
        <v>-0.1125</v>
      </c>
      <c r="H18" s="58">
        <f t="shared" si="2"/>
        <v>2.4545000000000003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3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Curves!E14</f>
        <v>-0.1525</v>
      </c>
      <c r="H19" s="58">
        <f t="shared" si="2"/>
        <v>2.5445000000000002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3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Curves!H15</f>
        <v>0.01</v>
      </c>
      <c r="H20" s="58">
        <f t="shared" si="2"/>
        <v>2.8179999999999996</v>
      </c>
      <c r="J20" s="60">
        <f t="shared" si="3"/>
        <v>-1249219.3999999999</v>
      </c>
      <c r="K20" s="54">
        <f>Curves!Y15</f>
        <v>0.98099999999999998</v>
      </c>
      <c r="L20" s="59">
        <f t="shared" si="7"/>
        <v>-1247002.8999999999</v>
      </c>
      <c r="M20" s="57">
        <f t="shared" si="5"/>
        <v>-23693.055099999998</v>
      </c>
      <c r="N20" s="57">
        <f t="shared" si="6"/>
        <v>-1223309.8448999999</v>
      </c>
      <c r="P20" s="54" t="s">
        <v>18</v>
      </c>
    </row>
    <row r="21" spans="1:16" s="54" customFormat="1" x14ac:dyDescent="0.3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Curves!H16</f>
        <v>0.01</v>
      </c>
      <c r="H21" s="58">
        <f t="shared" si="2"/>
        <v>2.8479999999999999</v>
      </c>
      <c r="J21" s="60">
        <f t="shared" si="3"/>
        <v>-1068854.3999999999</v>
      </c>
      <c r="K21" s="54">
        <f>Curves!Y16</f>
        <v>0.98</v>
      </c>
      <c r="L21" s="59">
        <f t="shared" si="7"/>
        <v>-1066977.8999999999</v>
      </c>
      <c r="M21" s="57">
        <f t="shared" si="5"/>
        <v>-21339.557999999961</v>
      </c>
      <c r="N21" s="57">
        <f t="shared" si="6"/>
        <v>-1045638.3419999999</v>
      </c>
    </row>
    <row r="22" spans="1:16" s="54" customFormat="1" x14ac:dyDescent="0.3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Curves!H17</f>
        <v>0.01</v>
      </c>
      <c r="H22" s="58">
        <f t="shared" si="2"/>
        <v>2.71</v>
      </c>
      <c r="J22" s="60">
        <f t="shared" si="3"/>
        <v>-491594</v>
      </c>
      <c r="K22" s="54">
        <f>Curves!Y17</f>
        <v>0.97899999999999998</v>
      </c>
      <c r="L22" s="59">
        <f t="shared" si="7"/>
        <v>-490687</v>
      </c>
      <c r="M22" s="57">
        <f t="shared" si="5"/>
        <v>-10304.427000000025</v>
      </c>
      <c r="N22" s="57">
        <f t="shared" si="6"/>
        <v>-480382.57299999997</v>
      </c>
    </row>
    <row r="23" spans="1:16" s="54" customFormat="1" x14ac:dyDescent="0.3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Curves!H18</f>
        <v>0.01</v>
      </c>
      <c r="H23" s="58">
        <f t="shared" si="2"/>
        <v>2.5879999999999996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3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3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3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3">
      <c r="G27" s="8"/>
      <c r="H27" s="14"/>
      <c r="J27" s="9"/>
      <c r="L27" s="59"/>
      <c r="N27" s="57" t="s">
        <v>18</v>
      </c>
    </row>
    <row r="28" spans="1:16" x14ac:dyDescent="0.3">
      <c r="C28" s="2" t="s">
        <v>18</v>
      </c>
      <c r="E28" s="7">
        <f>E18</f>
        <v>1000000</v>
      </c>
      <c r="H28" s="13">
        <f>J28/E28</f>
        <v>-0.40858179999999983</v>
      </c>
      <c r="J28" s="11">
        <f>SUM(J9:J27)</f>
        <v>-408581.79999999981</v>
      </c>
      <c r="L28" s="59">
        <f>SUM(L12:L27)</f>
        <v>-359990.94285714254</v>
      </c>
      <c r="M28" s="60">
        <f>SUM(M12:M27)</f>
        <v>-24038.325673714193</v>
      </c>
      <c r="N28" s="57">
        <f>SUM(N12:N24)</f>
        <v>-335952.61718342861</v>
      </c>
    </row>
    <row r="29" spans="1:16" x14ac:dyDescent="0.3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-0.40858179999999983</v>
      </c>
      <c r="K29" s="54" t="s">
        <v>37</v>
      </c>
      <c r="M29" s="58" t="s">
        <v>18</v>
      </c>
      <c r="N29" s="63">
        <f>N28/E28</f>
        <v>-0.33595261718342861</v>
      </c>
      <c r="O29" s="2" t="s">
        <v>17</v>
      </c>
    </row>
    <row r="30" spans="1:16" x14ac:dyDescent="0.3">
      <c r="A30" s="1" t="s">
        <v>36</v>
      </c>
      <c r="C30" s="2" t="s">
        <v>16</v>
      </c>
      <c r="E30" s="53">
        <v>1.6E-2</v>
      </c>
      <c r="F30" s="13">
        <f>E30*AVERAGE(H12:H18)</f>
        <v>3.8590857142857149E-2</v>
      </c>
      <c r="G30" s="2" t="s">
        <v>18</v>
      </c>
      <c r="I30" s="15"/>
    </row>
    <row r="31" spans="1:16" x14ac:dyDescent="0.3">
      <c r="A31" s="1"/>
      <c r="C31" s="2" t="s">
        <v>14</v>
      </c>
      <c r="F31" s="52">
        <v>5.0000000000000001E-3</v>
      </c>
      <c r="I31" s="15"/>
    </row>
    <row r="32" spans="1:16" x14ac:dyDescent="0.3">
      <c r="A32" s="1"/>
      <c r="C32" s="2" t="s">
        <v>15</v>
      </c>
      <c r="F32" s="52">
        <v>5.0000000000000001E-3</v>
      </c>
      <c r="I32" s="15"/>
    </row>
    <row r="33" spans="1:13" x14ac:dyDescent="0.3">
      <c r="A33" s="1"/>
      <c r="E33" s="53"/>
      <c r="F33" s="13"/>
      <c r="I33" s="15"/>
      <c r="L33" s="54">
        <v>0.1152</v>
      </c>
    </row>
    <row r="34" spans="1:13" x14ac:dyDescent="0.3">
      <c r="L34" s="54">
        <v>0.1474</v>
      </c>
    </row>
    <row r="35" spans="1:13" x14ac:dyDescent="0.3">
      <c r="E35" s="13"/>
      <c r="H35" s="13"/>
      <c r="L35" s="54">
        <v>0.1555</v>
      </c>
    </row>
    <row r="36" spans="1:13" x14ac:dyDescent="0.3">
      <c r="E36" s="13"/>
      <c r="H36" s="13"/>
      <c r="L36" s="54">
        <v>0.1305</v>
      </c>
    </row>
    <row r="37" spans="1:13" x14ac:dyDescent="0.3">
      <c r="E37" s="13"/>
      <c r="L37" s="54">
        <v>0.1336</v>
      </c>
    </row>
    <row r="38" spans="1:13" x14ac:dyDescent="0.3">
      <c r="E38" s="13"/>
      <c r="L38" s="54">
        <v>0.13880000000000001</v>
      </c>
    </row>
    <row r="39" spans="1:13" x14ac:dyDescent="0.3">
      <c r="E39" s="13"/>
      <c r="L39" s="54">
        <v>0.1467</v>
      </c>
    </row>
    <row r="40" spans="1:13" x14ac:dyDescent="0.3">
      <c r="E40" s="13"/>
      <c r="L40" s="79">
        <f>AVERAGE(L33:L39)</f>
        <v>0.13824285714285714</v>
      </c>
      <c r="M40" s="54" t="s">
        <v>39</v>
      </c>
    </row>
    <row r="41" spans="1:13" x14ac:dyDescent="0.3">
      <c r="E41" s="13"/>
    </row>
    <row r="42" spans="1:13" x14ac:dyDescent="0.3">
      <c r="E42" s="13"/>
    </row>
    <row r="43" spans="1:13" x14ac:dyDescent="0.3">
      <c r="E43" s="13"/>
    </row>
    <row r="44" spans="1:13" x14ac:dyDescent="0.3">
      <c r="E44" s="13"/>
    </row>
    <row r="45" spans="1:13" x14ac:dyDescent="0.3">
      <c r="E45" s="13"/>
    </row>
    <row r="46" spans="1:13" x14ac:dyDescent="0.3">
      <c r="E46" s="13"/>
    </row>
  </sheetData>
  <pageMargins left="0.75" right="0.75" top="1" bottom="1" header="0.5" footer="0.5"/>
  <pageSetup scale="61" fitToHeight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ColWidth="8.90625" defaultRowHeight="15.6" x14ac:dyDescent="0.3"/>
  <cols>
    <col min="1" max="1" width="8.90625" style="2"/>
    <col min="2" max="2" width="5.08984375" style="2" customWidth="1"/>
    <col min="3" max="3" width="8.90625" style="2"/>
    <col min="4" max="4" width="16" style="2" customWidth="1"/>
    <col min="5" max="5" width="10.453125" style="2" customWidth="1"/>
    <col min="6" max="7" width="8.90625" style="2"/>
    <col min="8" max="8" width="12" style="2" customWidth="1"/>
    <col min="9" max="9" width="1.453125" style="2" customWidth="1"/>
    <col min="10" max="10" width="13.08984375" style="2" customWidth="1"/>
    <col min="11" max="11" width="8.90625" style="54"/>
    <col min="12" max="12" width="13" style="54" customWidth="1"/>
    <col min="13" max="13" width="13.36328125" style="54" customWidth="1"/>
    <col min="14" max="14" width="14.08984375" style="54" customWidth="1"/>
    <col min="15" max="15" width="13.81640625" style="2" customWidth="1"/>
    <col min="16" max="16384" width="8.90625" style="2"/>
  </cols>
  <sheetData>
    <row r="1" spans="1:18" x14ac:dyDescent="0.3">
      <c r="A1" s="1" t="s">
        <v>0</v>
      </c>
    </row>
    <row r="2" spans="1:18" x14ac:dyDescent="0.3">
      <c r="A2" s="1" t="s">
        <v>1</v>
      </c>
      <c r="F2" s="2" t="s">
        <v>18</v>
      </c>
    </row>
    <row r="3" spans="1:18" ht="7.5" customHeight="1" x14ac:dyDescent="0.3"/>
    <row r="4" spans="1:18" ht="12.75" customHeight="1" x14ac:dyDescent="0.3">
      <c r="A4" s="1" t="s">
        <v>19</v>
      </c>
      <c r="G4" s="1" t="s">
        <v>44</v>
      </c>
      <c r="L4" s="54" t="s">
        <v>18</v>
      </c>
    </row>
    <row r="5" spans="1:18" ht="12.75" customHeight="1" x14ac:dyDescent="0.3"/>
    <row r="6" spans="1:18" s="3" customFormat="1" x14ac:dyDescent="0.3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3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3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3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3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3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3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3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3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3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3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3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3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3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Curves!N15</f>
        <v>-7.4999999999999997E-3</v>
      </c>
      <c r="H20" s="58">
        <f t="shared" si="2"/>
        <v>2.8005</v>
      </c>
      <c r="J20" s="60">
        <f t="shared" si="3"/>
        <v>-1241461.6499999999</v>
      </c>
      <c r="K20" s="54">
        <f>Curves!Y15</f>
        <v>0.98099999999999998</v>
      </c>
      <c r="L20" s="59">
        <f t="shared" si="7"/>
        <v>-1239245.1500000001</v>
      </c>
      <c r="M20" s="57">
        <f t="shared" si="5"/>
        <v>-23545.657850000076</v>
      </c>
      <c r="N20" s="57">
        <f t="shared" si="6"/>
        <v>-1215699.4921500001</v>
      </c>
      <c r="P20" s="54" t="s">
        <v>18</v>
      </c>
    </row>
    <row r="21" spans="1:16" s="54" customFormat="1" x14ac:dyDescent="0.3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Curves!N16</f>
        <v>-7.4999999999999997E-3</v>
      </c>
      <c r="H21" s="58">
        <f t="shared" si="2"/>
        <v>2.8305000000000002</v>
      </c>
      <c r="J21" s="60">
        <f t="shared" si="3"/>
        <v>-1062286.6500000001</v>
      </c>
      <c r="K21" s="54">
        <f>Curves!Y16</f>
        <v>0.98</v>
      </c>
      <c r="L21" s="59">
        <f t="shared" si="7"/>
        <v>-1060410.1500000001</v>
      </c>
      <c r="M21" s="57">
        <f t="shared" si="5"/>
        <v>-21208.20299999998</v>
      </c>
      <c r="N21" s="57">
        <f t="shared" si="6"/>
        <v>-1039201.9470000002</v>
      </c>
    </row>
    <row r="22" spans="1:16" s="54" customFormat="1" x14ac:dyDescent="0.3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Curves!N17</f>
        <v>-7.4999999999999997E-3</v>
      </c>
      <c r="H22" s="58">
        <f t="shared" si="2"/>
        <v>2.6925000000000003</v>
      </c>
      <c r="J22" s="60">
        <f t="shared" si="3"/>
        <v>-488419.50000000006</v>
      </c>
      <c r="K22" s="54">
        <f>Curves!Y17</f>
        <v>0.97899999999999998</v>
      </c>
      <c r="L22" s="59">
        <f t="shared" si="7"/>
        <v>-487512.50000000006</v>
      </c>
      <c r="M22" s="57">
        <f t="shared" si="5"/>
        <v>-10237.762500000012</v>
      </c>
      <c r="N22" s="57">
        <f t="shared" si="6"/>
        <v>-477274.73750000005</v>
      </c>
    </row>
    <row r="23" spans="1:16" s="54" customFormat="1" x14ac:dyDescent="0.3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Curves!N18</f>
        <v>-7.4999999999999997E-3</v>
      </c>
      <c r="H23" s="58">
        <f t="shared" si="2"/>
        <v>2.5705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3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3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3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3">
      <c r="G27" s="8"/>
      <c r="H27" s="14"/>
      <c r="J27" s="9"/>
      <c r="L27" s="59"/>
      <c r="N27" s="57" t="s">
        <v>18</v>
      </c>
    </row>
    <row r="28" spans="1:16" x14ac:dyDescent="0.3">
      <c r="C28" s="2" t="s">
        <v>18</v>
      </c>
      <c r="E28" s="7">
        <f>E18</f>
        <v>1000000</v>
      </c>
      <c r="H28" s="13">
        <f>J28/E28</f>
        <v>-0.2674730500000001</v>
      </c>
      <c r="J28" s="11">
        <f>SUM(J9:J27)</f>
        <v>-267473.0500000001</v>
      </c>
      <c r="L28" s="59">
        <f>SUM(L12:L27)</f>
        <v>-216910.76428571536</v>
      </c>
      <c r="M28" s="60">
        <f>SUM(M12:M27)</f>
        <v>-22088.301466571516</v>
      </c>
      <c r="N28" s="57">
        <f>SUM(N12:N24)</f>
        <v>-194822.46281914366</v>
      </c>
    </row>
    <row r="29" spans="1:16" x14ac:dyDescent="0.3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-0.2674730500000001</v>
      </c>
      <c r="K29" s="54" t="s">
        <v>37</v>
      </c>
      <c r="M29" s="58" t="s">
        <v>18</v>
      </c>
      <c r="N29" s="63">
        <f>N28/E28</f>
        <v>-0.19482246281914367</v>
      </c>
      <c r="O29" s="2" t="s">
        <v>17</v>
      </c>
    </row>
    <row r="30" spans="1:16" x14ac:dyDescent="0.3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3">
      <c r="A31" s="1"/>
      <c r="C31" s="2" t="s">
        <v>14</v>
      </c>
      <c r="F31" s="52">
        <v>5.0000000000000001E-3</v>
      </c>
      <c r="I31" s="15"/>
    </row>
    <row r="32" spans="1:16" x14ac:dyDescent="0.3">
      <c r="A32" s="1"/>
      <c r="C32" s="2" t="s">
        <v>15</v>
      </c>
      <c r="F32" s="52">
        <v>5.0000000000000001E-3</v>
      </c>
      <c r="I32" s="15"/>
    </row>
    <row r="33" spans="1:9" x14ac:dyDescent="0.3">
      <c r="A33" s="1"/>
      <c r="E33" s="53"/>
      <c r="F33" s="13"/>
      <c r="I33" s="15"/>
    </row>
    <row r="35" spans="1:9" x14ac:dyDescent="0.3">
      <c r="E35" s="13"/>
      <c r="H35" s="13"/>
    </row>
    <row r="36" spans="1:9" x14ac:dyDescent="0.3">
      <c r="E36" s="13"/>
      <c r="H36" s="13"/>
    </row>
    <row r="37" spans="1:9" x14ac:dyDescent="0.3">
      <c r="E37" s="13"/>
    </row>
    <row r="38" spans="1:9" x14ac:dyDescent="0.3">
      <c r="E38" s="13"/>
    </row>
    <row r="39" spans="1:9" x14ac:dyDescent="0.3">
      <c r="E39" s="13"/>
    </row>
    <row r="40" spans="1:9" x14ac:dyDescent="0.3">
      <c r="E40" s="13"/>
    </row>
    <row r="41" spans="1:9" x14ac:dyDescent="0.3">
      <c r="E41" s="13"/>
    </row>
    <row r="42" spans="1:9" x14ac:dyDescent="0.3">
      <c r="E42" s="13"/>
    </row>
    <row r="43" spans="1:9" x14ac:dyDescent="0.3">
      <c r="E43" s="13"/>
    </row>
    <row r="44" spans="1:9" x14ac:dyDescent="0.3">
      <c r="E44" s="13"/>
    </row>
    <row r="45" spans="1:9" x14ac:dyDescent="0.3">
      <c r="E45" s="13"/>
    </row>
    <row r="46" spans="1:9" x14ac:dyDescent="0.3">
      <c r="E46" s="13"/>
    </row>
  </sheetData>
  <pageMargins left="0.75" right="0.75" top="1" bottom="1" header="0.5" footer="0.5"/>
  <pageSetup scale="61" fitToHeight="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ColWidth="8.90625" defaultRowHeight="15.6" x14ac:dyDescent="0.3"/>
  <cols>
    <col min="1" max="1" width="8.90625" style="2"/>
    <col min="2" max="2" width="5.08984375" style="2" customWidth="1"/>
    <col min="3" max="3" width="8.90625" style="2"/>
    <col min="4" max="4" width="16" style="2" customWidth="1"/>
    <col min="5" max="5" width="10.453125" style="2" customWidth="1"/>
    <col min="6" max="7" width="8.90625" style="2"/>
    <col min="8" max="8" width="12" style="2" customWidth="1"/>
    <col min="9" max="9" width="1.453125" style="2" customWidth="1"/>
    <col min="10" max="10" width="13.08984375" style="2" customWidth="1"/>
    <col min="11" max="11" width="8.90625" style="54"/>
    <col min="12" max="12" width="13" style="54" customWidth="1"/>
    <col min="13" max="13" width="13.36328125" style="54" customWidth="1"/>
    <col min="14" max="14" width="14.08984375" style="54" customWidth="1"/>
    <col min="15" max="15" width="13.81640625" style="2" customWidth="1"/>
    <col min="16" max="16384" width="8.90625" style="2"/>
  </cols>
  <sheetData>
    <row r="1" spans="1:18" x14ac:dyDescent="0.3">
      <c r="A1" s="1" t="s">
        <v>0</v>
      </c>
    </row>
    <row r="2" spans="1:18" x14ac:dyDescent="0.3">
      <c r="A2" s="1" t="s">
        <v>1</v>
      </c>
      <c r="F2" s="2" t="s">
        <v>18</v>
      </c>
    </row>
    <row r="3" spans="1:18" ht="7.5" customHeight="1" x14ac:dyDescent="0.3"/>
    <row r="4" spans="1:18" ht="12.75" customHeight="1" x14ac:dyDescent="0.3">
      <c r="A4" s="1" t="s">
        <v>19</v>
      </c>
      <c r="G4" s="1" t="s">
        <v>45</v>
      </c>
      <c r="L4" s="54" t="s">
        <v>18</v>
      </c>
    </row>
    <row r="5" spans="1:18" ht="12.75" customHeight="1" x14ac:dyDescent="0.3"/>
    <row r="6" spans="1:18" s="3" customFormat="1" x14ac:dyDescent="0.3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3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3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3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3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3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3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3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3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3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3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3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3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3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Curves!Q15</f>
        <v>-3.5000000000000003E-2</v>
      </c>
      <c r="H20" s="58">
        <f t="shared" si="2"/>
        <v>2.7729999999999997</v>
      </c>
      <c r="J20" s="60">
        <f t="shared" si="3"/>
        <v>-1229270.8999999999</v>
      </c>
      <c r="K20" s="54">
        <f>Curves!Y15</f>
        <v>0.98099999999999998</v>
      </c>
      <c r="L20" s="59">
        <f t="shared" si="7"/>
        <v>-1227054.3999999999</v>
      </c>
      <c r="M20" s="57">
        <f t="shared" si="5"/>
        <v>-23314.033599999966</v>
      </c>
      <c r="N20" s="57">
        <f t="shared" si="6"/>
        <v>-1203740.3663999999</v>
      </c>
      <c r="P20" s="54" t="s">
        <v>18</v>
      </c>
    </row>
    <row r="21" spans="1:16" s="54" customFormat="1" x14ac:dyDescent="0.3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Curves!Q16</f>
        <v>-3.5000000000000003E-2</v>
      </c>
      <c r="H21" s="58">
        <f t="shared" si="2"/>
        <v>2.8029999999999999</v>
      </c>
      <c r="J21" s="60">
        <f t="shared" si="3"/>
        <v>-1051965.8999999999</v>
      </c>
      <c r="K21" s="54">
        <f>Curves!Y16</f>
        <v>0.98</v>
      </c>
      <c r="L21" s="59">
        <f t="shared" si="7"/>
        <v>-1050089.3999999999</v>
      </c>
      <c r="M21" s="57">
        <f t="shared" si="5"/>
        <v>-21001.788000000059</v>
      </c>
      <c r="N21" s="57">
        <f t="shared" si="6"/>
        <v>-1029087.6119999998</v>
      </c>
    </row>
    <row r="22" spans="1:16" s="54" customFormat="1" x14ac:dyDescent="0.3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Curves!Q17</f>
        <v>-3.5000000000000003E-2</v>
      </c>
      <c r="H22" s="58">
        <f t="shared" si="2"/>
        <v>2.665</v>
      </c>
      <c r="J22" s="60">
        <f t="shared" si="3"/>
        <v>-483431</v>
      </c>
      <c r="K22" s="54">
        <f>Curves!Y17</f>
        <v>0.97899999999999998</v>
      </c>
      <c r="L22" s="59">
        <f t="shared" si="7"/>
        <v>-482524</v>
      </c>
      <c r="M22" s="57">
        <f t="shared" si="5"/>
        <v>-10133.004000000015</v>
      </c>
      <c r="N22" s="57">
        <f t="shared" si="6"/>
        <v>-472390.99599999998</v>
      </c>
    </row>
    <row r="23" spans="1:16" s="54" customFormat="1" x14ac:dyDescent="0.3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Curves!Q18</f>
        <v>-3.5000000000000003E-2</v>
      </c>
      <c r="H23" s="58">
        <f t="shared" si="2"/>
        <v>2.5429999999999997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3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3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3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3">
      <c r="G27" s="8"/>
      <c r="H27" s="14"/>
      <c r="J27" s="9"/>
      <c r="L27" s="59"/>
      <c r="N27" s="57" t="s">
        <v>18</v>
      </c>
    </row>
    <row r="28" spans="1:16" x14ac:dyDescent="0.3">
      <c r="C28" s="2" t="s">
        <v>18</v>
      </c>
      <c r="E28" s="7">
        <f>E18</f>
        <v>1000000</v>
      </c>
      <c r="H28" s="13">
        <f>J28/E28</f>
        <v>-0.23997304999999983</v>
      </c>
      <c r="J28" s="11">
        <f>SUM(J9:J27)</f>
        <v>-239973.04999999981</v>
      </c>
      <c r="L28" s="59">
        <f>SUM(L12:L27)</f>
        <v>-189410.76428571483</v>
      </c>
      <c r="M28" s="60">
        <f>SUM(M12:M27)</f>
        <v>-21545.503716571489</v>
      </c>
      <c r="N28" s="57">
        <f>SUM(N12:N24)</f>
        <v>-167865.26056914317</v>
      </c>
    </row>
    <row r="29" spans="1:16" x14ac:dyDescent="0.3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-0.23997304999999983</v>
      </c>
      <c r="K29" s="54" t="s">
        <v>37</v>
      </c>
      <c r="M29" s="58" t="s">
        <v>18</v>
      </c>
      <c r="N29" s="63">
        <f>N28/E28</f>
        <v>-0.16786526056914317</v>
      </c>
      <c r="O29" s="2" t="s">
        <v>17</v>
      </c>
    </row>
    <row r="30" spans="1:16" x14ac:dyDescent="0.3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3">
      <c r="A31" s="1"/>
      <c r="C31" s="2" t="s">
        <v>14</v>
      </c>
      <c r="F31" s="52">
        <v>5.0000000000000001E-3</v>
      </c>
      <c r="I31" s="15"/>
    </row>
    <row r="32" spans="1:16" x14ac:dyDescent="0.3">
      <c r="A32" s="1"/>
      <c r="C32" s="2" t="s">
        <v>15</v>
      </c>
      <c r="F32" s="52">
        <v>5.0000000000000001E-3</v>
      </c>
      <c r="I32" s="15"/>
    </row>
    <row r="33" spans="1:9" x14ac:dyDescent="0.3">
      <c r="A33" s="1"/>
      <c r="E33" s="53"/>
      <c r="F33" s="13"/>
      <c r="I33" s="15"/>
    </row>
    <row r="35" spans="1:9" x14ac:dyDescent="0.3">
      <c r="E35" s="13"/>
      <c r="H35" s="13"/>
    </row>
    <row r="36" spans="1:9" x14ac:dyDescent="0.3">
      <c r="E36" s="13"/>
      <c r="H36" s="13"/>
    </row>
    <row r="37" spans="1:9" x14ac:dyDescent="0.3">
      <c r="E37" s="13"/>
    </row>
    <row r="38" spans="1:9" x14ac:dyDescent="0.3">
      <c r="E38" s="13"/>
    </row>
    <row r="39" spans="1:9" x14ac:dyDescent="0.3">
      <c r="E39" s="13"/>
    </row>
    <row r="40" spans="1:9" x14ac:dyDescent="0.3">
      <c r="E40" s="13"/>
    </row>
    <row r="41" spans="1:9" x14ac:dyDescent="0.3">
      <c r="E41" s="13"/>
    </row>
    <row r="42" spans="1:9" x14ac:dyDescent="0.3">
      <c r="E42" s="13"/>
    </row>
    <row r="43" spans="1:9" x14ac:dyDescent="0.3">
      <c r="E43" s="13"/>
    </row>
    <row r="44" spans="1:9" x14ac:dyDescent="0.3">
      <c r="E44" s="13"/>
    </row>
    <row r="45" spans="1:9" x14ac:dyDescent="0.3">
      <c r="E45" s="13"/>
    </row>
    <row r="46" spans="1:9" x14ac:dyDescent="0.3">
      <c r="E46" s="13"/>
    </row>
  </sheetData>
  <pageMargins left="0.75" right="0.75" top="1" bottom="1" header="0.5" footer="0.5"/>
  <pageSetup scale="61" fitToHeight="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zoomScale="75" workbookViewId="0"/>
  </sheetViews>
  <sheetFormatPr defaultColWidth="8.90625" defaultRowHeight="15.6" x14ac:dyDescent="0.3"/>
  <cols>
    <col min="1" max="1" width="8.90625" style="2"/>
    <col min="2" max="2" width="5.08984375" style="2" customWidth="1"/>
    <col min="3" max="3" width="8.90625" style="2"/>
    <col min="4" max="4" width="16" style="2" customWidth="1"/>
    <col min="5" max="5" width="10.453125" style="2" customWidth="1"/>
    <col min="6" max="7" width="8.90625" style="2"/>
    <col min="8" max="8" width="12" style="2" customWidth="1"/>
    <col min="9" max="9" width="1.453125" style="2" customWidth="1"/>
    <col min="10" max="10" width="13.08984375" style="2" customWidth="1"/>
    <col min="11" max="11" width="8.90625" style="54"/>
    <col min="12" max="12" width="13" style="54" customWidth="1"/>
    <col min="13" max="13" width="13.36328125" style="54" customWidth="1"/>
    <col min="14" max="14" width="14.08984375" style="54" customWidth="1"/>
    <col min="15" max="15" width="13.81640625" style="2" customWidth="1"/>
    <col min="16" max="16384" width="8.90625" style="2"/>
  </cols>
  <sheetData>
    <row r="1" spans="1:18" x14ac:dyDescent="0.3">
      <c r="A1" s="1" t="s">
        <v>0</v>
      </c>
    </row>
    <row r="2" spans="1:18" x14ac:dyDescent="0.3">
      <c r="A2" s="1" t="s">
        <v>1</v>
      </c>
      <c r="F2" s="2" t="s">
        <v>18</v>
      </c>
    </row>
    <row r="3" spans="1:18" ht="7.5" customHeight="1" x14ac:dyDescent="0.3"/>
    <row r="4" spans="1:18" ht="12.75" customHeight="1" x14ac:dyDescent="0.3">
      <c r="A4" s="1" t="s">
        <v>19</v>
      </c>
      <c r="G4" s="1" t="s">
        <v>46</v>
      </c>
      <c r="L4" s="54" t="s">
        <v>18</v>
      </c>
    </row>
    <row r="5" spans="1:18" ht="12.75" customHeight="1" x14ac:dyDescent="0.3"/>
    <row r="6" spans="1:18" s="3" customFormat="1" x14ac:dyDescent="0.3">
      <c r="C6" s="4" t="s">
        <v>2</v>
      </c>
      <c r="D6" s="4"/>
      <c r="E6" s="4"/>
      <c r="F6" s="5" t="s">
        <v>18</v>
      </c>
      <c r="H6" s="3" t="s">
        <v>3</v>
      </c>
      <c r="K6" s="55" t="s">
        <v>30</v>
      </c>
      <c r="L6" s="55" t="s">
        <v>32</v>
      </c>
      <c r="M6" s="55" t="s">
        <v>4</v>
      </c>
      <c r="N6" s="55" t="s">
        <v>34</v>
      </c>
    </row>
    <row r="7" spans="1:18" s="3" customFormat="1" x14ac:dyDescent="0.3">
      <c r="A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J7" s="3" t="s">
        <v>12</v>
      </c>
      <c r="K7" s="55" t="s">
        <v>31</v>
      </c>
      <c r="L7" s="55" t="s">
        <v>33</v>
      </c>
      <c r="M7" s="55" t="s">
        <v>13</v>
      </c>
      <c r="N7" s="55" t="s">
        <v>35</v>
      </c>
    </row>
    <row r="9" spans="1:18" x14ac:dyDescent="0.3">
      <c r="A9" s="6">
        <v>36526</v>
      </c>
      <c r="B9" s="2">
        <v>31</v>
      </c>
      <c r="C9" s="65">
        <v>0</v>
      </c>
      <c r="D9" s="65">
        <f t="shared" ref="D9:D25" si="0">B9*C9</f>
        <v>0</v>
      </c>
      <c r="E9" s="65">
        <f>D9</f>
        <v>0</v>
      </c>
      <c r="F9" s="8">
        <v>0</v>
      </c>
      <c r="G9" s="8">
        <v>0</v>
      </c>
      <c r="H9" s="14">
        <f>F9+G9</f>
        <v>0</v>
      </c>
      <c r="J9" s="9">
        <f>H9*D9</f>
        <v>0</v>
      </c>
      <c r="L9" s="54" t="s">
        <v>18</v>
      </c>
      <c r="M9" s="54" t="s">
        <v>18</v>
      </c>
    </row>
    <row r="10" spans="1:18" x14ac:dyDescent="0.3">
      <c r="A10" s="6">
        <v>36557</v>
      </c>
      <c r="B10" s="2">
        <v>29</v>
      </c>
      <c r="C10" s="65">
        <v>0</v>
      </c>
      <c r="D10" s="65">
        <f t="shared" si="0"/>
        <v>0</v>
      </c>
      <c r="E10" s="65">
        <f t="shared" ref="E10:E26" si="1">E9+D10</f>
        <v>0</v>
      </c>
      <c r="F10" s="8">
        <v>0</v>
      </c>
      <c r="G10" s="8">
        <v>0</v>
      </c>
      <c r="H10" s="14">
        <f t="shared" ref="H10:H25" si="2">F10+G10</f>
        <v>0</v>
      </c>
      <c r="J10" s="9">
        <f t="shared" ref="J10:J25" si="3">H10*D10</f>
        <v>0</v>
      </c>
      <c r="M10" s="54" t="s">
        <v>18</v>
      </c>
    </row>
    <row r="11" spans="1:18" x14ac:dyDescent="0.3">
      <c r="A11" s="6">
        <v>36586</v>
      </c>
      <c r="B11" s="2">
        <v>31</v>
      </c>
      <c r="C11" s="65">
        <v>0</v>
      </c>
      <c r="D11" s="65">
        <f t="shared" si="0"/>
        <v>0</v>
      </c>
      <c r="E11" s="65">
        <f t="shared" si="1"/>
        <v>0</v>
      </c>
      <c r="F11" s="8">
        <v>0</v>
      </c>
      <c r="G11" s="8">
        <v>0</v>
      </c>
      <c r="H11" s="14">
        <v>0</v>
      </c>
      <c r="J11" s="9">
        <f t="shared" si="3"/>
        <v>0</v>
      </c>
    </row>
    <row r="12" spans="1:18" s="54" customFormat="1" x14ac:dyDescent="0.3">
      <c r="A12" s="61">
        <v>36617</v>
      </c>
      <c r="B12" s="54">
        <v>30</v>
      </c>
      <c r="C12" s="66">
        <f>237000/B12</f>
        <v>7900</v>
      </c>
      <c r="D12" s="66">
        <f t="shared" si="0"/>
        <v>237000</v>
      </c>
      <c r="E12" s="66">
        <f>E11+D12</f>
        <v>237000</v>
      </c>
      <c r="F12" s="62">
        <f>Curves!X7</f>
        <v>2.508</v>
      </c>
      <c r="G12" s="16">
        <f>Curves!H7</f>
        <v>1.2500000000000001E-2</v>
      </c>
      <c r="H12" s="58">
        <f t="shared" si="2"/>
        <v>2.5205000000000002</v>
      </c>
      <c r="J12" s="60">
        <f t="shared" si="3"/>
        <v>597358.5</v>
      </c>
      <c r="K12" s="54">
        <f>Curves!Y7</f>
        <v>0.99</v>
      </c>
      <c r="L12" s="59">
        <f>(H12+$F$30+$F$31)*D12</f>
        <v>608156.76171428571</v>
      </c>
      <c r="M12" s="57">
        <f>L12-N12</f>
        <v>6081.5676171428058</v>
      </c>
      <c r="N12" s="57">
        <f>L12*K12</f>
        <v>602075.1940971429</v>
      </c>
    </row>
    <row r="13" spans="1:18" s="54" customFormat="1" x14ac:dyDescent="0.3">
      <c r="A13" s="61">
        <v>36647</v>
      </c>
      <c r="B13" s="54">
        <v>31</v>
      </c>
      <c r="C13" s="66">
        <f>206500/B13</f>
        <v>6661.2903225806449</v>
      </c>
      <c r="D13" s="66">
        <f t="shared" si="0"/>
        <v>206500</v>
      </c>
      <c r="E13" s="66">
        <f t="shared" si="1"/>
        <v>443500</v>
      </c>
      <c r="F13" s="62">
        <f>Curves!X8</f>
        <v>2.496</v>
      </c>
      <c r="G13" s="16">
        <f>Curves!H8</f>
        <v>1.2500000000000001E-2</v>
      </c>
      <c r="H13" s="58">
        <f t="shared" si="2"/>
        <v>2.5085000000000002</v>
      </c>
      <c r="J13" s="60">
        <f t="shared" si="3"/>
        <v>518005.25000000006</v>
      </c>
      <c r="K13" s="54">
        <f>Curves!Y8</f>
        <v>0.98799999999999999</v>
      </c>
      <c r="L13" s="59">
        <f t="shared" ref="L13:L18" si="4">(H13+$F$30+$F$31)*D13</f>
        <v>527413.86199999996</v>
      </c>
      <c r="M13" s="57">
        <f t="shared" ref="M13:M26" si="5">L13-N13</f>
        <v>6328.9663440000149</v>
      </c>
      <c r="N13" s="57">
        <f t="shared" ref="N13:N26" si="6">L13*K13</f>
        <v>521084.89565599995</v>
      </c>
    </row>
    <row r="14" spans="1:18" s="54" customFormat="1" x14ac:dyDescent="0.3">
      <c r="A14" s="61">
        <v>36678</v>
      </c>
      <c r="B14" s="54">
        <v>30</v>
      </c>
      <c r="C14" s="66">
        <f>165000/B14</f>
        <v>5500</v>
      </c>
      <c r="D14" s="66">
        <f t="shared" si="0"/>
        <v>165000</v>
      </c>
      <c r="E14" s="66">
        <f t="shared" si="1"/>
        <v>608500</v>
      </c>
      <c r="F14" s="62">
        <f>Curves!X9</f>
        <v>2.5059999999999998</v>
      </c>
      <c r="G14" s="16">
        <f>Curves!H9</f>
        <v>0.01</v>
      </c>
      <c r="H14" s="58">
        <f t="shared" si="2"/>
        <v>2.5159999999999996</v>
      </c>
      <c r="J14" s="60">
        <f t="shared" si="3"/>
        <v>415139.99999999994</v>
      </c>
      <c r="K14" s="54">
        <f>Curves!Y9</f>
        <v>0.98699999999999999</v>
      </c>
      <c r="L14" s="59">
        <f t="shared" si="4"/>
        <v>422657.77714285703</v>
      </c>
      <c r="M14" s="57">
        <f t="shared" si="5"/>
        <v>5494.5511028571636</v>
      </c>
      <c r="N14" s="57">
        <f t="shared" si="6"/>
        <v>417163.22603999986</v>
      </c>
    </row>
    <row r="15" spans="1:18" s="54" customFormat="1" x14ac:dyDescent="0.3">
      <c r="A15" s="61">
        <v>36708</v>
      </c>
      <c r="B15" s="54">
        <v>31</v>
      </c>
      <c r="C15" s="66">
        <f>169500/B15</f>
        <v>5467.7419354838712</v>
      </c>
      <c r="D15" s="66">
        <f t="shared" si="0"/>
        <v>169500</v>
      </c>
      <c r="E15" s="66">
        <f t="shared" si="1"/>
        <v>778000</v>
      </c>
      <c r="F15" s="62">
        <f>Curves!X10</f>
        <v>2.52</v>
      </c>
      <c r="G15" s="16">
        <f>Curves!H10</f>
        <v>0.01</v>
      </c>
      <c r="H15" s="58">
        <f t="shared" si="2"/>
        <v>2.5299999999999998</v>
      </c>
      <c r="J15" s="60">
        <f t="shared" si="3"/>
        <v>428834.99999999994</v>
      </c>
      <c r="K15" s="54">
        <f>Curves!Y10</f>
        <v>0.98599999999999999</v>
      </c>
      <c r="L15" s="59">
        <f t="shared" si="4"/>
        <v>436557.80742857134</v>
      </c>
      <c r="M15" s="57">
        <f t="shared" si="5"/>
        <v>6111.8093039999949</v>
      </c>
      <c r="N15" s="57">
        <f t="shared" si="6"/>
        <v>430445.99812457134</v>
      </c>
      <c r="O15" s="60"/>
      <c r="P15" s="60"/>
      <c r="Q15" s="60"/>
      <c r="R15" s="60"/>
    </row>
    <row r="16" spans="1:18" s="54" customFormat="1" x14ac:dyDescent="0.3">
      <c r="A16" s="61">
        <v>36739</v>
      </c>
      <c r="B16" s="54">
        <v>31</v>
      </c>
      <c r="C16" s="66">
        <f>124000/B16</f>
        <v>4000</v>
      </c>
      <c r="D16" s="66">
        <f t="shared" si="0"/>
        <v>124000</v>
      </c>
      <c r="E16" s="66">
        <f t="shared" si="1"/>
        <v>902000</v>
      </c>
      <c r="F16" s="62">
        <f>Curves!X11</f>
        <v>2.5339999999999998</v>
      </c>
      <c r="G16" s="16">
        <f>Curves!H11</f>
        <v>0.01</v>
      </c>
      <c r="H16" s="58">
        <f t="shared" si="2"/>
        <v>2.5439999999999996</v>
      </c>
      <c r="J16" s="60">
        <f t="shared" si="3"/>
        <v>315455.99999999994</v>
      </c>
      <c r="K16" s="54">
        <f>Curves!Y11</f>
        <v>0.98499999999999999</v>
      </c>
      <c r="L16" s="59">
        <f t="shared" si="4"/>
        <v>321105.72342857136</v>
      </c>
      <c r="M16" s="57">
        <f t="shared" si="5"/>
        <v>4816.5858514285646</v>
      </c>
      <c r="N16" s="57">
        <f t="shared" si="6"/>
        <v>316289.1375771428</v>
      </c>
    </row>
    <row r="17" spans="1:16" s="54" customFormat="1" x14ac:dyDescent="0.3">
      <c r="A17" s="61">
        <v>36770</v>
      </c>
      <c r="B17" s="54">
        <v>30</v>
      </c>
      <c r="C17" s="66">
        <f>98000/B17</f>
        <v>3266.6666666666665</v>
      </c>
      <c r="D17" s="66">
        <f t="shared" si="0"/>
        <v>98000</v>
      </c>
      <c r="E17" s="66">
        <f t="shared" si="1"/>
        <v>1000000</v>
      </c>
      <c r="F17" s="62">
        <f>Curves!X12</f>
        <v>2.54</v>
      </c>
      <c r="G17" s="16">
        <f>Curves!H12</f>
        <v>0.01</v>
      </c>
      <c r="H17" s="58">
        <f t="shared" si="2"/>
        <v>2.5499999999999998</v>
      </c>
      <c r="J17" s="60">
        <f t="shared" si="3"/>
        <v>249899.99999999997</v>
      </c>
      <c r="K17" s="54">
        <f>Curves!Y12</f>
        <v>0.98399999999999999</v>
      </c>
      <c r="L17" s="59">
        <f t="shared" si="4"/>
        <v>254365.10399999996</v>
      </c>
      <c r="M17" s="57">
        <f t="shared" si="5"/>
        <v>4069.8416640000069</v>
      </c>
      <c r="N17" s="57">
        <f t="shared" si="6"/>
        <v>250295.26233599996</v>
      </c>
    </row>
    <row r="18" spans="1:16" s="54" customFormat="1" x14ac:dyDescent="0.3">
      <c r="A18" s="61">
        <v>36800</v>
      </c>
      <c r="B18" s="54">
        <v>31</v>
      </c>
      <c r="C18" s="66">
        <v>0</v>
      </c>
      <c r="D18" s="66">
        <f t="shared" si="0"/>
        <v>0</v>
      </c>
      <c r="E18" s="66">
        <f t="shared" si="1"/>
        <v>1000000</v>
      </c>
      <c r="F18" s="62">
        <f>Curves!X13</f>
        <v>2.5670000000000002</v>
      </c>
      <c r="G18" s="16">
        <f>Curves!H13</f>
        <v>0.01</v>
      </c>
      <c r="H18" s="58">
        <f t="shared" si="2"/>
        <v>2.577</v>
      </c>
      <c r="J18" s="60">
        <f t="shared" si="3"/>
        <v>0</v>
      </c>
      <c r="K18" s="54">
        <f>Curves!Y13</f>
        <v>0.98299999999999998</v>
      </c>
      <c r="L18" s="59">
        <f t="shared" si="4"/>
        <v>0</v>
      </c>
      <c r="M18" s="57">
        <f t="shared" si="5"/>
        <v>0</v>
      </c>
      <c r="N18" s="57">
        <f t="shared" si="6"/>
        <v>0</v>
      </c>
    </row>
    <row r="19" spans="1:16" s="54" customFormat="1" x14ac:dyDescent="0.3">
      <c r="A19" s="61">
        <v>36831</v>
      </c>
      <c r="B19" s="54">
        <v>30</v>
      </c>
      <c r="C19" s="66">
        <v>0</v>
      </c>
      <c r="D19" s="66">
        <f t="shared" si="0"/>
        <v>0</v>
      </c>
      <c r="E19" s="66">
        <f t="shared" si="1"/>
        <v>1000000</v>
      </c>
      <c r="F19" s="62">
        <f>Curves!X14</f>
        <v>2.6970000000000001</v>
      </c>
      <c r="G19" s="16">
        <f>Curves!H14</f>
        <v>0.01</v>
      </c>
      <c r="H19" s="58">
        <f t="shared" si="2"/>
        <v>2.7069999999999999</v>
      </c>
      <c r="J19" s="60">
        <f t="shared" si="3"/>
        <v>0</v>
      </c>
      <c r="K19" s="54">
        <f>Curves!Y14</f>
        <v>0.98199999999999998</v>
      </c>
      <c r="L19" s="59">
        <f t="shared" ref="L19:L26" si="7">(H19+E36-$F$32)*D19</f>
        <v>0</v>
      </c>
      <c r="M19" s="57">
        <f t="shared" si="5"/>
        <v>0</v>
      </c>
      <c r="N19" s="57">
        <f t="shared" si="6"/>
        <v>0</v>
      </c>
    </row>
    <row r="20" spans="1:16" s="54" customFormat="1" x14ac:dyDescent="0.3">
      <c r="A20" s="61">
        <v>36861</v>
      </c>
      <c r="B20" s="54">
        <v>31</v>
      </c>
      <c r="C20" s="66">
        <f>-443300/B20</f>
        <v>-14300</v>
      </c>
      <c r="D20" s="66">
        <f t="shared" si="0"/>
        <v>-443300</v>
      </c>
      <c r="E20" s="66">
        <f t="shared" si="1"/>
        <v>556700</v>
      </c>
      <c r="F20" s="62">
        <f>Curves!X15</f>
        <v>2.8079999999999998</v>
      </c>
      <c r="G20" s="16">
        <f>Curves!W15</f>
        <v>0.03</v>
      </c>
      <c r="H20" s="58">
        <f t="shared" si="2"/>
        <v>2.8379999999999996</v>
      </c>
      <c r="J20" s="60">
        <f t="shared" si="3"/>
        <v>-1258085.3999999999</v>
      </c>
      <c r="K20" s="54">
        <f>Curves!Y15</f>
        <v>0.98099999999999998</v>
      </c>
      <c r="L20" s="59">
        <f t="shared" si="7"/>
        <v>-1255868.8999999999</v>
      </c>
      <c r="M20" s="57">
        <f t="shared" si="5"/>
        <v>-23861.509099999908</v>
      </c>
      <c r="N20" s="57">
        <f t="shared" si="6"/>
        <v>-1232007.3909</v>
      </c>
      <c r="P20" s="54" t="s">
        <v>18</v>
      </c>
    </row>
    <row r="21" spans="1:16" s="54" customFormat="1" x14ac:dyDescent="0.3">
      <c r="A21" s="61">
        <v>36892</v>
      </c>
      <c r="B21" s="54">
        <v>31</v>
      </c>
      <c r="C21" s="66">
        <f>-375300/B21</f>
        <v>-12106.451612903225</v>
      </c>
      <c r="D21" s="66">
        <f t="shared" si="0"/>
        <v>-375300</v>
      </c>
      <c r="E21" s="66">
        <f t="shared" si="1"/>
        <v>181400</v>
      </c>
      <c r="F21" s="62">
        <f>Curves!X16</f>
        <v>2.8380000000000001</v>
      </c>
      <c r="G21" s="16">
        <f>Curves!W16</f>
        <v>0.03</v>
      </c>
      <c r="H21" s="58">
        <f t="shared" si="2"/>
        <v>2.8679999999999999</v>
      </c>
      <c r="J21" s="60">
        <f t="shared" si="3"/>
        <v>-1076360.3999999999</v>
      </c>
      <c r="K21" s="54">
        <f>Curves!Y16</f>
        <v>0.98</v>
      </c>
      <c r="L21" s="59">
        <f t="shared" si="7"/>
        <v>-1074483.8999999999</v>
      </c>
      <c r="M21" s="57">
        <f t="shared" si="5"/>
        <v>-21489.678000000073</v>
      </c>
      <c r="N21" s="57">
        <f t="shared" si="6"/>
        <v>-1052994.2219999998</v>
      </c>
    </row>
    <row r="22" spans="1:16" s="54" customFormat="1" x14ac:dyDescent="0.3">
      <c r="A22" s="61">
        <v>36923</v>
      </c>
      <c r="B22" s="54">
        <v>28</v>
      </c>
      <c r="C22" s="66">
        <f>-181400/B22</f>
        <v>-6478.5714285714284</v>
      </c>
      <c r="D22" s="66">
        <f t="shared" si="0"/>
        <v>-181400</v>
      </c>
      <c r="E22" s="66">
        <f t="shared" si="1"/>
        <v>0</v>
      </c>
      <c r="F22" s="62">
        <f>Curves!X17</f>
        <v>2.7</v>
      </c>
      <c r="G22" s="16">
        <f>Curves!W17</f>
        <v>0.03</v>
      </c>
      <c r="H22" s="58">
        <f t="shared" si="2"/>
        <v>2.73</v>
      </c>
      <c r="J22" s="60">
        <f t="shared" si="3"/>
        <v>-495222</v>
      </c>
      <c r="K22" s="54">
        <f>Curves!Y17</f>
        <v>0.97899999999999998</v>
      </c>
      <c r="L22" s="59">
        <f t="shared" si="7"/>
        <v>-494315</v>
      </c>
      <c r="M22" s="57">
        <f t="shared" si="5"/>
        <v>-10380.614999999991</v>
      </c>
      <c r="N22" s="57">
        <f t="shared" si="6"/>
        <v>-483934.38500000001</v>
      </c>
    </row>
    <row r="23" spans="1:16" s="54" customFormat="1" x14ac:dyDescent="0.3">
      <c r="A23" s="61">
        <v>36951</v>
      </c>
      <c r="B23" s="54">
        <v>31</v>
      </c>
      <c r="C23" s="66">
        <v>0</v>
      </c>
      <c r="D23" s="66">
        <f t="shared" si="0"/>
        <v>0</v>
      </c>
      <c r="E23" s="66">
        <f t="shared" si="1"/>
        <v>0</v>
      </c>
      <c r="F23" s="62">
        <f>Curves!X18</f>
        <v>2.5779999999999998</v>
      </c>
      <c r="G23" s="16">
        <f>Curves!W18</f>
        <v>0.03</v>
      </c>
      <c r="H23" s="58">
        <f t="shared" si="2"/>
        <v>2.6079999999999997</v>
      </c>
      <c r="J23" s="60">
        <f t="shared" si="3"/>
        <v>0</v>
      </c>
      <c r="K23" s="54">
        <f>Curves!Y18</f>
        <v>0.97799999999999998</v>
      </c>
      <c r="L23" s="59">
        <f t="shared" si="7"/>
        <v>0</v>
      </c>
      <c r="M23" s="57">
        <f t="shared" si="5"/>
        <v>0</v>
      </c>
      <c r="N23" s="57">
        <f t="shared" si="6"/>
        <v>0</v>
      </c>
    </row>
    <row r="24" spans="1:16" x14ac:dyDescent="0.3">
      <c r="A24" s="6">
        <v>36982</v>
      </c>
      <c r="B24" s="2">
        <v>30</v>
      </c>
      <c r="C24" s="65">
        <v>0</v>
      </c>
      <c r="D24" s="65">
        <f t="shared" si="0"/>
        <v>0</v>
      </c>
      <c r="E24" s="65">
        <f t="shared" si="1"/>
        <v>0</v>
      </c>
      <c r="F24" s="10">
        <v>0</v>
      </c>
      <c r="G24" s="16">
        <v>0</v>
      </c>
      <c r="H24" s="14">
        <f t="shared" si="2"/>
        <v>0</v>
      </c>
      <c r="J24" s="9">
        <f t="shared" si="3"/>
        <v>0</v>
      </c>
      <c r="K24" s="54">
        <f>Curves!Y19</f>
        <v>0</v>
      </c>
      <c r="L24" s="56">
        <f t="shared" si="7"/>
        <v>0</v>
      </c>
      <c r="M24" s="57">
        <f t="shared" si="5"/>
        <v>0</v>
      </c>
      <c r="N24" s="57">
        <f t="shared" si="6"/>
        <v>0</v>
      </c>
    </row>
    <row r="25" spans="1:16" x14ac:dyDescent="0.3">
      <c r="A25" s="6">
        <v>37012</v>
      </c>
      <c r="B25" s="2">
        <v>31</v>
      </c>
      <c r="C25" s="65">
        <v>0</v>
      </c>
      <c r="D25" s="65">
        <f t="shared" si="0"/>
        <v>0</v>
      </c>
      <c r="E25" s="65">
        <f t="shared" si="1"/>
        <v>0</v>
      </c>
      <c r="F25" s="10">
        <v>0</v>
      </c>
      <c r="G25" s="16">
        <v>0</v>
      </c>
      <c r="H25" s="14">
        <f t="shared" si="2"/>
        <v>0</v>
      </c>
      <c r="J25" s="9">
        <f t="shared" si="3"/>
        <v>0</v>
      </c>
      <c r="K25" s="54">
        <f>Curves!Y20</f>
        <v>0</v>
      </c>
      <c r="L25" s="56">
        <f t="shared" si="7"/>
        <v>0</v>
      </c>
      <c r="M25" s="57">
        <f t="shared" si="5"/>
        <v>0</v>
      </c>
      <c r="N25" s="57">
        <f t="shared" si="6"/>
        <v>0</v>
      </c>
    </row>
    <row r="26" spans="1:16" x14ac:dyDescent="0.3">
      <c r="A26" s="6">
        <v>37043</v>
      </c>
      <c r="B26" s="2">
        <v>30</v>
      </c>
      <c r="C26" s="65">
        <v>0</v>
      </c>
      <c r="D26" s="65">
        <f>B26*C26</f>
        <v>0</v>
      </c>
      <c r="E26" s="65">
        <f t="shared" si="1"/>
        <v>0</v>
      </c>
      <c r="F26" s="10">
        <v>0</v>
      </c>
      <c r="G26" s="16">
        <v>0</v>
      </c>
      <c r="H26" s="14">
        <f>F26+G26</f>
        <v>0</v>
      </c>
      <c r="J26" s="9">
        <f>H26*D26</f>
        <v>0</v>
      </c>
      <c r="K26" s="54">
        <f>Curves!Y21</f>
        <v>0</v>
      </c>
      <c r="L26" s="56">
        <f t="shared" si="7"/>
        <v>0</v>
      </c>
      <c r="M26" s="57">
        <f t="shared" si="5"/>
        <v>0</v>
      </c>
      <c r="N26" s="57">
        <f t="shared" si="6"/>
        <v>0</v>
      </c>
      <c r="P26" s="2" t="s">
        <v>18</v>
      </c>
    </row>
    <row r="27" spans="1:16" x14ac:dyDescent="0.3">
      <c r="G27" s="8"/>
      <c r="H27" s="14"/>
      <c r="J27" s="9"/>
      <c r="L27" s="59"/>
      <c r="N27" s="57" t="s">
        <v>18</v>
      </c>
    </row>
    <row r="28" spans="1:16" x14ac:dyDescent="0.3">
      <c r="C28" s="2" t="s">
        <v>18</v>
      </c>
      <c r="E28" s="7">
        <f>E18</f>
        <v>1000000</v>
      </c>
      <c r="H28" s="13">
        <f>J28/E28</f>
        <v>-0.3049730499999998</v>
      </c>
      <c r="J28" s="11">
        <f>SUM(J9:J27)</f>
        <v>-304973.04999999981</v>
      </c>
      <c r="L28" s="59">
        <f>SUM(L12:L27)</f>
        <v>-254410.76428571483</v>
      </c>
      <c r="M28" s="60">
        <f>SUM(M12:M27)</f>
        <v>-22828.480216571421</v>
      </c>
      <c r="N28" s="57">
        <f>SUM(N12:N24)</f>
        <v>-231582.28406914324</v>
      </c>
    </row>
    <row r="29" spans="1:16" x14ac:dyDescent="0.3">
      <c r="C29" s="2" t="s">
        <v>18</v>
      </c>
      <c r="D29" s="12" t="s">
        <v>18</v>
      </c>
      <c r="E29" s="2" t="s">
        <v>18</v>
      </c>
      <c r="F29" s="2" t="s">
        <v>18</v>
      </c>
      <c r="J29" s="64">
        <f>J28/E28</f>
        <v>-0.3049730499999998</v>
      </c>
      <c r="K29" s="54" t="s">
        <v>37</v>
      </c>
      <c r="M29" s="58" t="s">
        <v>18</v>
      </c>
      <c r="N29" s="63">
        <f>N28/E28</f>
        <v>-0.23158228406914325</v>
      </c>
      <c r="O29" s="2" t="s">
        <v>17</v>
      </c>
    </row>
    <row r="30" spans="1:16" x14ac:dyDescent="0.3">
      <c r="A30" s="1" t="s">
        <v>36</v>
      </c>
      <c r="C30" s="2" t="s">
        <v>16</v>
      </c>
      <c r="E30" s="53">
        <v>1.6E-2</v>
      </c>
      <c r="F30" s="13">
        <f>E30*AVERAGE(H12:H18)</f>
        <v>4.0562285714285724E-2</v>
      </c>
      <c r="G30" s="2" t="s">
        <v>18</v>
      </c>
      <c r="I30" s="15"/>
    </row>
    <row r="31" spans="1:16" x14ac:dyDescent="0.3">
      <c r="A31" s="1"/>
      <c r="C31" s="2" t="s">
        <v>14</v>
      </c>
      <c r="F31" s="52">
        <v>5.0000000000000001E-3</v>
      </c>
      <c r="I31" s="15"/>
    </row>
    <row r="32" spans="1:16" x14ac:dyDescent="0.3">
      <c r="A32" s="1"/>
      <c r="C32" s="2" t="s">
        <v>15</v>
      </c>
      <c r="F32" s="52">
        <v>5.0000000000000001E-3</v>
      </c>
      <c r="I32" s="15"/>
    </row>
    <row r="33" spans="1:9" x14ac:dyDescent="0.3">
      <c r="A33" s="1"/>
      <c r="E33" s="53"/>
      <c r="F33" s="13"/>
      <c r="I33" s="15"/>
    </row>
    <row r="35" spans="1:9" x14ac:dyDescent="0.3">
      <c r="E35" s="13"/>
      <c r="H35" s="13"/>
    </row>
    <row r="36" spans="1:9" x14ac:dyDescent="0.3">
      <c r="E36" s="13"/>
      <c r="H36" s="13"/>
    </row>
    <row r="37" spans="1:9" x14ac:dyDescent="0.3">
      <c r="E37" s="13"/>
    </row>
    <row r="38" spans="1:9" x14ac:dyDescent="0.3">
      <c r="E38" s="13"/>
    </row>
    <row r="39" spans="1:9" x14ac:dyDescent="0.3">
      <c r="E39" s="13"/>
    </row>
    <row r="40" spans="1:9" x14ac:dyDescent="0.3">
      <c r="E40" s="13"/>
    </row>
    <row r="41" spans="1:9" x14ac:dyDescent="0.3">
      <c r="E41" s="13"/>
    </row>
    <row r="42" spans="1:9" x14ac:dyDescent="0.3">
      <c r="E42" s="13"/>
    </row>
    <row r="43" spans="1:9" x14ac:dyDescent="0.3">
      <c r="E43" s="13"/>
    </row>
    <row r="44" spans="1:9" x14ac:dyDescent="0.3">
      <c r="E44" s="13"/>
    </row>
    <row r="45" spans="1:9" x14ac:dyDescent="0.3">
      <c r="E45" s="13"/>
    </row>
    <row r="46" spans="1:9" x14ac:dyDescent="0.3">
      <c r="E46" s="13"/>
    </row>
  </sheetData>
  <pageMargins left="0.75" right="0.75" top="1" bottom="1" header="0.5" footer="0.5"/>
  <pageSetup scale="61" fitToHeight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Discounted Proposal</vt:lpstr>
      <vt:lpstr>Koch Tx - FgtZ2</vt:lpstr>
      <vt:lpstr>Koch Tx - FgtZ3</vt:lpstr>
      <vt:lpstr>Koch Tx - Holmesville</vt:lpstr>
      <vt:lpstr>LRC - Homesville</vt:lpstr>
      <vt:lpstr>Bayside - LRC</vt:lpstr>
      <vt:lpstr>LRC - FgtZ2</vt:lpstr>
      <vt:lpstr>LRC - FgtZ3</vt:lpstr>
      <vt:lpstr>LRC - CGT</vt:lpstr>
      <vt:lpstr>Sheet3</vt:lpstr>
      <vt:lpstr>Curves</vt:lpstr>
      <vt:lpstr>'Discounted Proposal'!Print_Area</vt:lpstr>
      <vt:lpstr>'Koch Tx - FgtZ2'!Print_Area</vt:lpstr>
      <vt:lpstr>'Koch Tx - FgtZ3'!Print_Area</vt:lpstr>
      <vt:lpstr>'Koch Tx - Holmesville'!Print_Area</vt:lpstr>
      <vt:lpstr>'LRC - Homesville'!Print_Area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Julie A</dc:creator>
  <cp:lastModifiedBy>Havlíček Jan</cp:lastModifiedBy>
  <cp:lastPrinted>2000-02-08T14:09:47Z</cp:lastPrinted>
  <dcterms:created xsi:type="dcterms:W3CDTF">1999-08-31T20:33:57Z</dcterms:created>
  <dcterms:modified xsi:type="dcterms:W3CDTF">2023-09-10T16:08:27Z</dcterms:modified>
</cp:coreProperties>
</file>