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84C893-2FB1-4771-BA58-F522F3863F7F}" xr6:coauthVersionLast="47" xr6:coauthVersionMax="47" xr10:uidLastSave="{00000000-0000-0000-0000-000000000000}"/>
  <bookViews>
    <workbookView xWindow="-120" yWindow="-120" windowWidth="38640" windowHeight="15720" tabRatio="539" activeTab="3"/>
  </bookViews>
  <sheets>
    <sheet name="Calculator-Hourly" sheetId="1" r:id="rId1"/>
    <sheet name="Load" sheetId="2" r:id="rId2"/>
    <sheet name="Last Year's Load" sheetId="3" r:id="rId3"/>
    <sheet name="Calculations" sheetId="4352" r:id="rId4"/>
    <sheet name="Spin" sheetId="13980" r:id="rId5"/>
    <sheet name="Calculator-Peak" sheetId="312" r:id="rId6"/>
  </sheets>
  <externalReferences>
    <externalReference r:id="rId7"/>
  </externalReferences>
  <definedNames>
    <definedName name="Deficiency">'Calculator-Hourly'!$E$19</definedName>
    <definedName name="NFPurchase">'Calculator-Hourly'!$E$6</definedName>
    <definedName name="Nonspin">'Calculator-Hourly'!$E$17</definedName>
    <definedName name="NonSpinReq">'Calculator-Hourly'!$E$13</definedName>
    <definedName name="_xlnm.Print_Area" localSheetId="3">Calculations!$J$10:$P$35</definedName>
    <definedName name="_xlnm.Print_Area" localSheetId="0">'Calculator-Hourly'!$B$1:$J$33</definedName>
    <definedName name="_xlnm.Print_Area" localSheetId="5">'Calculator-Peak'!$A$1:$O$33</definedName>
    <definedName name="_xlnm.Print_Area" localSheetId="1">Load!$B$159:$O$223</definedName>
    <definedName name="Spin">'Calculator-Hourly'!$E$16</definedName>
    <definedName name="SpinReq">'Calculator-Hourly'!$E$12</definedName>
    <definedName name="TotalSpin">'Calculator-Hourly'!$E$18</definedName>
    <definedName name="TotalSpinReq">'Calculator-Hourly'!$E$11</definedName>
  </definedNames>
  <calcPr calcId="0"/>
</workbook>
</file>

<file path=xl/calcChain.xml><?xml version="1.0" encoding="utf-8"?>
<calcChain xmlns="http://schemas.openxmlformats.org/spreadsheetml/2006/main">
  <c r="L4" i="4352" l="1"/>
  <c r="M4" i="4352"/>
  <c r="C5" i="4352"/>
  <c r="L5" i="4352"/>
  <c r="M5" i="4352"/>
  <c r="C6" i="4352"/>
  <c r="D6" i="4352"/>
  <c r="E6" i="4352"/>
  <c r="F6" i="4352"/>
  <c r="G6" i="4352"/>
  <c r="H6" i="4352"/>
  <c r="C7" i="4352"/>
  <c r="D7" i="4352"/>
  <c r="E7" i="4352"/>
  <c r="F7" i="4352"/>
  <c r="G7" i="4352"/>
  <c r="H7" i="4352"/>
  <c r="C8" i="4352"/>
  <c r="D8" i="4352"/>
  <c r="E8" i="4352"/>
  <c r="F8" i="4352"/>
  <c r="G8" i="4352"/>
  <c r="H8" i="4352"/>
  <c r="C9" i="4352"/>
  <c r="D9" i="4352"/>
  <c r="E9" i="4352"/>
  <c r="F9" i="4352"/>
  <c r="G9" i="4352"/>
  <c r="H9" i="4352"/>
  <c r="C10" i="4352"/>
  <c r="D10" i="4352"/>
  <c r="E10" i="4352"/>
  <c r="F10" i="4352"/>
  <c r="G10" i="4352"/>
  <c r="H10" i="4352"/>
  <c r="C11" i="4352"/>
  <c r="D11" i="4352"/>
  <c r="E11" i="4352"/>
  <c r="F11" i="4352"/>
  <c r="G11" i="4352"/>
  <c r="H11" i="4352"/>
  <c r="C12" i="4352"/>
  <c r="D12" i="4352"/>
  <c r="E12" i="4352"/>
  <c r="F12" i="4352"/>
  <c r="G12" i="4352"/>
  <c r="H12" i="4352"/>
  <c r="C13" i="4352"/>
  <c r="D13" i="4352"/>
  <c r="E13" i="4352"/>
  <c r="F13" i="4352"/>
  <c r="G13" i="4352"/>
  <c r="H13" i="4352"/>
  <c r="C14" i="4352"/>
  <c r="D14" i="4352"/>
  <c r="E14" i="4352"/>
  <c r="F14" i="4352"/>
  <c r="G14" i="4352"/>
  <c r="H14" i="4352"/>
  <c r="M14" i="4352"/>
  <c r="N14" i="4352"/>
  <c r="C15" i="4352"/>
  <c r="D15" i="4352"/>
  <c r="E15" i="4352"/>
  <c r="F15" i="4352"/>
  <c r="G15" i="4352"/>
  <c r="H15" i="4352"/>
  <c r="M15" i="4352"/>
  <c r="N15" i="4352"/>
  <c r="C16" i="4352"/>
  <c r="D16" i="4352"/>
  <c r="E16" i="4352"/>
  <c r="F16" i="4352"/>
  <c r="G16" i="4352"/>
  <c r="H16" i="4352"/>
  <c r="C17" i="4352"/>
  <c r="D17" i="4352"/>
  <c r="E17" i="4352"/>
  <c r="F17" i="4352"/>
  <c r="G17" i="4352"/>
  <c r="H17" i="4352"/>
  <c r="C18" i="4352"/>
  <c r="D18" i="4352"/>
  <c r="E18" i="4352"/>
  <c r="F18" i="4352"/>
  <c r="G18" i="4352"/>
  <c r="H18" i="4352"/>
  <c r="L18" i="4352"/>
  <c r="M18" i="4352"/>
  <c r="N18" i="4352"/>
  <c r="L19" i="4352"/>
  <c r="M19" i="4352"/>
  <c r="N19" i="4352"/>
  <c r="L20" i="4352"/>
  <c r="M20" i="4352"/>
  <c r="N21" i="4352"/>
  <c r="D31" i="4352"/>
  <c r="F31" i="4352"/>
  <c r="H31" i="4352"/>
  <c r="I2" i="1"/>
  <c r="E3" i="1"/>
  <c r="L3" i="1"/>
  <c r="E4" i="1"/>
  <c r="L4" i="1"/>
  <c r="L5" i="1"/>
  <c r="P8" i="1"/>
  <c r="E9" i="1"/>
  <c r="I9" i="1"/>
  <c r="K9" i="1"/>
  <c r="M9" i="1"/>
  <c r="I11" i="1"/>
  <c r="E12" i="1"/>
  <c r="E13" i="1"/>
  <c r="E14" i="1"/>
  <c r="E16" i="1"/>
  <c r="E17" i="1"/>
  <c r="F17" i="1"/>
  <c r="Q17" i="1"/>
  <c r="E18" i="1"/>
  <c r="K18" i="1"/>
  <c r="Q18" i="1"/>
  <c r="E19" i="1"/>
  <c r="K19" i="1"/>
  <c r="Q19" i="1"/>
  <c r="K20" i="1"/>
  <c r="Q20" i="1"/>
  <c r="K21" i="1"/>
  <c r="Q21" i="1"/>
  <c r="K22" i="1"/>
  <c r="Q22" i="1"/>
  <c r="E23" i="1"/>
  <c r="I23" i="1"/>
  <c r="J23" i="1"/>
  <c r="K23" i="1"/>
  <c r="L23" i="1"/>
  <c r="Q23" i="1"/>
  <c r="E24" i="1"/>
  <c r="Q24" i="1"/>
  <c r="E25" i="1"/>
  <c r="K25" i="1"/>
  <c r="Q25" i="1"/>
  <c r="E26" i="1"/>
  <c r="K26" i="1"/>
  <c r="Q26" i="1"/>
  <c r="K27" i="1"/>
  <c r="Q27" i="1"/>
  <c r="K28" i="1"/>
  <c r="Q28" i="1"/>
  <c r="K29" i="1"/>
  <c r="O29" i="1"/>
  <c r="P29" i="1"/>
  <c r="Q29" i="1"/>
  <c r="I30" i="1"/>
  <c r="J30" i="1"/>
  <c r="K30" i="1"/>
  <c r="L30" i="1"/>
  <c r="K32" i="1"/>
  <c r="O32" i="1"/>
  <c r="P32" i="1"/>
  <c r="E3" i="312"/>
  <c r="L3" i="312"/>
  <c r="E4" i="312"/>
  <c r="L4" i="312"/>
  <c r="L5" i="312"/>
  <c r="M7" i="312"/>
  <c r="E9" i="312"/>
  <c r="I9" i="312"/>
  <c r="K9" i="312"/>
  <c r="M9" i="312"/>
  <c r="I11" i="312"/>
  <c r="E12" i="312"/>
  <c r="E13" i="312"/>
  <c r="E14" i="312"/>
  <c r="K15" i="312"/>
  <c r="E16" i="312"/>
  <c r="F16" i="312"/>
  <c r="E17" i="312"/>
  <c r="F17" i="312"/>
  <c r="Q17" i="312"/>
  <c r="E18" i="312"/>
  <c r="K18" i="312"/>
  <c r="Q18" i="312"/>
  <c r="E19" i="312"/>
  <c r="K19" i="312"/>
  <c r="Q19" i="312"/>
  <c r="K20" i="312"/>
  <c r="Q20" i="312"/>
  <c r="K21" i="312"/>
  <c r="Q21" i="312"/>
  <c r="K22" i="312"/>
  <c r="Q22" i="312"/>
  <c r="E23" i="312"/>
  <c r="I23" i="312"/>
  <c r="J23" i="312"/>
  <c r="K23" i="312"/>
  <c r="Q23" i="312"/>
  <c r="E24" i="312"/>
  <c r="Q24" i="312"/>
  <c r="E25" i="312"/>
  <c r="K25" i="312"/>
  <c r="Q25" i="312"/>
  <c r="E26" i="312"/>
  <c r="K26" i="312"/>
  <c r="Q26" i="312"/>
  <c r="K27" i="312"/>
  <c r="Q27" i="312"/>
  <c r="K28" i="312"/>
  <c r="Q28" i="312"/>
  <c r="K29" i="312"/>
  <c r="O29" i="312"/>
  <c r="P29" i="312"/>
  <c r="Q29" i="312"/>
  <c r="I30" i="312"/>
  <c r="J30" i="312"/>
  <c r="K30" i="312"/>
  <c r="K32" i="312"/>
  <c r="O32" i="312"/>
  <c r="P32" i="312"/>
  <c r="K5" i="3"/>
  <c r="M5" i="3"/>
  <c r="O5" i="3"/>
  <c r="K6" i="3"/>
  <c r="M6" i="3"/>
  <c r="O6" i="3"/>
  <c r="K7" i="3"/>
  <c r="M7" i="3"/>
  <c r="O7" i="3"/>
  <c r="K8" i="3"/>
  <c r="M8" i="3"/>
  <c r="O8" i="3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M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C29" i="3"/>
  <c r="D29" i="3"/>
  <c r="E29" i="3"/>
  <c r="F29" i="3"/>
  <c r="G29" i="3"/>
  <c r="H29" i="3"/>
  <c r="I29" i="3"/>
  <c r="K29" i="3"/>
  <c r="M29" i="3"/>
  <c r="K30" i="3"/>
  <c r="M30" i="3"/>
  <c r="K31" i="3"/>
  <c r="M31" i="3"/>
  <c r="K40" i="3"/>
  <c r="M40" i="3"/>
  <c r="O40" i="3"/>
  <c r="K41" i="3"/>
  <c r="M41" i="3"/>
  <c r="O41" i="3"/>
  <c r="K42" i="3"/>
  <c r="M42" i="3"/>
  <c r="O42" i="3"/>
  <c r="K43" i="3"/>
  <c r="M43" i="3"/>
  <c r="O43" i="3"/>
  <c r="K44" i="3"/>
  <c r="M44" i="3"/>
  <c r="O44" i="3"/>
  <c r="K45" i="3"/>
  <c r="M45" i="3"/>
  <c r="O45" i="3"/>
  <c r="K46" i="3"/>
  <c r="M46" i="3"/>
  <c r="O46" i="3"/>
  <c r="K47" i="3"/>
  <c r="M47" i="3"/>
  <c r="O47" i="3"/>
  <c r="K48" i="3"/>
  <c r="M48" i="3"/>
  <c r="O48" i="3"/>
  <c r="K49" i="3"/>
  <c r="M49" i="3"/>
  <c r="O49" i="3"/>
  <c r="K50" i="3"/>
  <c r="M50" i="3"/>
  <c r="O50" i="3"/>
  <c r="K51" i="3"/>
  <c r="M51" i="3"/>
  <c r="O51" i="3"/>
  <c r="K52" i="3"/>
  <c r="M52" i="3"/>
  <c r="O52" i="3"/>
  <c r="K53" i="3"/>
  <c r="M53" i="3"/>
  <c r="O53" i="3"/>
  <c r="K54" i="3"/>
  <c r="M54" i="3"/>
  <c r="O54" i="3"/>
  <c r="K55" i="3"/>
  <c r="M55" i="3"/>
  <c r="O55" i="3"/>
  <c r="K56" i="3"/>
  <c r="M56" i="3"/>
  <c r="O56" i="3"/>
  <c r="K57" i="3"/>
  <c r="M57" i="3"/>
  <c r="O57" i="3"/>
  <c r="K58" i="3"/>
  <c r="M58" i="3"/>
  <c r="O58" i="3"/>
  <c r="K59" i="3"/>
  <c r="M59" i="3"/>
  <c r="O59" i="3"/>
  <c r="K60" i="3"/>
  <c r="M60" i="3"/>
  <c r="O60" i="3"/>
  <c r="K61" i="3"/>
  <c r="M61" i="3"/>
  <c r="O61" i="3"/>
  <c r="K62" i="3"/>
  <c r="M62" i="3"/>
  <c r="O62" i="3"/>
  <c r="K63" i="3"/>
  <c r="M63" i="3"/>
  <c r="O63" i="3"/>
  <c r="C64" i="3"/>
  <c r="D64" i="3"/>
  <c r="E64" i="3"/>
  <c r="F64" i="3"/>
  <c r="G64" i="3"/>
  <c r="H64" i="3"/>
  <c r="I64" i="3"/>
  <c r="K64" i="3"/>
  <c r="M64" i="3"/>
  <c r="K65" i="3"/>
  <c r="M65" i="3"/>
  <c r="K66" i="3"/>
  <c r="M66" i="3"/>
  <c r="K75" i="3"/>
  <c r="M75" i="3"/>
  <c r="O75" i="3"/>
  <c r="K76" i="3"/>
  <c r="M76" i="3"/>
  <c r="O76" i="3"/>
  <c r="K77" i="3"/>
  <c r="M77" i="3"/>
  <c r="O77" i="3"/>
  <c r="K78" i="3"/>
  <c r="M78" i="3"/>
  <c r="O78" i="3"/>
  <c r="K79" i="3"/>
  <c r="M79" i="3"/>
  <c r="O79" i="3"/>
  <c r="K80" i="3"/>
  <c r="M80" i="3"/>
  <c r="O80" i="3"/>
  <c r="K81" i="3"/>
  <c r="M81" i="3"/>
  <c r="O81" i="3"/>
  <c r="K82" i="3"/>
  <c r="M82" i="3"/>
  <c r="O82" i="3"/>
  <c r="K83" i="3"/>
  <c r="M83" i="3"/>
  <c r="O83" i="3"/>
  <c r="K84" i="3"/>
  <c r="M84" i="3"/>
  <c r="O84" i="3"/>
  <c r="K85" i="3"/>
  <c r="M85" i="3"/>
  <c r="O85" i="3"/>
  <c r="K86" i="3"/>
  <c r="M86" i="3"/>
  <c r="O86" i="3"/>
  <c r="K87" i="3"/>
  <c r="M87" i="3"/>
  <c r="O87" i="3"/>
  <c r="K88" i="3"/>
  <c r="M88" i="3"/>
  <c r="O88" i="3"/>
  <c r="K89" i="3"/>
  <c r="M89" i="3"/>
  <c r="O89" i="3"/>
  <c r="K90" i="3"/>
  <c r="M90" i="3"/>
  <c r="O90" i="3"/>
  <c r="K91" i="3"/>
  <c r="M91" i="3"/>
  <c r="O91" i="3"/>
  <c r="K92" i="3"/>
  <c r="M92" i="3"/>
  <c r="O92" i="3"/>
  <c r="K93" i="3"/>
  <c r="M93" i="3"/>
  <c r="O93" i="3"/>
  <c r="K94" i="3"/>
  <c r="M94" i="3"/>
  <c r="O94" i="3"/>
  <c r="K95" i="3"/>
  <c r="M95" i="3"/>
  <c r="O95" i="3"/>
  <c r="K96" i="3"/>
  <c r="M96" i="3"/>
  <c r="O96" i="3"/>
  <c r="K97" i="3"/>
  <c r="M97" i="3"/>
  <c r="O97" i="3"/>
  <c r="K98" i="3"/>
  <c r="M98" i="3"/>
  <c r="O98" i="3"/>
  <c r="C99" i="3"/>
  <c r="D99" i="3"/>
  <c r="E99" i="3"/>
  <c r="F99" i="3"/>
  <c r="G99" i="3"/>
  <c r="H99" i="3"/>
  <c r="I99" i="3"/>
  <c r="K99" i="3"/>
  <c r="M99" i="3"/>
  <c r="K100" i="3"/>
  <c r="M100" i="3"/>
  <c r="K101" i="3"/>
  <c r="M101" i="3"/>
  <c r="K110" i="3"/>
  <c r="M110" i="3"/>
  <c r="O110" i="3"/>
  <c r="K111" i="3"/>
  <c r="M111" i="3"/>
  <c r="O111" i="3"/>
  <c r="K112" i="3"/>
  <c r="M112" i="3"/>
  <c r="O112" i="3"/>
  <c r="K113" i="3"/>
  <c r="M113" i="3"/>
  <c r="O113" i="3"/>
  <c r="K114" i="3"/>
  <c r="M114" i="3"/>
  <c r="O114" i="3"/>
  <c r="K115" i="3"/>
  <c r="M115" i="3"/>
  <c r="O115" i="3"/>
  <c r="K116" i="3"/>
  <c r="M116" i="3"/>
  <c r="O116" i="3"/>
  <c r="K117" i="3"/>
  <c r="M117" i="3"/>
  <c r="O117" i="3"/>
  <c r="K118" i="3"/>
  <c r="M118" i="3"/>
  <c r="O118" i="3"/>
  <c r="K119" i="3"/>
  <c r="M119" i="3"/>
  <c r="O119" i="3"/>
  <c r="K120" i="3"/>
  <c r="M120" i="3"/>
  <c r="O120" i="3"/>
  <c r="K121" i="3"/>
  <c r="M121" i="3"/>
  <c r="O121" i="3"/>
  <c r="K122" i="3"/>
  <c r="M122" i="3"/>
  <c r="O122" i="3"/>
  <c r="K123" i="3"/>
  <c r="M123" i="3"/>
  <c r="O123" i="3"/>
  <c r="K124" i="3"/>
  <c r="M124" i="3"/>
  <c r="O124" i="3"/>
  <c r="K125" i="3"/>
  <c r="M125" i="3"/>
  <c r="O125" i="3"/>
  <c r="K126" i="3"/>
  <c r="M126" i="3"/>
  <c r="O126" i="3"/>
  <c r="K127" i="3"/>
  <c r="M127" i="3"/>
  <c r="O127" i="3"/>
  <c r="K128" i="3"/>
  <c r="M128" i="3"/>
  <c r="O128" i="3"/>
  <c r="K129" i="3"/>
  <c r="M129" i="3"/>
  <c r="O129" i="3"/>
  <c r="K130" i="3"/>
  <c r="M130" i="3"/>
  <c r="O130" i="3"/>
  <c r="K131" i="3"/>
  <c r="M131" i="3"/>
  <c r="O131" i="3"/>
  <c r="K132" i="3"/>
  <c r="M132" i="3"/>
  <c r="O132" i="3"/>
  <c r="K133" i="3"/>
  <c r="M133" i="3"/>
  <c r="O133" i="3"/>
  <c r="C134" i="3"/>
  <c r="D134" i="3"/>
  <c r="E134" i="3"/>
  <c r="F134" i="3"/>
  <c r="G134" i="3"/>
  <c r="H134" i="3"/>
  <c r="I134" i="3"/>
  <c r="K134" i="3"/>
  <c r="M134" i="3"/>
  <c r="K135" i="3"/>
  <c r="M135" i="3"/>
  <c r="K136" i="3"/>
  <c r="M136" i="3"/>
  <c r="K144" i="3"/>
  <c r="M144" i="3"/>
  <c r="O144" i="3"/>
  <c r="K145" i="3"/>
  <c r="M145" i="3"/>
  <c r="O145" i="3"/>
  <c r="K146" i="3"/>
  <c r="M146" i="3"/>
  <c r="O146" i="3"/>
  <c r="K147" i="3"/>
  <c r="M147" i="3"/>
  <c r="O147" i="3"/>
  <c r="K148" i="3"/>
  <c r="M148" i="3"/>
  <c r="O148" i="3"/>
  <c r="K149" i="3"/>
  <c r="M149" i="3"/>
  <c r="O149" i="3"/>
  <c r="K150" i="3"/>
  <c r="M150" i="3"/>
  <c r="O150" i="3"/>
  <c r="K151" i="3"/>
  <c r="M151" i="3"/>
  <c r="O151" i="3"/>
  <c r="K152" i="3"/>
  <c r="M152" i="3"/>
  <c r="O152" i="3"/>
  <c r="K153" i="3"/>
  <c r="M153" i="3"/>
  <c r="O153" i="3"/>
  <c r="K154" i="3"/>
  <c r="M154" i="3"/>
  <c r="O154" i="3"/>
  <c r="K155" i="3"/>
  <c r="M155" i="3"/>
  <c r="O155" i="3"/>
  <c r="K156" i="3"/>
  <c r="M156" i="3"/>
  <c r="O156" i="3"/>
  <c r="K157" i="3"/>
  <c r="M157" i="3"/>
  <c r="O157" i="3"/>
  <c r="K158" i="3"/>
  <c r="M158" i="3"/>
  <c r="O158" i="3"/>
  <c r="K159" i="3"/>
  <c r="M159" i="3"/>
  <c r="O159" i="3"/>
  <c r="K160" i="3"/>
  <c r="M160" i="3"/>
  <c r="O160" i="3"/>
  <c r="K161" i="3"/>
  <c r="M161" i="3"/>
  <c r="O161" i="3"/>
  <c r="K162" i="3"/>
  <c r="M162" i="3"/>
  <c r="O162" i="3"/>
  <c r="K163" i="3"/>
  <c r="M163" i="3"/>
  <c r="O163" i="3"/>
  <c r="K164" i="3"/>
  <c r="M164" i="3"/>
  <c r="O164" i="3"/>
  <c r="K165" i="3"/>
  <c r="M165" i="3"/>
  <c r="O165" i="3"/>
  <c r="K166" i="3"/>
  <c r="M166" i="3"/>
  <c r="O166" i="3"/>
  <c r="K167" i="3"/>
  <c r="M167" i="3"/>
  <c r="O167" i="3"/>
  <c r="C168" i="3"/>
  <c r="D168" i="3"/>
  <c r="E168" i="3"/>
  <c r="F168" i="3"/>
  <c r="G168" i="3"/>
  <c r="H168" i="3"/>
  <c r="I168" i="3"/>
  <c r="K168" i="3"/>
  <c r="M168" i="3"/>
  <c r="K169" i="3"/>
  <c r="M169" i="3"/>
  <c r="K170" i="3"/>
  <c r="M170" i="3"/>
  <c r="C180" i="3"/>
  <c r="D180" i="3"/>
  <c r="E180" i="3"/>
  <c r="F180" i="3"/>
  <c r="G180" i="3"/>
  <c r="H180" i="3"/>
  <c r="I180" i="3"/>
  <c r="K180" i="3"/>
  <c r="M180" i="3"/>
  <c r="O180" i="3"/>
  <c r="C181" i="3"/>
  <c r="D181" i="3"/>
  <c r="E181" i="3"/>
  <c r="F181" i="3"/>
  <c r="G181" i="3"/>
  <c r="H181" i="3"/>
  <c r="I181" i="3"/>
  <c r="K181" i="3"/>
  <c r="M181" i="3"/>
  <c r="O181" i="3"/>
  <c r="C182" i="3"/>
  <c r="D182" i="3"/>
  <c r="E182" i="3"/>
  <c r="F182" i="3"/>
  <c r="G182" i="3"/>
  <c r="H182" i="3"/>
  <c r="I182" i="3"/>
  <c r="K182" i="3"/>
  <c r="M182" i="3"/>
  <c r="O182" i="3"/>
  <c r="C183" i="3"/>
  <c r="D183" i="3"/>
  <c r="E183" i="3"/>
  <c r="F183" i="3"/>
  <c r="G183" i="3"/>
  <c r="H183" i="3"/>
  <c r="I183" i="3"/>
  <c r="K183" i="3"/>
  <c r="M183" i="3"/>
  <c r="O183" i="3"/>
  <c r="C184" i="3"/>
  <c r="D184" i="3"/>
  <c r="E184" i="3"/>
  <c r="F184" i="3"/>
  <c r="G184" i="3"/>
  <c r="H184" i="3"/>
  <c r="I184" i="3"/>
  <c r="K184" i="3"/>
  <c r="M184" i="3"/>
  <c r="O184" i="3"/>
  <c r="C185" i="3"/>
  <c r="D185" i="3"/>
  <c r="E185" i="3"/>
  <c r="F185" i="3"/>
  <c r="G185" i="3"/>
  <c r="H185" i="3"/>
  <c r="I185" i="3"/>
  <c r="K185" i="3"/>
  <c r="M185" i="3"/>
  <c r="O185" i="3"/>
  <c r="C186" i="3"/>
  <c r="D186" i="3"/>
  <c r="E186" i="3"/>
  <c r="F186" i="3"/>
  <c r="G186" i="3"/>
  <c r="H186" i="3"/>
  <c r="I186" i="3"/>
  <c r="K186" i="3"/>
  <c r="M186" i="3"/>
  <c r="O186" i="3"/>
  <c r="C187" i="3"/>
  <c r="D187" i="3"/>
  <c r="E187" i="3"/>
  <c r="F187" i="3"/>
  <c r="G187" i="3"/>
  <c r="H187" i="3"/>
  <c r="I187" i="3"/>
  <c r="K187" i="3"/>
  <c r="M187" i="3"/>
  <c r="O187" i="3"/>
  <c r="C188" i="3"/>
  <c r="D188" i="3"/>
  <c r="E188" i="3"/>
  <c r="F188" i="3"/>
  <c r="G188" i="3"/>
  <c r="H188" i="3"/>
  <c r="I188" i="3"/>
  <c r="K188" i="3"/>
  <c r="M188" i="3"/>
  <c r="O188" i="3"/>
  <c r="C189" i="3"/>
  <c r="D189" i="3"/>
  <c r="E189" i="3"/>
  <c r="F189" i="3"/>
  <c r="G189" i="3"/>
  <c r="H189" i="3"/>
  <c r="I189" i="3"/>
  <c r="K189" i="3"/>
  <c r="M189" i="3"/>
  <c r="O189" i="3"/>
  <c r="C190" i="3"/>
  <c r="D190" i="3"/>
  <c r="E190" i="3"/>
  <c r="F190" i="3"/>
  <c r="G190" i="3"/>
  <c r="H190" i="3"/>
  <c r="I190" i="3"/>
  <c r="K190" i="3"/>
  <c r="M190" i="3"/>
  <c r="O190" i="3"/>
  <c r="C191" i="3"/>
  <c r="D191" i="3"/>
  <c r="E191" i="3"/>
  <c r="F191" i="3"/>
  <c r="G191" i="3"/>
  <c r="H191" i="3"/>
  <c r="I191" i="3"/>
  <c r="K191" i="3"/>
  <c r="M191" i="3"/>
  <c r="O191" i="3"/>
  <c r="C192" i="3"/>
  <c r="D192" i="3"/>
  <c r="E192" i="3"/>
  <c r="F192" i="3"/>
  <c r="G192" i="3"/>
  <c r="H192" i="3"/>
  <c r="I192" i="3"/>
  <c r="K192" i="3"/>
  <c r="M192" i="3"/>
  <c r="O192" i="3"/>
  <c r="C193" i="3"/>
  <c r="D193" i="3"/>
  <c r="E193" i="3"/>
  <c r="F193" i="3"/>
  <c r="G193" i="3"/>
  <c r="H193" i="3"/>
  <c r="I193" i="3"/>
  <c r="K193" i="3"/>
  <c r="M193" i="3"/>
  <c r="O193" i="3"/>
  <c r="C194" i="3"/>
  <c r="D194" i="3"/>
  <c r="E194" i="3"/>
  <c r="F194" i="3"/>
  <c r="G194" i="3"/>
  <c r="H194" i="3"/>
  <c r="I194" i="3"/>
  <c r="K194" i="3"/>
  <c r="M194" i="3"/>
  <c r="O194" i="3"/>
  <c r="C195" i="3"/>
  <c r="D195" i="3"/>
  <c r="E195" i="3"/>
  <c r="F195" i="3"/>
  <c r="G195" i="3"/>
  <c r="H195" i="3"/>
  <c r="I195" i="3"/>
  <c r="K195" i="3"/>
  <c r="M195" i="3"/>
  <c r="O195" i="3"/>
  <c r="C196" i="3"/>
  <c r="D196" i="3"/>
  <c r="E196" i="3"/>
  <c r="F196" i="3"/>
  <c r="G196" i="3"/>
  <c r="H196" i="3"/>
  <c r="I196" i="3"/>
  <c r="K196" i="3"/>
  <c r="M196" i="3"/>
  <c r="O196" i="3"/>
  <c r="C197" i="3"/>
  <c r="D197" i="3"/>
  <c r="E197" i="3"/>
  <c r="F197" i="3"/>
  <c r="G197" i="3"/>
  <c r="H197" i="3"/>
  <c r="I197" i="3"/>
  <c r="K197" i="3"/>
  <c r="M197" i="3"/>
  <c r="O197" i="3"/>
  <c r="C198" i="3"/>
  <c r="D198" i="3"/>
  <c r="E198" i="3"/>
  <c r="F198" i="3"/>
  <c r="G198" i="3"/>
  <c r="H198" i="3"/>
  <c r="I198" i="3"/>
  <c r="K198" i="3"/>
  <c r="M198" i="3"/>
  <c r="O198" i="3"/>
  <c r="C199" i="3"/>
  <c r="D199" i="3"/>
  <c r="E199" i="3"/>
  <c r="F199" i="3"/>
  <c r="G199" i="3"/>
  <c r="H199" i="3"/>
  <c r="I199" i="3"/>
  <c r="K199" i="3"/>
  <c r="M199" i="3"/>
  <c r="O199" i="3"/>
  <c r="C200" i="3"/>
  <c r="D200" i="3"/>
  <c r="E200" i="3"/>
  <c r="F200" i="3"/>
  <c r="G200" i="3"/>
  <c r="H200" i="3"/>
  <c r="I200" i="3"/>
  <c r="K200" i="3"/>
  <c r="M200" i="3"/>
  <c r="O200" i="3"/>
  <c r="C201" i="3"/>
  <c r="D201" i="3"/>
  <c r="E201" i="3"/>
  <c r="F201" i="3"/>
  <c r="G201" i="3"/>
  <c r="H201" i="3"/>
  <c r="I201" i="3"/>
  <c r="K201" i="3"/>
  <c r="M201" i="3"/>
  <c r="O201" i="3"/>
  <c r="C202" i="3"/>
  <c r="D202" i="3"/>
  <c r="E202" i="3"/>
  <c r="F202" i="3"/>
  <c r="G202" i="3"/>
  <c r="H202" i="3"/>
  <c r="I202" i="3"/>
  <c r="K202" i="3"/>
  <c r="M202" i="3"/>
  <c r="O202" i="3"/>
  <c r="C203" i="3"/>
  <c r="D203" i="3"/>
  <c r="E203" i="3"/>
  <c r="F203" i="3"/>
  <c r="G203" i="3"/>
  <c r="H203" i="3"/>
  <c r="I203" i="3"/>
  <c r="K203" i="3"/>
  <c r="M203" i="3"/>
  <c r="O203" i="3"/>
  <c r="C204" i="3"/>
  <c r="D204" i="3"/>
  <c r="E204" i="3"/>
  <c r="F204" i="3"/>
  <c r="G204" i="3"/>
  <c r="H204" i="3"/>
  <c r="I204" i="3"/>
  <c r="K204" i="3"/>
  <c r="M204" i="3"/>
  <c r="K205" i="3"/>
  <c r="M205" i="3"/>
  <c r="K206" i="3"/>
  <c r="M206" i="3"/>
  <c r="K5" i="2"/>
  <c r="M5" i="2"/>
  <c r="O5" i="2"/>
  <c r="K6" i="2"/>
  <c r="M6" i="2"/>
  <c r="O6" i="2"/>
  <c r="K7" i="2"/>
  <c r="M7" i="2"/>
  <c r="O7" i="2"/>
  <c r="K8" i="2"/>
  <c r="M8" i="2"/>
  <c r="O8" i="2"/>
  <c r="K9" i="2"/>
  <c r="M9" i="2"/>
  <c r="O9" i="2"/>
  <c r="K10" i="2"/>
  <c r="M10" i="2"/>
  <c r="O10" i="2"/>
  <c r="K11" i="2"/>
  <c r="M11" i="2"/>
  <c r="O11" i="2"/>
  <c r="P11" i="2"/>
  <c r="K12" i="2"/>
  <c r="M12" i="2"/>
  <c r="O12" i="2"/>
  <c r="P12" i="2"/>
  <c r="K13" i="2"/>
  <c r="M13" i="2"/>
  <c r="O13" i="2"/>
  <c r="P13" i="2"/>
  <c r="K14" i="2"/>
  <c r="M14" i="2"/>
  <c r="O14" i="2"/>
  <c r="P14" i="2"/>
  <c r="K15" i="2"/>
  <c r="M15" i="2"/>
  <c r="O15" i="2"/>
  <c r="P15" i="2"/>
  <c r="K16" i="2"/>
  <c r="M16" i="2"/>
  <c r="O16" i="2"/>
  <c r="P16" i="2"/>
  <c r="K17" i="2"/>
  <c r="M17" i="2"/>
  <c r="O17" i="2"/>
  <c r="P17" i="2"/>
  <c r="K18" i="2"/>
  <c r="M18" i="2"/>
  <c r="O18" i="2"/>
  <c r="P18" i="2"/>
  <c r="K19" i="2"/>
  <c r="M19" i="2"/>
  <c r="O19" i="2"/>
  <c r="P19" i="2"/>
  <c r="K20" i="2"/>
  <c r="M20" i="2"/>
  <c r="O20" i="2"/>
  <c r="P20" i="2"/>
  <c r="K21" i="2"/>
  <c r="M21" i="2"/>
  <c r="O21" i="2"/>
  <c r="P21" i="2"/>
  <c r="K22" i="2"/>
  <c r="M22" i="2"/>
  <c r="O22" i="2"/>
  <c r="P22" i="2"/>
  <c r="K23" i="2"/>
  <c r="M23" i="2"/>
  <c r="O23" i="2"/>
  <c r="P23" i="2"/>
  <c r="K24" i="2"/>
  <c r="M24" i="2"/>
  <c r="O24" i="2"/>
  <c r="P24" i="2"/>
  <c r="K25" i="2"/>
  <c r="M25" i="2"/>
  <c r="O25" i="2"/>
  <c r="K26" i="2"/>
  <c r="M26" i="2"/>
  <c r="O26" i="2"/>
  <c r="K27" i="2"/>
  <c r="M27" i="2"/>
  <c r="O27" i="2"/>
  <c r="K28" i="2"/>
  <c r="M28" i="2"/>
  <c r="O28" i="2"/>
  <c r="C29" i="2"/>
  <c r="D29" i="2"/>
  <c r="E29" i="2"/>
  <c r="F29" i="2"/>
  <c r="G29" i="2"/>
  <c r="H29" i="2"/>
  <c r="I29" i="2"/>
  <c r="K29" i="2"/>
  <c r="M29" i="2"/>
  <c r="K30" i="2"/>
  <c r="M30" i="2"/>
  <c r="K31" i="2"/>
  <c r="M31" i="2"/>
  <c r="C34" i="2"/>
  <c r="D34" i="2"/>
  <c r="E34" i="2"/>
  <c r="F34" i="2"/>
  <c r="G34" i="2"/>
  <c r="H34" i="2"/>
  <c r="I34" i="2"/>
  <c r="K36" i="2"/>
  <c r="M36" i="2"/>
  <c r="O36" i="2"/>
  <c r="K37" i="2"/>
  <c r="M37" i="2"/>
  <c r="O37" i="2"/>
  <c r="K38" i="2"/>
  <c r="M38" i="2"/>
  <c r="O38" i="2"/>
  <c r="K39" i="2"/>
  <c r="M39" i="2"/>
  <c r="O39" i="2"/>
  <c r="K40" i="2"/>
  <c r="M40" i="2"/>
  <c r="O40" i="2"/>
  <c r="K41" i="2"/>
  <c r="M41" i="2"/>
  <c r="O41" i="2"/>
  <c r="K42" i="2"/>
  <c r="M42" i="2"/>
  <c r="O42" i="2"/>
  <c r="P42" i="2"/>
  <c r="K43" i="2"/>
  <c r="M43" i="2"/>
  <c r="O43" i="2"/>
  <c r="P43" i="2"/>
  <c r="K44" i="2"/>
  <c r="M44" i="2"/>
  <c r="O44" i="2"/>
  <c r="P44" i="2"/>
  <c r="K45" i="2"/>
  <c r="M45" i="2"/>
  <c r="O45" i="2"/>
  <c r="P45" i="2"/>
  <c r="K46" i="2"/>
  <c r="M46" i="2"/>
  <c r="O46" i="2"/>
  <c r="P46" i="2"/>
  <c r="K47" i="2"/>
  <c r="M47" i="2"/>
  <c r="O47" i="2"/>
  <c r="P47" i="2"/>
  <c r="K48" i="2"/>
  <c r="M48" i="2"/>
  <c r="O48" i="2"/>
  <c r="P48" i="2"/>
  <c r="K49" i="2"/>
  <c r="M49" i="2"/>
  <c r="O49" i="2"/>
  <c r="P49" i="2"/>
  <c r="K50" i="2"/>
  <c r="M50" i="2"/>
  <c r="O50" i="2"/>
  <c r="P50" i="2"/>
  <c r="K51" i="2"/>
  <c r="M51" i="2"/>
  <c r="O51" i="2"/>
  <c r="P51" i="2"/>
  <c r="K52" i="2"/>
  <c r="M52" i="2"/>
  <c r="O52" i="2"/>
  <c r="P52" i="2"/>
  <c r="K53" i="2"/>
  <c r="M53" i="2"/>
  <c r="O53" i="2"/>
  <c r="P53" i="2"/>
  <c r="K54" i="2"/>
  <c r="M54" i="2"/>
  <c r="O54" i="2"/>
  <c r="P54" i="2"/>
  <c r="K55" i="2"/>
  <c r="M55" i="2"/>
  <c r="O55" i="2"/>
  <c r="P55" i="2"/>
  <c r="K56" i="2"/>
  <c r="M56" i="2"/>
  <c r="O56" i="2"/>
  <c r="P56" i="2"/>
  <c r="K57" i="2"/>
  <c r="M57" i="2"/>
  <c r="O57" i="2"/>
  <c r="K58" i="2"/>
  <c r="M58" i="2"/>
  <c r="O58" i="2"/>
  <c r="K59" i="2"/>
  <c r="M59" i="2"/>
  <c r="O59" i="2"/>
  <c r="C60" i="2"/>
  <c r="D60" i="2"/>
  <c r="E60" i="2"/>
  <c r="F60" i="2"/>
  <c r="G60" i="2"/>
  <c r="H60" i="2"/>
  <c r="I60" i="2"/>
  <c r="K60" i="2"/>
  <c r="M60" i="2"/>
  <c r="K61" i="2"/>
  <c r="M61" i="2"/>
  <c r="K62" i="2"/>
  <c r="M62" i="2"/>
  <c r="C65" i="2"/>
  <c r="D65" i="2"/>
  <c r="E65" i="2"/>
  <c r="F65" i="2"/>
  <c r="G65" i="2"/>
  <c r="H65" i="2"/>
  <c r="I65" i="2"/>
  <c r="K67" i="2"/>
  <c r="M67" i="2"/>
  <c r="O67" i="2"/>
  <c r="K68" i="2"/>
  <c r="M68" i="2"/>
  <c r="O68" i="2"/>
  <c r="K69" i="2"/>
  <c r="M69" i="2"/>
  <c r="O69" i="2"/>
  <c r="K70" i="2"/>
  <c r="M70" i="2"/>
  <c r="O70" i="2"/>
  <c r="K71" i="2"/>
  <c r="M71" i="2"/>
  <c r="O71" i="2"/>
  <c r="K72" i="2"/>
  <c r="M72" i="2"/>
  <c r="O72" i="2"/>
  <c r="K73" i="2"/>
  <c r="M73" i="2"/>
  <c r="O73" i="2"/>
  <c r="P73" i="2"/>
  <c r="K74" i="2"/>
  <c r="M74" i="2"/>
  <c r="O74" i="2"/>
  <c r="P74" i="2"/>
  <c r="K75" i="2"/>
  <c r="M75" i="2"/>
  <c r="O75" i="2"/>
  <c r="P75" i="2"/>
  <c r="K76" i="2"/>
  <c r="M76" i="2"/>
  <c r="O76" i="2"/>
  <c r="P76" i="2"/>
  <c r="K77" i="2"/>
  <c r="M77" i="2"/>
  <c r="O77" i="2"/>
  <c r="P77" i="2"/>
  <c r="K78" i="2"/>
  <c r="M78" i="2"/>
  <c r="O78" i="2"/>
  <c r="P78" i="2"/>
  <c r="K79" i="2"/>
  <c r="M79" i="2"/>
  <c r="O79" i="2"/>
  <c r="P79" i="2"/>
  <c r="K80" i="2"/>
  <c r="M80" i="2"/>
  <c r="O80" i="2"/>
  <c r="P80" i="2"/>
  <c r="K81" i="2"/>
  <c r="M81" i="2"/>
  <c r="O81" i="2"/>
  <c r="P81" i="2"/>
  <c r="K82" i="2"/>
  <c r="M82" i="2"/>
  <c r="O82" i="2"/>
  <c r="P82" i="2"/>
  <c r="K83" i="2"/>
  <c r="M83" i="2"/>
  <c r="O83" i="2"/>
  <c r="P83" i="2"/>
  <c r="K84" i="2"/>
  <c r="M84" i="2"/>
  <c r="O84" i="2"/>
  <c r="P84" i="2"/>
  <c r="K85" i="2"/>
  <c r="M85" i="2"/>
  <c r="O85" i="2"/>
  <c r="P85" i="2"/>
  <c r="K86" i="2"/>
  <c r="M86" i="2"/>
  <c r="O86" i="2"/>
  <c r="P86" i="2"/>
  <c r="K87" i="2"/>
  <c r="M87" i="2"/>
  <c r="O87" i="2"/>
  <c r="P87" i="2"/>
  <c r="K88" i="2"/>
  <c r="M88" i="2"/>
  <c r="O88" i="2"/>
  <c r="P88" i="2"/>
  <c r="K89" i="2"/>
  <c r="M89" i="2"/>
  <c r="O89" i="2"/>
  <c r="P89" i="2"/>
  <c r="K90" i="2"/>
  <c r="M90" i="2"/>
  <c r="O90" i="2"/>
  <c r="P90" i="2"/>
  <c r="C91" i="2"/>
  <c r="D91" i="2"/>
  <c r="E91" i="2"/>
  <c r="F91" i="2"/>
  <c r="G91" i="2"/>
  <c r="H91" i="2"/>
  <c r="I91" i="2"/>
  <c r="K91" i="2"/>
  <c r="M91" i="2"/>
  <c r="K92" i="2"/>
  <c r="M92" i="2"/>
  <c r="K93" i="2"/>
  <c r="M93" i="2"/>
  <c r="C96" i="2"/>
  <c r="D96" i="2"/>
  <c r="E96" i="2"/>
  <c r="F96" i="2"/>
  <c r="G96" i="2"/>
  <c r="H96" i="2"/>
  <c r="I96" i="2"/>
  <c r="K98" i="2"/>
  <c r="M98" i="2"/>
  <c r="O98" i="2"/>
  <c r="K99" i="2"/>
  <c r="M99" i="2"/>
  <c r="O99" i="2"/>
  <c r="K100" i="2"/>
  <c r="M100" i="2"/>
  <c r="O100" i="2"/>
  <c r="K101" i="2"/>
  <c r="M101" i="2"/>
  <c r="O101" i="2"/>
  <c r="K102" i="2"/>
  <c r="M102" i="2"/>
  <c r="O102" i="2"/>
  <c r="K103" i="2"/>
  <c r="M103" i="2"/>
  <c r="O103" i="2"/>
  <c r="K104" i="2"/>
  <c r="M104" i="2"/>
  <c r="O104" i="2"/>
  <c r="P104" i="2"/>
  <c r="K105" i="2"/>
  <c r="M105" i="2"/>
  <c r="O105" i="2"/>
  <c r="P105" i="2"/>
  <c r="K106" i="2"/>
  <c r="M106" i="2"/>
  <c r="O106" i="2"/>
  <c r="P106" i="2"/>
  <c r="K107" i="2"/>
  <c r="M107" i="2"/>
  <c r="O107" i="2"/>
  <c r="P107" i="2"/>
  <c r="K108" i="2"/>
  <c r="M108" i="2"/>
  <c r="O108" i="2"/>
  <c r="P108" i="2"/>
  <c r="K109" i="2"/>
  <c r="M109" i="2"/>
  <c r="O109" i="2"/>
  <c r="P109" i="2"/>
  <c r="K110" i="2"/>
  <c r="M110" i="2"/>
  <c r="O110" i="2"/>
  <c r="P110" i="2"/>
  <c r="K111" i="2"/>
  <c r="M111" i="2"/>
  <c r="O111" i="2"/>
  <c r="P111" i="2"/>
  <c r="K112" i="2"/>
  <c r="M112" i="2"/>
  <c r="O112" i="2"/>
  <c r="P112" i="2"/>
  <c r="K113" i="2"/>
  <c r="M113" i="2"/>
  <c r="O113" i="2"/>
  <c r="P113" i="2"/>
  <c r="K114" i="2"/>
  <c r="M114" i="2"/>
  <c r="O114" i="2"/>
  <c r="P114" i="2"/>
  <c r="K115" i="2"/>
  <c r="M115" i="2"/>
  <c r="O115" i="2"/>
  <c r="P115" i="2"/>
  <c r="K116" i="2"/>
  <c r="M116" i="2"/>
  <c r="O116" i="2"/>
  <c r="P116" i="2"/>
  <c r="K117" i="2"/>
  <c r="M117" i="2"/>
  <c r="O117" i="2"/>
  <c r="P117" i="2"/>
  <c r="K118" i="2"/>
  <c r="M118" i="2"/>
  <c r="O118" i="2"/>
  <c r="K119" i="2"/>
  <c r="M119" i="2"/>
  <c r="O119" i="2"/>
  <c r="K120" i="2"/>
  <c r="M120" i="2"/>
  <c r="O120" i="2"/>
  <c r="K121" i="2"/>
  <c r="M121" i="2"/>
  <c r="O121" i="2"/>
  <c r="C122" i="2"/>
  <c r="D122" i="2"/>
  <c r="E122" i="2"/>
  <c r="F122" i="2"/>
  <c r="G122" i="2"/>
  <c r="H122" i="2"/>
  <c r="I122" i="2"/>
  <c r="K122" i="2"/>
  <c r="M122" i="2"/>
  <c r="K123" i="2"/>
  <c r="M123" i="2"/>
  <c r="K124" i="2"/>
  <c r="M124" i="2"/>
  <c r="C127" i="2"/>
  <c r="F127" i="2"/>
  <c r="G127" i="2"/>
  <c r="H127" i="2"/>
  <c r="I127" i="2"/>
  <c r="K129" i="2"/>
  <c r="M129" i="2"/>
  <c r="O129" i="2"/>
  <c r="K130" i="2"/>
  <c r="M130" i="2"/>
  <c r="O130" i="2"/>
  <c r="K131" i="2"/>
  <c r="M131" i="2"/>
  <c r="O131" i="2"/>
  <c r="K132" i="2"/>
  <c r="M132" i="2"/>
  <c r="O132" i="2"/>
  <c r="K133" i="2"/>
  <c r="M133" i="2"/>
  <c r="O133" i="2"/>
  <c r="K134" i="2"/>
  <c r="M134" i="2"/>
  <c r="O134" i="2"/>
  <c r="K135" i="2"/>
  <c r="M135" i="2"/>
  <c r="O135" i="2"/>
  <c r="P135" i="2"/>
  <c r="K136" i="2"/>
  <c r="M136" i="2"/>
  <c r="O136" i="2"/>
  <c r="P136" i="2"/>
  <c r="K137" i="2"/>
  <c r="M137" i="2"/>
  <c r="O137" i="2"/>
  <c r="P137" i="2"/>
  <c r="K138" i="2"/>
  <c r="M138" i="2"/>
  <c r="O138" i="2"/>
  <c r="P138" i="2"/>
  <c r="K139" i="2"/>
  <c r="M139" i="2"/>
  <c r="O139" i="2"/>
  <c r="P139" i="2"/>
  <c r="K140" i="2"/>
  <c r="M140" i="2"/>
  <c r="O140" i="2"/>
  <c r="P140" i="2"/>
  <c r="K141" i="2"/>
  <c r="M141" i="2"/>
  <c r="O141" i="2"/>
  <c r="P141" i="2"/>
  <c r="K142" i="2"/>
  <c r="M142" i="2"/>
  <c r="O142" i="2"/>
  <c r="P142" i="2"/>
  <c r="K143" i="2"/>
  <c r="M143" i="2"/>
  <c r="O143" i="2"/>
  <c r="P143" i="2"/>
  <c r="K144" i="2"/>
  <c r="M144" i="2"/>
  <c r="O144" i="2"/>
  <c r="P144" i="2"/>
  <c r="K145" i="2"/>
  <c r="M145" i="2"/>
  <c r="O145" i="2"/>
  <c r="P145" i="2"/>
  <c r="K146" i="2"/>
  <c r="M146" i="2"/>
  <c r="O146" i="2"/>
  <c r="P146" i="2"/>
  <c r="K147" i="2"/>
  <c r="M147" i="2"/>
  <c r="O147" i="2"/>
  <c r="P147" i="2"/>
  <c r="K148" i="2"/>
  <c r="M148" i="2"/>
  <c r="O148" i="2"/>
  <c r="P148" i="2"/>
  <c r="K149" i="2"/>
  <c r="M149" i="2"/>
  <c r="O149" i="2"/>
  <c r="P149" i="2"/>
  <c r="K150" i="2"/>
  <c r="M150" i="2"/>
  <c r="O150" i="2"/>
  <c r="P150" i="2"/>
  <c r="K151" i="2"/>
  <c r="M151" i="2"/>
  <c r="O151" i="2"/>
  <c r="K152" i="2"/>
  <c r="M152" i="2"/>
  <c r="O152" i="2"/>
  <c r="C153" i="2"/>
  <c r="D153" i="2"/>
  <c r="E153" i="2"/>
  <c r="F153" i="2"/>
  <c r="G153" i="2"/>
  <c r="H153" i="2"/>
  <c r="I153" i="2"/>
  <c r="K153" i="2"/>
  <c r="M153" i="2"/>
  <c r="K154" i="2"/>
  <c r="M154" i="2"/>
  <c r="K155" i="2"/>
  <c r="M155" i="2"/>
  <c r="B159" i="2"/>
  <c r="C163" i="2"/>
  <c r="D163" i="2"/>
  <c r="E163" i="2"/>
  <c r="F163" i="2"/>
  <c r="G163" i="2"/>
  <c r="H163" i="2"/>
  <c r="I163" i="2"/>
  <c r="K163" i="2"/>
  <c r="M163" i="2"/>
  <c r="O163" i="2"/>
  <c r="C164" i="2"/>
  <c r="D164" i="2"/>
  <c r="E164" i="2"/>
  <c r="F164" i="2"/>
  <c r="G164" i="2"/>
  <c r="H164" i="2"/>
  <c r="I164" i="2"/>
  <c r="K164" i="2"/>
  <c r="M164" i="2"/>
  <c r="O164" i="2"/>
  <c r="C165" i="2"/>
  <c r="D165" i="2"/>
  <c r="E165" i="2"/>
  <c r="F165" i="2"/>
  <c r="G165" i="2"/>
  <c r="H165" i="2"/>
  <c r="I165" i="2"/>
  <c r="K165" i="2"/>
  <c r="M165" i="2"/>
  <c r="O165" i="2"/>
  <c r="C166" i="2"/>
  <c r="D166" i="2"/>
  <c r="E166" i="2"/>
  <c r="F166" i="2"/>
  <c r="G166" i="2"/>
  <c r="H166" i="2"/>
  <c r="I166" i="2"/>
  <c r="K166" i="2"/>
  <c r="M166" i="2"/>
  <c r="O166" i="2"/>
  <c r="C167" i="2"/>
  <c r="D167" i="2"/>
  <c r="E167" i="2"/>
  <c r="F167" i="2"/>
  <c r="G167" i="2"/>
  <c r="H167" i="2"/>
  <c r="I167" i="2"/>
  <c r="K167" i="2"/>
  <c r="M167" i="2"/>
  <c r="O167" i="2"/>
  <c r="C168" i="2"/>
  <c r="D168" i="2"/>
  <c r="E168" i="2"/>
  <c r="F168" i="2"/>
  <c r="G168" i="2"/>
  <c r="H168" i="2"/>
  <c r="I168" i="2"/>
  <c r="K168" i="2"/>
  <c r="M168" i="2"/>
  <c r="O168" i="2"/>
  <c r="C169" i="2"/>
  <c r="D169" i="2"/>
  <c r="E169" i="2"/>
  <c r="F169" i="2"/>
  <c r="G169" i="2"/>
  <c r="H169" i="2"/>
  <c r="I169" i="2"/>
  <c r="K169" i="2"/>
  <c r="M169" i="2"/>
  <c r="O169" i="2"/>
  <c r="P169" i="2"/>
  <c r="C170" i="2"/>
  <c r="D170" i="2"/>
  <c r="E170" i="2"/>
  <c r="F170" i="2"/>
  <c r="G170" i="2"/>
  <c r="H170" i="2"/>
  <c r="I170" i="2"/>
  <c r="K170" i="2"/>
  <c r="M170" i="2"/>
  <c r="O170" i="2"/>
  <c r="P170" i="2"/>
  <c r="C171" i="2"/>
  <c r="D171" i="2"/>
  <c r="E171" i="2"/>
  <c r="F171" i="2"/>
  <c r="G171" i="2"/>
  <c r="H171" i="2"/>
  <c r="I171" i="2"/>
  <c r="K171" i="2"/>
  <c r="M171" i="2"/>
  <c r="O171" i="2"/>
  <c r="P171" i="2"/>
  <c r="C172" i="2"/>
  <c r="D172" i="2"/>
  <c r="E172" i="2"/>
  <c r="F172" i="2"/>
  <c r="G172" i="2"/>
  <c r="H172" i="2"/>
  <c r="I172" i="2"/>
  <c r="K172" i="2"/>
  <c r="M172" i="2"/>
  <c r="O172" i="2"/>
  <c r="P172" i="2"/>
  <c r="C173" i="2"/>
  <c r="D173" i="2"/>
  <c r="E173" i="2"/>
  <c r="F173" i="2"/>
  <c r="G173" i="2"/>
  <c r="H173" i="2"/>
  <c r="I173" i="2"/>
  <c r="K173" i="2"/>
  <c r="M173" i="2"/>
  <c r="O173" i="2"/>
  <c r="P173" i="2"/>
  <c r="C174" i="2"/>
  <c r="D174" i="2"/>
  <c r="E174" i="2"/>
  <c r="F174" i="2"/>
  <c r="G174" i="2"/>
  <c r="H174" i="2"/>
  <c r="I174" i="2"/>
  <c r="K174" i="2"/>
  <c r="M174" i="2"/>
  <c r="O174" i="2"/>
  <c r="P174" i="2"/>
  <c r="C175" i="2"/>
  <c r="D175" i="2"/>
  <c r="E175" i="2"/>
  <c r="F175" i="2"/>
  <c r="G175" i="2"/>
  <c r="H175" i="2"/>
  <c r="I175" i="2"/>
  <c r="K175" i="2"/>
  <c r="M175" i="2"/>
  <c r="O175" i="2"/>
  <c r="P175" i="2"/>
  <c r="C176" i="2"/>
  <c r="D176" i="2"/>
  <c r="E176" i="2"/>
  <c r="F176" i="2"/>
  <c r="G176" i="2"/>
  <c r="H176" i="2"/>
  <c r="I176" i="2"/>
  <c r="K176" i="2"/>
  <c r="M176" i="2"/>
  <c r="O176" i="2"/>
  <c r="P176" i="2"/>
  <c r="C177" i="2"/>
  <c r="D177" i="2"/>
  <c r="E177" i="2"/>
  <c r="F177" i="2"/>
  <c r="G177" i="2"/>
  <c r="H177" i="2"/>
  <c r="I177" i="2"/>
  <c r="K177" i="2"/>
  <c r="M177" i="2"/>
  <c r="O177" i="2"/>
  <c r="P177" i="2"/>
  <c r="C178" i="2"/>
  <c r="D178" i="2"/>
  <c r="E178" i="2"/>
  <c r="F178" i="2"/>
  <c r="G178" i="2"/>
  <c r="H178" i="2"/>
  <c r="I178" i="2"/>
  <c r="K178" i="2"/>
  <c r="M178" i="2"/>
  <c r="O178" i="2"/>
  <c r="P178" i="2"/>
  <c r="C179" i="2"/>
  <c r="D179" i="2"/>
  <c r="E179" i="2"/>
  <c r="F179" i="2"/>
  <c r="G179" i="2"/>
  <c r="H179" i="2"/>
  <c r="I179" i="2"/>
  <c r="K179" i="2"/>
  <c r="M179" i="2"/>
  <c r="O179" i="2"/>
  <c r="P179" i="2"/>
  <c r="C180" i="2"/>
  <c r="D180" i="2"/>
  <c r="E180" i="2"/>
  <c r="F180" i="2"/>
  <c r="G180" i="2"/>
  <c r="H180" i="2"/>
  <c r="I180" i="2"/>
  <c r="K180" i="2"/>
  <c r="M180" i="2"/>
  <c r="O180" i="2"/>
  <c r="P180" i="2"/>
  <c r="C181" i="2"/>
  <c r="D181" i="2"/>
  <c r="E181" i="2"/>
  <c r="F181" i="2"/>
  <c r="G181" i="2"/>
  <c r="H181" i="2"/>
  <c r="I181" i="2"/>
  <c r="K181" i="2"/>
  <c r="M181" i="2"/>
  <c r="O181" i="2"/>
  <c r="P181" i="2"/>
  <c r="C182" i="2"/>
  <c r="D182" i="2"/>
  <c r="E182" i="2"/>
  <c r="F182" i="2"/>
  <c r="G182" i="2"/>
  <c r="H182" i="2"/>
  <c r="I182" i="2"/>
  <c r="K182" i="2"/>
  <c r="M182" i="2"/>
  <c r="O182" i="2"/>
  <c r="P182" i="2"/>
  <c r="C183" i="2"/>
  <c r="D183" i="2"/>
  <c r="E183" i="2"/>
  <c r="F183" i="2"/>
  <c r="G183" i="2"/>
  <c r="H183" i="2"/>
  <c r="I183" i="2"/>
  <c r="K183" i="2"/>
  <c r="M183" i="2"/>
  <c r="O183" i="2"/>
  <c r="P183" i="2"/>
  <c r="C184" i="2"/>
  <c r="D184" i="2"/>
  <c r="E184" i="2"/>
  <c r="F184" i="2"/>
  <c r="G184" i="2"/>
  <c r="H184" i="2"/>
  <c r="I184" i="2"/>
  <c r="K184" i="2"/>
  <c r="M184" i="2"/>
  <c r="O184" i="2"/>
  <c r="C185" i="2"/>
  <c r="D185" i="2"/>
  <c r="E185" i="2"/>
  <c r="F185" i="2"/>
  <c r="G185" i="2"/>
  <c r="H185" i="2"/>
  <c r="I185" i="2"/>
  <c r="K185" i="2"/>
  <c r="M185" i="2"/>
  <c r="O185" i="2"/>
  <c r="C186" i="2"/>
  <c r="D186" i="2"/>
  <c r="E186" i="2"/>
  <c r="F186" i="2"/>
  <c r="G186" i="2"/>
  <c r="H186" i="2"/>
  <c r="I186" i="2"/>
  <c r="K186" i="2"/>
  <c r="M186" i="2"/>
  <c r="O186" i="2"/>
  <c r="C187" i="2"/>
  <c r="D187" i="2"/>
  <c r="E187" i="2"/>
  <c r="F187" i="2"/>
  <c r="G187" i="2"/>
  <c r="H187" i="2"/>
  <c r="I187" i="2"/>
  <c r="K187" i="2"/>
  <c r="M187" i="2"/>
  <c r="C188" i="2"/>
  <c r="D188" i="2"/>
  <c r="E188" i="2"/>
  <c r="F188" i="2"/>
  <c r="G188" i="2"/>
  <c r="H188" i="2"/>
  <c r="I188" i="2"/>
  <c r="O188" i="2"/>
  <c r="C189" i="2"/>
  <c r="D189" i="2"/>
  <c r="E189" i="2"/>
  <c r="F189" i="2"/>
  <c r="G189" i="2"/>
  <c r="H189" i="2"/>
  <c r="I189" i="2"/>
  <c r="O189" i="2"/>
  <c r="I5" i="13980"/>
  <c r="J5" i="13980"/>
  <c r="I6" i="13980"/>
  <c r="J6" i="13980"/>
  <c r="I7" i="13980"/>
  <c r="J7" i="13980"/>
  <c r="I8" i="13980"/>
  <c r="J8" i="13980"/>
  <c r="I9" i="13980"/>
  <c r="J9" i="13980"/>
  <c r="I10" i="13980"/>
  <c r="J10" i="13980"/>
  <c r="I11" i="13980"/>
  <c r="J11" i="13980"/>
  <c r="I12" i="13980"/>
  <c r="J12" i="13980"/>
  <c r="I13" i="13980"/>
  <c r="J13" i="13980"/>
  <c r="I14" i="13980"/>
  <c r="J14" i="13980"/>
  <c r="I15" i="13980"/>
  <c r="J15" i="13980"/>
  <c r="I16" i="13980"/>
  <c r="J16" i="13980"/>
  <c r="I17" i="13980"/>
  <c r="J17" i="13980"/>
  <c r="I18" i="13980"/>
  <c r="J18" i="13980"/>
  <c r="I19" i="13980"/>
  <c r="J19" i="13980"/>
  <c r="I20" i="13980"/>
  <c r="J20" i="13980"/>
  <c r="I21" i="13980"/>
  <c r="J21" i="13980"/>
  <c r="I22" i="13980"/>
  <c r="J22" i="13980"/>
  <c r="I23" i="13980"/>
  <c r="J23" i="13980"/>
  <c r="I24" i="13980"/>
  <c r="J24" i="13980"/>
  <c r="I25" i="13980"/>
  <c r="J25" i="13980"/>
  <c r="I26" i="13980"/>
  <c r="J26" i="13980"/>
  <c r="I27" i="13980"/>
  <c r="J27" i="13980"/>
  <c r="I28" i="13980"/>
  <c r="J28" i="13980"/>
  <c r="C29" i="13980"/>
  <c r="D29" i="13980"/>
  <c r="M29" i="13980"/>
  <c r="N29" i="13980"/>
</calcChain>
</file>

<file path=xl/sharedStrings.xml><?xml version="1.0" encoding="utf-8"?>
<sst xmlns="http://schemas.openxmlformats.org/spreadsheetml/2006/main" count="448" uniqueCount="179">
  <si>
    <t>Enter Remote Generation:</t>
  </si>
  <si>
    <t>SPS Firm:</t>
  </si>
  <si>
    <t>Total Generation for Load:</t>
  </si>
  <si>
    <t>PNM Contingent:</t>
  </si>
  <si>
    <t>TNP Firm:</t>
  </si>
  <si>
    <t>Projected Control Area Load:</t>
  </si>
  <si>
    <t>Total Load Next Hour:</t>
  </si>
  <si>
    <t>Enter Total Spin Required:</t>
  </si>
  <si>
    <t>Enter Firm Price:</t>
  </si>
  <si>
    <t>PNM Contract:</t>
  </si>
  <si>
    <t>TNP Contract:</t>
  </si>
  <si>
    <t>SPS Contract:</t>
  </si>
  <si>
    <t>Amount of Non-Spin:</t>
  </si>
  <si>
    <t>Enter Non-Firm Price:</t>
  </si>
  <si>
    <t>Total Cost of Firm:</t>
  </si>
  <si>
    <t>Total Cost of Non-Firm:</t>
  </si>
  <si>
    <t>ECONOMIC CALCULATOR FOR FIRM VERSUS NON-FIRM PURCHASE</t>
  </si>
  <si>
    <t>MWH</t>
  </si>
  <si>
    <t>$/MWH</t>
  </si>
  <si>
    <t>Total:</t>
  </si>
  <si>
    <t>Firm Block 1:</t>
  </si>
  <si>
    <t>Firm Block 2:</t>
  </si>
  <si>
    <t>Firm Block 4:</t>
  </si>
  <si>
    <t>Weighted Avg. Purchase Power Calculator</t>
  </si>
  <si>
    <t>Non-Firm Block 1:</t>
  </si>
  <si>
    <t>Non-Firm Block 2:</t>
  </si>
  <si>
    <t>Non-Firm Block 3:</t>
  </si>
  <si>
    <t>Non-Firm Block 4:</t>
  </si>
  <si>
    <t>Firm Block 3:</t>
  </si>
  <si>
    <t>Firm Block 5:</t>
  </si>
  <si>
    <t>Non-Firm Block 5:</t>
  </si>
  <si>
    <t>Non-Firm Sales:</t>
  </si>
  <si>
    <t>IID Firm + Contingent:</t>
  </si>
  <si>
    <t>Non-Firm Purchases into EPE:</t>
  </si>
  <si>
    <t>Firm Purchases into EPE:</t>
  </si>
  <si>
    <t>Firm Sales:</t>
  </si>
  <si>
    <t>Spin Required:</t>
  </si>
  <si>
    <t>Non-Spin Required:</t>
  </si>
  <si>
    <t>Spin Available/(Deficient):</t>
  </si>
  <si>
    <t>IID Firm Contract:</t>
  </si>
  <si>
    <t xml:space="preserve">NOTE: </t>
  </si>
  <si>
    <t>*Amount of Spin:</t>
  </si>
  <si>
    <t>* ACTUAL SPIN SHOW MAY BE LESS SINCE UNIT RAMP RATES ARE NOT CONSIDERED.</t>
  </si>
  <si>
    <t>MWH of Firm Avail./(Deficient):</t>
  </si>
  <si>
    <t>MWH of Non-Firm Avail./(Deficient):</t>
  </si>
  <si>
    <t>Total Spin: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</si>
  <si>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</si>
  <si>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</si>
  <si>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</si>
  <si>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</si>
  <si>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</si>
  <si>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</si>
  <si>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</si>
  <si>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Hour</t>
  </si>
  <si>
    <t xml:space="preserve">Total </t>
  </si>
  <si>
    <t>Week 1</t>
  </si>
  <si>
    <t>Week 2</t>
  </si>
  <si>
    <t>Week 4</t>
  </si>
  <si>
    <t>Week 3</t>
  </si>
  <si>
    <t>Weekly Average</t>
  </si>
  <si>
    <t>Week 5</t>
  </si>
  <si>
    <t xml:space="preserve">Loads are averaged from the previous five weeks </t>
  </si>
  <si>
    <t>Enter Local Generation Avail:</t>
  </si>
  <si>
    <t>Change</t>
  </si>
  <si>
    <t>Scaler</t>
  </si>
  <si>
    <t>Spin Required + Regulating Margin:</t>
  </si>
  <si>
    <t>Temps hi</t>
  </si>
  <si>
    <t xml:space="preserve">low </t>
  </si>
  <si>
    <t>UnLoaded</t>
  </si>
  <si>
    <t>Local Avail.</t>
  </si>
  <si>
    <t>Gen.</t>
  </si>
  <si>
    <t xml:space="preserve">Average </t>
  </si>
  <si>
    <t>High</t>
  </si>
  <si>
    <t xml:space="preserve">Low </t>
  </si>
  <si>
    <t>Temp.</t>
  </si>
  <si>
    <t>Month</t>
  </si>
  <si>
    <t>Eddy</t>
  </si>
  <si>
    <t>-load</t>
  </si>
  <si>
    <t>Local</t>
  </si>
  <si>
    <t>Current Hour =</t>
  </si>
  <si>
    <t>Next Hour =</t>
  </si>
  <si>
    <t>Start</t>
  </si>
  <si>
    <t>5 HR Run</t>
  </si>
  <si>
    <t>7 HR Run</t>
  </si>
  <si>
    <t>Trans</t>
  </si>
  <si>
    <t>Lambda  =</t>
  </si>
  <si>
    <t>6 HR Run</t>
  </si>
  <si>
    <t>4 HR Run</t>
  </si>
  <si>
    <t>Margin</t>
  </si>
  <si>
    <t>Adder</t>
  </si>
  <si>
    <t>HE</t>
  </si>
  <si>
    <t>SPS or TNP</t>
  </si>
  <si>
    <t>8 HR Run</t>
  </si>
  <si>
    <t>9 HR Run</t>
  </si>
  <si>
    <t>10 HR Run</t>
  </si>
  <si>
    <t>Position</t>
  </si>
  <si>
    <t>Remote</t>
  </si>
  <si>
    <t>Total</t>
  </si>
  <si>
    <t>IID</t>
  </si>
  <si>
    <t>TNP</t>
  </si>
  <si>
    <t>PNM</t>
  </si>
  <si>
    <t>Load</t>
  </si>
  <si>
    <t>Difference</t>
  </si>
  <si>
    <t>Purchase</t>
  </si>
  <si>
    <t>Lambda</t>
  </si>
  <si>
    <t>PNM's Contingent</t>
  </si>
  <si>
    <t>Rio 7= .25</t>
  </si>
  <si>
    <t>Rio 8 =.75</t>
  </si>
  <si>
    <t>Gross output</t>
  </si>
  <si>
    <t>Sample</t>
  </si>
  <si>
    <t>Ace</t>
  </si>
  <si>
    <t>d.</t>
  </si>
  <si>
    <t>11 HR Run</t>
  </si>
  <si>
    <t>12 HR Run</t>
  </si>
  <si>
    <t>13 HR Run</t>
  </si>
  <si>
    <t>14 HR Run</t>
  </si>
  <si>
    <t>15 HR Run</t>
  </si>
  <si>
    <t>16 HR Run</t>
  </si>
  <si>
    <t>Rio 7*</t>
  </si>
  <si>
    <t>Rio 8*</t>
  </si>
  <si>
    <t>*based on high numbers on Manual</t>
  </si>
  <si>
    <t>cost</t>
  </si>
  <si>
    <t>c.</t>
  </si>
  <si>
    <t>b.</t>
  </si>
  <si>
    <t>a.</t>
  </si>
  <si>
    <t>The unit high numbers 50 and 150 came from Pete.</t>
  </si>
  <si>
    <t>Enter Blue Numbers</t>
  </si>
  <si>
    <t xml:space="preserve"> At the time of the contract these were the net numbers for unit 7 and 8</t>
  </si>
  <si>
    <t>Copper mw</t>
  </si>
  <si>
    <t>GAS $</t>
  </si>
  <si>
    <t>Unit  1</t>
  </si>
  <si>
    <t>FC</t>
  </si>
  <si>
    <t>PV</t>
  </si>
  <si>
    <t>Output</t>
  </si>
  <si>
    <t>Highs'</t>
  </si>
  <si>
    <t>Copper</t>
  </si>
  <si>
    <t>Bid Amt (MW)</t>
  </si>
  <si>
    <t>Awarded Capacity (MW)</t>
  </si>
  <si>
    <t>Spin</t>
  </si>
  <si>
    <t>Total Contingency</t>
  </si>
  <si>
    <t xml:space="preserve">California Spin </t>
  </si>
  <si>
    <t>California Replacement</t>
  </si>
  <si>
    <t>PST HE</t>
  </si>
  <si>
    <t>MST HE</t>
  </si>
  <si>
    <t>RG 7 entitlement = 0.25 * 70MW * ((48-3)/50) = 15.75 or  16 MW rounded.</t>
  </si>
  <si>
    <t>RG 8 entitlement = 0.75 * 70 MW * ((100-5)/150) = 33.25 or 33 MW rounded.</t>
  </si>
  <si>
    <t>Total of 49 MW's</t>
  </si>
  <si>
    <t>PNM's Contingent**</t>
  </si>
  <si>
    <r>
      <t>**PNM's total contingent =</t>
    </r>
    <r>
      <rPr>
        <b/>
        <sz val="10"/>
        <rFont val="Arial"/>
        <family val="2"/>
      </rPr>
      <t xml:space="preserve"> 70 with Units @ 100%</t>
    </r>
  </si>
  <si>
    <t>Day AVG</t>
  </si>
  <si>
    <t>WE Avg.</t>
  </si>
  <si>
    <t>(Contingent upon units 7 &amp; 8 number automatically feeds from the calculation tab)</t>
  </si>
  <si>
    <t>WeekDay AVG</t>
  </si>
  <si>
    <t>WeekEnd Avg.</t>
  </si>
  <si>
    <t xml:space="preserve">This calculation is calculated using the current high numbers for unit 7 and 8 </t>
  </si>
  <si>
    <t>% of cap</t>
  </si>
  <si>
    <t xml:space="preserve">Current Maximum Take </t>
  </si>
  <si>
    <t xml:space="preserve">Current Maximum Increase or Decrease </t>
  </si>
  <si>
    <r>
      <t xml:space="preserve">Station Services***  </t>
    </r>
    <r>
      <rPr>
        <b/>
        <sz val="10"/>
        <color indexed="10"/>
        <rFont val="Arial"/>
        <family val="2"/>
      </rPr>
      <t>NET</t>
    </r>
    <r>
      <rPr>
        <sz val="10"/>
        <rFont val="Arial"/>
        <family val="2"/>
      </rPr>
      <t xml:space="preserve">  </t>
    </r>
  </si>
  <si>
    <t>***Station Services Approximately 6%</t>
  </si>
  <si>
    <t xml:space="preserve">      When taking a unit to zero it is important to take out Station Services for that unit</t>
  </si>
  <si>
    <t>Sales   a.</t>
  </si>
  <si>
    <t>GT1</t>
  </si>
  <si>
    <t>GT2</t>
  </si>
  <si>
    <t>GT1S</t>
  </si>
  <si>
    <t>GT2S</t>
  </si>
  <si>
    <t>NM4</t>
  </si>
  <si>
    <t>RR</t>
  </si>
  <si>
    <t>*</t>
  </si>
  <si>
    <t>* If unitis off put zero's in both places</t>
  </si>
  <si>
    <t>EPE    Contingency</t>
  </si>
  <si>
    <t>PNM  Reserves</t>
  </si>
  <si>
    <t>Total spin needed to Carry</t>
  </si>
  <si>
    <t>iso</t>
  </si>
  <si>
    <t>Tep/exc</t>
  </si>
  <si>
    <t>net/pre</t>
  </si>
  <si>
    <t>real/time</t>
  </si>
  <si>
    <t>(If total goes over 600 EPE has to wheel back)</t>
  </si>
  <si>
    <t>Spin from Ramp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</si>
</sst>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"/>
    <numFmt numFmtId="168" formatCode="&quot;$&quot;#,##0"/>
    <numFmt numFmtId="169" formatCode="0.0"/>
    <numFmt numFmtId="171" formatCode="0_);[Red]\(0\)"/>
    <numFmt numFmtId="179" formatCode="h"/>
    <numFmt numFmtId="187" formatCode="0;[Red]0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4"/>
      <name val="Arial"/>
      <family val="2"/>
    </font>
    <font>
      <b/>
      <sz val="8"/>
      <name val="Arial"/>
      <family val="2"/>
    </font>
    <font>
      <b/>
      <i/>
      <u val="double"/>
      <sz val="11"/>
      <color indexed="10"/>
      <name val="Arial"/>
      <family val="2"/>
    </font>
    <font>
      <b/>
      <u val="double"/>
      <sz val="10"/>
      <color indexed="8"/>
      <name val="Arial"/>
      <family val="2"/>
    </font>
    <font>
      <sz val="8"/>
      <name val="Arial"/>
      <family val="2"/>
    </font>
    <font>
      <b/>
      <u val="double"/>
      <sz val="10"/>
      <color indexed="10"/>
      <name val="Arial"/>
      <family val="2"/>
    </font>
    <font>
      <b/>
      <sz val="10"/>
      <color indexed="57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Courier"/>
      <family val="3"/>
    </font>
    <font>
      <b/>
      <sz val="14"/>
      <name val="Courier"/>
      <family val="3"/>
    </font>
    <font>
      <b/>
      <sz val="7"/>
      <color indexed="10"/>
      <name val="Courier"/>
      <family val="3"/>
    </font>
    <font>
      <b/>
      <sz val="14"/>
      <color indexed="12"/>
      <name val="Courier"/>
      <family val="3"/>
    </font>
    <font>
      <b/>
      <u/>
      <sz val="10"/>
      <name val="Arial"/>
      <family val="2"/>
    </font>
    <font>
      <b/>
      <i/>
      <sz val="12"/>
      <name val="Arial"/>
      <family val="2"/>
    </font>
    <font>
      <b/>
      <sz val="12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2" borderId="0" xfId="0" applyFill="1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166" fontId="7" fillId="2" borderId="2" xfId="0" applyNumberFormat="1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166" fontId="7" fillId="2" borderId="4" xfId="0" applyNumberFormat="1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166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3" borderId="5" xfId="0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2" fillId="3" borderId="9" xfId="0" applyFont="1" applyFill="1" applyBorder="1"/>
    <xf numFmtId="0" fontId="0" fillId="3" borderId="10" xfId="0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11" xfId="0" applyNumberFormat="1" applyFont="1" applyFill="1" applyBorder="1" applyAlignment="1">
      <alignment horizontal="center"/>
    </xf>
    <xf numFmtId="0" fontId="0" fillId="3" borderId="12" xfId="0" applyFill="1" applyBorder="1"/>
    <xf numFmtId="3" fontId="0" fillId="3" borderId="13" xfId="0" applyNumberFormat="1" applyFill="1" applyBorder="1"/>
    <xf numFmtId="3" fontId="0" fillId="3" borderId="0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4" fillId="0" borderId="0" xfId="0" applyFont="1" applyAlignment="1">
      <alignment horizontal="left"/>
    </xf>
    <xf numFmtId="3" fontId="0" fillId="0" borderId="9" xfId="0" applyNumberFormat="1" applyBorder="1" applyAlignment="1">
      <alignment horizontal="right"/>
    </xf>
    <xf numFmtId="3" fontId="0" fillId="3" borderId="9" xfId="0" applyNumberForma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2" fillId="4" borderId="14" xfId="0" applyFont="1" applyFill="1" applyBorder="1" applyAlignment="1">
      <alignment horizontal="center"/>
    </xf>
    <xf numFmtId="38" fontId="2" fillId="4" borderId="15" xfId="0" applyNumberFormat="1" applyFont="1" applyFill="1" applyBorder="1"/>
    <xf numFmtId="3" fontId="2" fillId="4" borderId="16" xfId="0" applyNumberFormat="1" applyFont="1" applyFill="1" applyBorder="1"/>
    <xf numFmtId="38" fontId="2" fillId="4" borderId="10" xfId="0" applyNumberFormat="1" applyFont="1" applyFill="1" applyBorder="1"/>
    <xf numFmtId="38" fontId="2" fillId="4" borderId="2" xfId="0" applyNumberFormat="1" applyFont="1" applyFill="1" applyBorder="1"/>
    <xf numFmtId="38" fontId="2" fillId="4" borderId="11" xfId="0" applyNumberFormat="1" applyFont="1" applyFill="1" applyBorder="1"/>
    <xf numFmtId="38" fontId="2" fillId="4" borderId="14" xfId="0" applyNumberFormat="1" applyFont="1" applyFill="1" applyBorder="1"/>
    <xf numFmtId="38" fontId="2" fillId="4" borderId="16" xfId="0" applyNumberFormat="1" applyFont="1" applyFill="1" applyBorder="1"/>
    <xf numFmtId="0" fontId="0" fillId="2" borderId="0" xfId="0" applyFill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2" borderId="9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3" fillId="2" borderId="7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" fontId="8" fillId="2" borderId="0" xfId="1" applyNumberFormat="1" applyFont="1" applyFill="1" applyBorder="1" applyProtection="1">
      <protection locked="0"/>
    </xf>
    <xf numFmtId="1" fontId="8" fillId="2" borderId="2" xfId="1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0" borderId="9" xfId="0" applyBorder="1" applyProtection="1">
      <protection locked="0"/>
    </xf>
    <xf numFmtId="0" fontId="2" fillId="2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2" fillId="0" borderId="2" xfId="0" applyFont="1" applyBorder="1" applyProtection="1">
      <protection locked="0"/>
    </xf>
    <xf numFmtId="171" fontId="8" fillId="2" borderId="2" xfId="0" applyNumberFormat="1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9" xfId="0" applyFont="1" applyFill="1" applyBorder="1" applyAlignment="1" applyProtection="1">
      <alignment horizontal="right"/>
      <protection locked="0"/>
    </xf>
    <xf numFmtId="171" fontId="8" fillId="3" borderId="10" xfId="0" applyNumberFormat="1" applyFont="1" applyFill="1" applyBorder="1" applyProtection="1">
      <protection locked="0"/>
    </xf>
    <xf numFmtId="166" fontId="10" fillId="2" borderId="2" xfId="0" applyNumberFormat="1" applyFont="1" applyFill="1" applyBorder="1" applyAlignment="1" applyProtection="1">
      <alignment horizontal="right"/>
      <protection locked="0"/>
    </xf>
    <xf numFmtId="0" fontId="3" fillId="3" borderId="6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168" fontId="9" fillId="3" borderId="2" xfId="0" applyNumberFormat="1" applyFont="1" applyFill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4" fillId="4" borderId="9" xfId="0" applyFont="1" applyFill="1" applyBorder="1" applyProtection="1">
      <protection locked="0"/>
    </xf>
    <xf numFmtId="0" fontId="4" fillId="4" borderId="9" xfId="0" applyFont="1" applyFill="1" applyBorder="1" applyAlignment="1" applyProtection="1">
      <alignment horizontal="right"/>
      <protection locked="0"/>
    </xf>
    <xf numFmtId="171" fontId="8" fillId="4" borderId="10" xfId="0" applyNumberFormat="1" applyFont="1" applyFill="1" applyBorder="1" applyProtection="1">
      <protection locked="0"/>
    </xf>
    <xf numFmtId="0" fontId="3" fillId="4" borderId="7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right"/>
      <protection locked="0"/>
    </xf>
    <xf numFmtId="168" fontId="9" fillId="4" borderId="1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8" fillId="2" borderId="1" xfId="0" applyFont="1" applyFill="1" applyBorder="1" applyProtection="1">
      <protection locked="0"/>
    </xf>
    <xf numFmtId="166" fontId="10" fillId="2" borderId="17" xfId="0" applyNumberFormat="1" applyFont="1" applyFill="1" applyBorder="1" applyAlignment="1" applyProtection="1">
      <alignment horizontal="right"/>
      <protection locked="0"/>
    </xf>
    <xf numFmtId="166" fontId="10" fillId="2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" fontId="4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3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/>
      <protection locked="0"/>
    </xf>
    <xf numFmtId="1" fontId="10" fillId="2" borderId="9" xfId="0" applyNumberFormat="1" applyFont="1" applyFill="1" applyBorder="1" applyProtection="1">
      <protection locked="0"/>
    </xf>
    <xf numFmtId="1" fontId="8" fillId="2" borderId="0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right"/>
    </xf>
    <xf numFmtId="169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2" borderId="15" xfId="0" applyFill="1" applyBorder="1"/>
    <xf numFmtId="0" fontId="16" fillId="2" borderId="0" xfId="0" applyFont="1" applyFill="1" applyProtection="1">
      <protection locked="0"/>
    </xf>
    <xf numFmtId="0" fontId="12" fillId="2" borderId="10" xfId="0" applyFont="1" applyFill="1" applyBorder="1" applyProtection="1">
      <protection locked="0"/>
    </xf>
    <xf numFmtId="0" fontId="12" fillId="2" borderId="2" xfId="0" applyFont="1" applyFill="1" applyBorder="1" applyProtection="1">
      <protection locked="0"/>
    </xf>
    <xf numFmtId="3" fontId="0" fillId="0" borderId="9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7" fontId="2" fillId="0" borderId="0" xfId="0" applyNumberFormat="1" applyFont="1" applyAlignment="1">
      <alignment horizontal="left"/>
    </xf>
    <xf numFmtId="0" fontId="0" fillId="3" borderId="18" xfId="0" applyFill="1" applyBorder="1"/>
    <xf numFmtId="0" fontId="0" fillId="2" borderId="0" xfId="0" applyFill="1" applyAlignment="1" applyProtection="1">
      <alignment horizontal="right"/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0" borderId="0" xfId="0" quotePrefix="1" applyAlignment="1">
      <alignment horizontal="right"/>
    </xf>
    <xf numFmtId="0" fontId="15" fillId="3" borderId="19" xfId="0" applyFont="1" applyFill="1" applyBorder="1" applyAlignment="1">
      <alignment horizontal="center"/>
    </xf>
    <xf numFmtId="0" fontId="0" fillId="2" borderId="0" xfId="0" applyFill="1" applyBorder="1"/>
    <xf numFmtId="0" fontId="18" fillId="2" borderId="0" xfId="0" applyFont="1" applyFill="1" applyAlignment="1" applyProtection="1">
      <alignment horizontal="right"/>
      <protection locked="0"/>
    </xf>
    <xf numFmtId="38" fontId="0" fillId="0" borderId="0" xfId="0" applyNumberFormat="1"/>
    <xf numFmtId="0" fontId="19" fillId="2" borderId="0" xfId="0" applyFont="1" applyFill="1" applyProtection="1">
      <protection locked="0"/>
    </xf>
    <xf numFmtId="0" fontId="20" fillId="2" borderId="0" xfId="0" applyFon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0" borderId="5" xfId="0" applyBorder="1"/>
    <xf numFmtId="0" fontId="0" fillId="0" borderId="6" xfId="0" applyBorder="1"/>
    <xf numFmtId="179" fontId="2" fillId="2" borderId="0" xfId="0" applyNumberFormat="1" applyFont="1" applyFill="1" applyProtection="1">
      <protection locked="0"/>
    </xf>
    <xf numFmtId="0" fontId="17" fillId="2" borderId="20" xfId="0" applyFont="1" applyFill="1" applyBorder="1"/>
    <xf numFmtId="0" fontId="21" fillId="2" borderId="15" xfId="0" applyFont="1" applyFill="1" applyBorder="1"/>
    <xf numFmtId="0" fontId="21" fillId="2" borderId="21" xfId="0" applyFon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0" fillId="3" borderId="9" xfId="0" applyFont="1" applyFill="1" applyBorder="1" applyProtection="1"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6" fontId="21" fillId="2" borderId="21" xfId="0" applyNumberFormat="1" applyFont="1" applyFill="1" applyBorder="1" applyAlignment="1">
      <alignment horizontal="center"/>
    </xf>
    <xf numFmtId="1" fontId="18" fillId="2" borderId="0" xfId="0" applyNumberFormat="1" applyFont="1" applyFill="1" applyProtection="1">
      <protection locked="0"/>
    </xf>
    <xf numFmtId="6" fontId="21" fillId="2" borderId="1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Fill="1" applyBorder="1"/>
    <xf numFmtId="2" fontId="0" fillId="2" borderId="0" xfId="0" applyNumberFormat="1" applyFill="1"/>
    <xf numFmtId="0" fontId="0" fillId="0" borderId="0" xfId="0" applyBorder="1"/>
    <xf numFmtId="8" fontId="0" fillId="2" borderId="0" xfId="0" applyNumberFormat="1" applyFill="1" applyBorder="1"/>
    <xf numFmtId="0" fontId="2" fillId="0" borderId="9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2" borderId="6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9" fontId="2" fillId="2" borderId="21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9" fontId="2" fillId="2" borderId="19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1" fontId="2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3" fillId="0" borderId="6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66" fontId="11" fillId="2" borderId="0" xfId="0" applyNumberFormat="1" applyFont="1" applyFill="1"/>
    <xf numFmtId="2" fontId="0" fillId="0" borderId="0" xfId="0" applyNumberFormat="1"/>
    <xf numFmtId="8" fontId="0" fillId="0" borderId="0" xfId="0" applyNumberFormat="1"/>
    <xf numFmtId="14" fontId="0" fillId="0" borderId="0" xfId="0" applyNumberFormat="1"/>
    <xf numFmtId="8" fontId="0" fillId="0" borderId="0" xfId="0" applyNumberFormat="1" applyBorder="1"/>
    <xf numFmtId="166" fontId="2" fillId="2" borderId="0" xfId="0" applyNumberFormat="1" applyFont="1" applyFill="1" applyAlignment="1">
      <alignment horizontal="left"/>
    </xf>
    <xf numFmtId="0" fontId="0" fillId="0" borderId="22" xfId="0" applyBorder="1"/>
    <xf numFmtId="2" fontId="0" fillId="0" borderId="0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0" xfId="0" applyBorder="1"/>
    <xf numFmtId="0" fontId="0" fillId="0" borderId="2" xfId="0" applyBorder="1"/>
    <xf numFmtId="1" fontId="2" fillId="0" borderId="6" xfId="0" applyNumberFormat="1" applyFont="1" applyFill="1" applyBorder="1"/>
    <xf numFmtId="0" fontId="0" fillId="0" borderId="7" xfId="0" applyBorder="1"/>
    <xf numFmtId="0" fontId="0" fillId="0" borderId="11" xfId="0" applyBorder="1"/>
    <xf numFmtId="1" fontId="2" fillId="0" borderId="20" xfId="0" applyNumberFormat="1" applyFont="1" applyFill="1" applyBorder="1"/>
    <xf numFmtId="2" fontId="0" fillId="0" borderId="26" xfId="0" applyNumberFormat="1" applyBorder="1"/>
    <xf numFmtId="0" fontId="0" fillId="0" borderId="5" xfId="0" applyFill="1" applyBorder="1"/>
    <xf numFmtId="2" fontId="0" fillId="0" borderId="9" xfId="0" applyNumberFormat="1" applyFill="1" applyBorder="1"/>
    <xf numFmtId="0" fontId="0" fillId="0" borderId="7" xfId="0" applyFill="1" applyBorder="1"/>
    <xf numFmtId="2" fontId="0" fillId="0" borderId="1" xfId="0" applyNumberFormat="1" applyFill="1" applyBorder="1"/>
    <xf numFmtId="8" fontId="2" fillId="0" borderId="0" xfId="0" applyNumberFormat="1" applyFont="1" applyFill="1" applyBorder="1"/>
    <xf numFmtId="8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8" fontId="26" fillId="0" borderId="0" xfId="0" applyNumberFormat="1" applyFont="1" applyFill="1" applyBorder="1" applyAlignment="1"/>
    <xf numFmtId="0" fontId="16" fillId="0" borderId="0" xfId="0" applyFont="1" applyFill="1" applyBorder="1"/>
    <xf numFmtId="0" fontId="17" fillId="0" borderId="0" xfId="0" applyFont="1" applyFill="1" applyBorder="1"/>
    <xf numFmtId="0" fontId="21" fillId="0" borderId="0" xfId="0" applyFont="1" applyFill="1" applyBorder="1" applyAlignment="1">
      <alignment horizontal="center"/>
    </xf>
    <xf numFmtId="6" fontId="2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21" fillId="2" borderId="0" xfId="0" applyNumberFormat="1" applyFont="1" applyFill="1" applyProtection="1">
      <protection locked="0"/>
    </xf>
    <xf numFmtId="1" fontId="2" fillId="2" borderId="0" xfId="0" applyNumberFormat="1" applyFont="1" applyFill="1" applyProtection="1">
      <protection locked="0"/>
    </xf>
    <xf numFmtId="38" fontId="0" fillId="0" borderId="0" xfId="0" applyNumberFormat="1" applyFill="1" applyBorder="1"/>
    <xf numFmtId="3" fontId="16" fillId="0" borderId="0" xfId="0" applyNumberFormat="1" applyFont="1" applyFill="1" applyBorder="1"/>
    <xf numFmtId="2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8" fontId="2" fillId="0" borderId="0" xfId="0" applyNumberFormat="1" applyFont="1" applyFill="1" applyBorder="1"/>
    <xf numFmtId="38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7" fillId="2" borderId="1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166" fontId="10" fillId="2" borderId="2" xfId="0" applyNumberFormat="1" applyFont="1" applyFill="1" applyBorder="1" applyProtection="1">
      <protection locked="0"/>
    </xf>
    <xf numFmtId="0" fontId="21" fillId="0" borderId="24" xfId="0" applyFont="1" applyBorder="1" applyAlignment="1">
      <alignment horizontal="center"/>
    </xf>
    <xf numFmtId="9" fontId="21" fillId="0" borderId="22" xfId="0" applyNumberFormat="1" applyFont="1" applyBorder="1"/>
    <xf numFmtId="9" fontId="21" fillId="0" borderId="27" xfId="0" applyNumberFormat="1" applyFon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/>
    <xf numFmtId="8" fontId="0" fillId="0" borderId="1" xfId="0" applyNumberFormat="1" applyBorder="1"/>
    <xf numFmtId="0" fontId="0" fillId="0" borderId="1" xfId="0" applyBorder="1"/>
    <xf numFmtId="0" fontId="2" fillId="3" borderId="19" xfId="0" applyFont="1" applyFill="1" applyBorder="1" applyAlignment="1">
      <alignment horizontal="center"/>
    </xf>
    <xf numFmtId="166" fontId="27" fillId="2" borderId="0" xfId="0" applyNumberFormat="1" applyFont="1" applyFill="1" applyAlignment="1">
      <alignment horizontal="left"/>
    </xf>
    <xf numFmtId="2" fontId="0" fillId="5" borderId="19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28" fillId="0" borderId="0" xfId="0" applyNumberFormat="1" applyFont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0" fontId="10" fillId="2" borderId="9" xfId="0" applyFont="1" applyFill="1" applyBorder="1" applyProtection="1">
      <protection locked="0"/>
    </xf>
    <xf numFmtId="0" fontId="11" fillId="3" borderId="18" xfId="0" applyFont="1" applyFill="1" applyBorder="1"/>
    <xf numFmtId="44" fontId="21" fillId="2" borderId="2" xfId="2" applyFont="1" applyFill="1" applyBorder="1" applyAlignment="1">
      <alignment horizontal="center"/>
    </xf>
    <xf numFmtId="44" fontId="21" fillId="2" borderId="14" xfId="2" applyFont="1" applyFill="1" applyBorder="1" applyAlignment="1">
      <alignment horizontal="left"/>
    </xf>
    <xf numFmtId="187" fontId="21" fillId="2" borderId="0" xfId="0" applyNumberFormat="1" applyFont="1" applyFill="1" applyBorder="1" applyAlignment="1">
      <alignment horizontal="right"/>
    </xf>
    <xf numFmtId="187" fontId="21" fillId="0" borderId="0" xfId="0" applyNumberFormat="1" applyFont="1" applyFill="1" applyBorder="1" applyAlignment="1">
      <alignment horizontal="right"/>
    </xf>
    <xf numFmtId="187" fontId="29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right"/>
    </xf>
    <xf numFmtId="9" fontId="11" fillId="0" borderId="6" xfId="0" applyNumberFormat="1" applyFont="1" applyFill="1" applyBorder="1" applyAlignment="1">
      <alignment horizontal="right"/>
    </xf>
    <xf numFmtId="0" fontId="29" fillId="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right"/>
    </xf>
    <xf numFmtId="2" fontId="11" fillId="0" borderId="8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0" xfId="3"/>
    <xf numFmtId="0" fontId="31" fillId="0" borderId="31" xfId="3" applyFont="1" applyBorder="1" applyAlignment="1">
      <alignment horizontal="center" wrapText="1"/>
    </xf>
    <xf numFmtId="0" fontId="31" fillId="6" borderId="32" xfId="3" applyFont="1" applyFill="1" applyBorder="1" applyAlignment="1">
      <alignment horizontal="center" wrapText="1"/>
    </xf>
    <xf numFmtId="2" fontId="31" fillId="6" borderId="33" xfId="3" applyNumberFormat="1" applyFont="1" applyFill="1" applyBorder="1" applyAlignment="1">
      <alignment horizontal="center"/>
    </xf>
    <xf numFmtId="2" fontId="31" fillId="6" borderId="34" xfId="3" applyNumberFormat="1" applyFont="1" applyFill="1" applyBorder="1" applyAlignment="1">
      <alignment horizontal="center"/>
    </xf>
    <xf numFmtId="0" fontId="30" fillId="0" borderId="35" xfId="3" applyFont="1" applyFill="1" applyBorder="1" applyAlignment="1">
      <alignment horizontal="center" wrapText="1"/>
    </xf>
    <xf numFmtId="0" fontId="30" fillId="0" borderId="36" xfId="3" applyFont="1" applyFill="1" applyBorder="1" applyAlignment="1">
      <alignment horizontal="center" wrapText="1"/>
    </xf>
    <xf numFmtId="2" fontId="30" fillId="0" borderId="37" xfId="3" applyNumberFormat="1" applyFont="1" applyFill="1" applyBorder="1" applyAlignment="1">
      <alignment horizontal="center" wrapText="1"/>
    </xf>
    <xf numFmtId="2" fontId="32" fillId="0" borderId="38" xfId="3" applyNumberFormat="1" applyFont="1" applyFill="1" applyBorder="1" applyAlignment="1">
      <alignment horizontal="center" wrapText="1"/>
    </xf>
    <xf numFmtId="2" fontId="32" fillId="0" borderId="39" xfId="3" applyNumberFormat="1" applyFont="1" applyFill="1" applyBorder="1" applyAlignment="1">
      <alignment horizontal="center" wrapText="1"/>
    </xf>
    <xf numFmtId="2" fontId="32" fillId="0" borderId="40" xfId="3" applyNumberFormat="1" applyFont="1" applyFill="1" applyBorder="1" applyAlignment="1">
      <alignment horizontal="center" wrapText="1"/>
    </xf>
    <xf numFmtId="1" fontId="31" fillId="0" borderId="0" xfId="3" applyNumberFormat="1" applyFont="1" applyBorder="1" applyAlignment="1">
      <alignment horizontal="center"/>
    </xf>
    <xf numFmtId="1" fontId="31" fillId="0" borderId="41" xfId="3" applyNumberFormat="1" applyFont="1" applyBorder="1" applyAlignment="1">
      <alignment horizontal="center"/>
    </xf>
    <xf numFmtId="1" fontId="31" fillId="0" borderId="42" xfId="3" applyNumberFormat="1" applyFont="1" applyBorder="1" applyAlignment="1">
      <alignment horizontal="center"/>
    </xf>
    <xf numFmtId="1" fontId="31" fillId="0" borderId="43" xfId="3" applyNumberFormat="1" applyFont="1" applyBorder="1" applyAlignment="1">
      <alignment horizontal="center"/>
    </xf>
    <xf numFmtId="1" fontId="31" fillId="0" borderId="44" xfId="3" applyNumberFormat="1" applyFont="1" applyBorder="1" applyAlignment="1">
      <alignment horizontal="center"/>
    </xf>
    <xf numFmtId="2" fontId="31" fillId="0" borderId="0" xfId="3" applyNumberFormat="1" applyFont="1" applyFill="1" applyBorder="1" applyAlignment="1">
      <alignment horizontal="center"/>
    </xf>
    <xf numFmtId="0" fontId="2" fillId="0" borderId="0" xfId="3" applyFont="1" applyFill="1" applyBorder="1"/>
    <xf numFmtId="0" fontId="33" fillId="0" borderId="0" xfId="3" applyFont="1" applyFill="1" applyBorder="1" applyAlignment="1">
      <alignment horizontal="center"/>
    </xf>
    <xf numFmtId="1" fontId="33" fillId="0" borderId="45" xfId="3" applyNumberFormat="1" applyFont="1" applyBorder="1" applyAlignment="1">
      <alignment horizontal="center"/>
    </xf>
    <xf numFmtId="1" fontId="33" fillId="0" borderId="31" xfId="3" applyNumberFormat="1" applyFont="1" applyBorder="1" applyAlignment="1">
      <alignment horizontal="center"/>
    </xf>
    <xf numFmtId="1" fontId="33" fillId="0" borderId="46" xfId="3" applyNumberFormat="1" applyFont="1" applyBorder="1" applyAlignment="1">
      <alignment horizontal="center"/>
    </xf>
    <xf numFmtId="2" fontId="33" fillId="0" borderId="43" xfId="3" applyNumberFormat="1" applyFont="1" applyBorder="1" applyAlignment="1">
      <alignment horizontal="center"/>
    </xf>
    <xf numFmtId="0" fontId="2" fillId="0" borderId="9" xfId="3" applyFont="1" applyFill="1" applyBorder="1"/>
    <xf numFmtId="0" fontId="1" fillId="0" borderId="0" xfId="3" applyBorder="1"/>
    <xf numFmtId="0" fontId="1" fillId="0" borderId="47" xfId="3" applyBorder="1"/>
    <xf numFmtId="0" fontId="2" fillId="0" borderId="47" xfId="3" applyFont="1" applyFill="1" applyBorder="1"/>
    <xf numFmtId="1" fontId="22" fillId="0" borderId="13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Protection="1">
      <protection locked="0"/>
    </xf>
    <xf numFmtId="0" fontId="2" fillId="2" borderId="14" xfId="0" applyFont="1" applyFill="1" applyBorder="1"/>
    <xf numFmtId="1" fontId="7" fillId="2" borderId="9" xfId="0" applyNumberFormat="1" applyFont="1" applyFill="1" applyBorder="1" applyProtection="1">
      <protection locked="0"/>
    </xf>
    <xf numFmtId="0" fontId="13" fillId="3" borderId="9" xfId="0" applyFont="1" applyFill="1" applyBorder="1" applyAlignment="1">
      <alignment horizontal="center"/>
    </xf>
    <xf numFmtId="187" fontId="22" fillId="0" borderId="13" xfId="0" applyNumberFormat="1" applyFont="1" applyBorder="1" applyAlignment="1">
      <alignment horizontal="right"/>
    </xf>
    <xf numFmtId="187" fontId="34" fillId="2" borderId="15" xfId="0" applyNumberFormat="1" applyFont="1" applyFill="1" applyBorder="1" applyAlignment="1">
      <alignment horizontal="center"/>
    </xf>
    <xf numFmtId="1" fontId="10" fillId="2" borderId="10" xfId="0" applyNumberFormat="1" applyFont="1" applyFill="1" applyBorder="1" applyProtection="1">
      <protection locked="0"/>
    </xf>
    <xf numFmtId="0" fontId="25" fillId="2" borderId="2" xfId="0" applyFont="1" applyFill="1" applyBorder="1" applyProtection="1">
      <protection locked="0"/>
    </xf>
    <xf numFmtId="0" fontId="25" fillId="2" borderId="11" xfId="0" applyFont="1" applyFill="1" applyBorder="1" applyProtection="1">
      <protection locked="0"/>
    </xf>
    <xf numFmtId="0" fontId="22" fillId="0" borderId="48" xfId="0" applyFont="1" applyBorder="1"/>
    <xf numFmtId="187" fontId="34" fillId="2" borderId="2" xfId="0" applyNumberFormat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1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8" fontId="0" fillId="2" borderId="0" xfId="0" applyNumberFormat="1" applyFill="1"/>
    <xf numFmtId="0" fontId="11" fillId="2" borderId="0" xfId="0" applyFont="1" applyFill="1" applyBorder="1" applyProtection="1">
      <protection locked="0"/>
    </xf>
    <xf numFmtId="17" fontId="35" fillId="0" borderId="0" xfId="0" applyNumberFormat="1" applyFont="1" applyAlignment="1">
      <alignment horizontal="left"/>
    </xf>
    <xf numFmtId="0" fontId="13" fillId="3" borderId="9" xfId="0" applyFont="1" applyFill="1" applyBorder="1"/>
    <xf numFmtId="1" fontId="22" fillId="0" borderId="9" xfId="0" applyNumberFormat="1" applyFont="1" applyBorder="1"/>
    <xf numFmtId="1" fontId="22" fillId="0" borderId="1" xfId="0" applyNumberFormat="1" applyFont="1" applyBorder="1"/>
    <xf numFmtId="2" fontId="11" fillId="0" borderId="9" xfId="0" applyNumberFormat="1" applyFont="1" applyFill="1" applyBorder="1"/>
    <xf numFmtId="2" fontId="11" fillId="0" borderId="1" xfId="0" applyNumberFormat="1" applyFont="1" applyFill="1" applyBorder="1"/>
    <xf numFmtId="2" fontId="22" fillId="5" borderId="49" xfId="0" applyNumberFormat="1" applyFont="1" applyFill="1" applyBorder="1"/>
    <xf numFmtId="9" fontId="0" fillId="0" borderId="14" xfId="4" applyFont="1" applyBorder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/>
    <xf numFmtId="0" fontId="0" fillId="5" borderId="10" xfId="0" applyFill="1" applyBorder="1"/>
    <xf numFmtId="0" fontId="22" fillId="0" borderId="50" xfId="0" applyFont="1" applyBorder="1" applyAlignment="1">
      <alignment horizontal="right"/>
    </xf>
    <xf numFmtId="1" fontId="11" fillId="0" borderId="19" xfId="0" applyNumberFormat="1" applyFont="1" applyFill="1" applyBorder="1" applyAlignment="1">
      <alignment horizontal="center"/>
    </xf>
    <xf numFmtId="1" fontId="21" fillId="0" borderId="14" xfId="0" applyNumberFormat="1" applyFont="1" applyFill="1" applyBorder="1"/>
    <xf numFmtId="1" fontId="21" fillId="0" borderId="16" xfId="0" applyNumberFormat="1" applyFont="1" applyFill="1" applyBorder="1"/>
    <xf numFmtId="1" fontId="11" fillId="0" borderId="19" xfId="0" applyNumberFormat="1" applyFont="1" applyFill="1" applyBorder="1"/>
    <xf numFmtId="0" fontId="0" fillId="0" borderId="19" xfId="0" applyBorder="1"/>
    <xf numFmtId="9" fontId="0" fillId="0" borderId="16" xfId="4" applyFont="1" applyBorder="1"/>
    <xf numFmtId="0" fontId="22" fillId="0" borderId="0" xfId="0" applyFont="1"/>
    <xf numFmtId="2" fontId="22" fillId="5" borderId="14" xfId="0" applyNumberFormat="1" applyFont="1" applyFill="1" applyBorder="1"/>
    <xf numFmtId="2" fontId="22" fillId="5" borderId="51" xfId="0" applyNumberFormat="1" applyFont="1" applyFill="1" applyBorder="1"/>
    <xf numFmtId="0" fontId="29" fillId="0" borderId="0" xfId="0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2" fillId="0" borderId="0" xfId="0" applyFont="1" applyBorder="1" applyAlignment="1">
      <alignment horizontal="right"/>
    </xf>
    <xf numFmtId="14" fontId="5" fillId="2" borderId="0" xfId="0" applyNumberFormat="1" applyFont="1" applyFill="1"/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187" fontId="21" fillId="2" borderId="50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0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187" fontId="0" fillId="2" borderId="0" xfId="0" applyNumberFormat="1" applyFill="1"/>
    <xf numFmtId="0" fontId="21" fillId="0" borderId="0" xfId="0" applyFont="1"/>
    <xf numFmtId="0" fontId="29" fillId="2" borderId="15" xfId="0" applyFont="1" applyFill="1" applyBorder="1"/>
    <xf numFmtId="0" fontId="22" fillId="2" borderId="13" xfId="0" applyFont="1" applyFill="1" applyBorder="1"/>
    <xf numFmtId="1" fontId="0" fillId="2" borderId="52" xfId="0" applyNumberFormat="1" applyFill="1" applyBorder="1" applyAlignment="1">
      <alignment horizontal="center"/>
    </xf>
    <xf numFmtId="0" fontId="29" fillId="2" borderId="0" xfId="0" applyFont="1" applyFill="1" applyBorder="1"/>
    <xf numFmtId="0" fontId="29" fillId="2" borderId="50" xfId="0" applyFont="1" applyFill="1" applyBorder="1"/>
    <xf numFmtId="0" fontId="29" fillId="2" borderId="1" xfId="0" applyFont="1" applyFill="1" applyBorder="1"/>
    <xf numFmtId="2" fontId="0" fillId="0" borderId="53" xfId="0" applyNumberFormat="1" applyFill="1" applyBorder="1" applyAlignment="1">
      <alignment horizontal="center"/>
    </xf>
    <xf numFmtId="1" fontId="0" fillId="0" borderId="54" xfId="0" applyNumberFormat="1" applyFill="1" applyBorder="1" applyAlignment="1">
      <alignment horizontal="center"/>
    </xf>
    <xf numFmtId="1" fontId="0" fillId="2" borderId="54" xfId="0" applyNumberForma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9" fontId="11" fillId="0" borderId="2" xfId="0" applyNumberFormat="1" applyFont="1" applyFill="1" applyBorder="1" applyAlignment="1">
      <alignment horizontal="right"/>
    </xf>
    <xf numFmtId="2" fontId="11" fillId="0" borderId="2" xfId="0" applyNumberFormat="1" applyFont="1" applyFill="1" applyBorder="1" applyAlignment="1">
      <alignment horizontal="center"/>
    </xf>
    <xf numFmtId="0" fontId="2" fillId="2" borderId="20" xfId="0" quotePrefix="1" applyFont="1" applyFill="1" applyBorder="1" applyAlignment="1">
      <alignment horizontal="center"/>
    </xf>
    <xf numFmtId="0" fontId="0" fillId="2" borderId="0" xfId="0" quotePrefix="1" applyFill="1"/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1" fontId="31" fillId="0" borderId="56" xfId="3" applyNumberFormat="1" applyFont="1" applyBorder="1" applyAlignment="1">
      <alignment horizontal="center"/>
    </xf>
    <xf numFmtId="1" fontId="31" fillId="0" borderId="57" xfId="3" applyNumberFormat="1" applyFont="1" applyBorder="1" applyAlignment="1">
      <alignment horizontal="center"/>
    </xf>
    <xf numFmtId="1" fontId="31" fillId="0" borderId="59" xfId="3" applyNumberFormat="1" applyFont="1" applyBorder="1" applyAlignment="1">
      <alignment horizontal="center"/>
    </xf>
    <xf numFmtId="1" fontId="31" fillId="0" borderId="47" xfId="3" applyNumberFormat="1" applyFont="1" applyBorder="1" applyAlignment="1">
      <alignment horizontal="center"/>
    </xf>
    <xf numFmtId="2" fontId="36" fillId="6" borderId="33" xfId="3" applyNumberFormat="1" applyFont="1" applyFill="1" applyBorder="1" applyAlignment="1">
      <alignment horizontal="center"/>
    </xf>
    <xf numFmtId="0" fontId="0" fillId="0" borderId="60" xfId="0" applyBorder="1"/>
    <xf numFmtId="0" fontId="0" fillId="0" borderId="52" xfId="0" applyBorder="1"/>
    <xf numFmtId="2" fontId="30" fillId="0" borderId="0" xfId="3" applyNumberFormat="1" applyFont="1" applyFill="1" applyBorder="1" applyAlignment="1">
      <alignment horizontal="center" wrapText="1"/>
    </xf>
    <xf numFmtId="2" fontId="33" fillId="0" borderId="0" xfId="3" applyNumberFormat="1" applyFont="1" applyBorder="1" applyAlignment="1">
      <alignment horizontal="center"/>
    </xf>
    <xf numFmtId="0" fontId="3" fillId="2" borderId="6" xfId="0" applyFont="1" applyFill="1" applyBorder="1" applyAlignment="1" applyProtection="1">
      <alignment horizontal="right"/>
      <protection locked="0"/>
    </xf>
    <xf numFmtId="0" fontId="21" fillId="2" borderId="5" xfId="0" applyFont="1" applyFill="1" applyBorder="1" applyProtection="1">
      <protection locked="0"/>
    </xf>
    <xf numFmtId="0" fontId="21" fillId="2" borderId="10" xfId="0" applyFont="1" applyFill="1" applyBorder="1" applyProtection="1">
      <protection locked="0"/>
    </xf>
    <xf numFmtId="0" fontId="21" fillId="2" borderId="2" xfId="0" applyFont="1" applyFill="1" applyBorder="1" applyProtection="1">
      <protection locked="0"/>
    </xf>
    <xf numFmtId="0" fontId="21" fillId="0" borderId="2" xfId="0" applyFont="1" applyBorder="1"/>
    <xf numFmtId="0" fontId="5" fillId="7" borderId="0" xfId="0" applyFont="1" applyFill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Normal" xfId="0" builtinId="0"/>
    <cellStyle name="Normal_Anscillary Service - Bid Schedul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6113704324561E-2"/>
          <c:y val="5.2747252747252747E-2"/>
          <c:w val="0.65206890119955763"/>
          <c:h val="0.89670329670329674"/>
        </c:manualLayout>
      </c:layout>
      <c:barChart>
        <c:barDir val="col"/>
        <c:grouping val="clustered"/>
        <c:varyColors val="0"/>
        <c:ser>
          <c:idx val="1"/>
          <c:order val="1"/>
          <c:tx>
            <c:v>Native 5weekavg.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Load!$K$163:$K$186</c:f>
              <c:numCache>
                <c:formatCode>#,##0</c:formatCode>
                <c:ptCount val="24"/>
                <c:pt idx="0">
                  <c:v>575.36</c:v>
                </c:pt>
                <c:pt idx="1">
                  <c:v>552.20000000000005</c:v>
                </c:pt>
                <c:pt idx="2">
                  <c:v>543.3599999999999</c:v>
                </c:pt>
                <c:pt idx="3">
                  <c:v>538.48</c:v>
                </c:pt>
                <c:pt idx="4">
                  <c:v>551.24</c:v>
                </c:pt>
                <c:pt idx="5">
                  <c:v>600.60000000000014</c:v>
                </c:pt>
                <c:pt idx="6">
                  <c:v>691.76</c:v>
                </c:pt>
                <c:pt idx="7">
                  <c:v>732.12</c:v>
                </c:pt>
                <c:pt idx="8">
                  <c:v>744.72</c:v>
                </c:pt>
                <c:pt idx="9">
                  <c:v>756.56000000000006</c:v>
                </c:pt>
                <c:pt idx="10">
                  <c:v>767.68</c:v>
                </c:pt>
                <c:pt idx="11">
                  <c:v>764.24</c:v>
                </c:pt>
                <c:pt idx="12">
                  <c:v>752.92000000000007</c:v>
                </c:pt>
                <c:pt idx="13">
                  <c:v>756.31999999999994</c:v>
                </c:pt>
                <c:pt idx="14">
                  <c:v>751.15999999999985</c:v>
                </c:pt>
                <c:pt idx="15">
                  <c:v>739.88</c:v>
                </c:pt>
                <c:pt idx="16">
                  <c:v>730.12</c:v>
                </c:pt>
                <c:pt idx="17">
                  <c:v>747.87999999999988</c:v>
                </c:pt>
                <c:pt idx="18">
                  <c:v>815.8</c:v>
                </c:pt>
                <c:pt idx="19">
                  <c:v>805.28</c:v>
                </c:pt>
                <c:pt idx="20">
                  <c:v>790.43999999999994</c:v>
                </c:pt>
                <c:pt idx="21">
                  <c:v>744.48000000000013</c:v>
                </c:pt>
                <c:pt idx="22">
                  <c:v>678</c:v>
                </c:pt>
                <c:pt idx="23">
                  <c:v>611.72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B-4D28-9E6C-2B556335A25F}"/>
            </c:ext>
          </c:extLst>
        </c:ser>
        <c:ser>
          <c:idx val="2"/>
          <c:order val="2"/>
          <c:tx>
            <c:v>Last week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Load!$K$98:$K$121</c:f>
              <c:numCache>
                <c:formatCode>#,##0</c:formatCode>
                <c:ptCount val="24"/>
                <c:pt idx="0">
                  <c:v>570.79999999999995</c:v>
                </c:pt>
                <c:pt idx="1">
                  <c:v>549.20000000000005</c:v>
                </c:pt>
                <c:pt idx="2">
                  <c:v>536</c:v>
                </c:pt>
                <c:pt idx="3">
                  <c:v>535.6</c:v>
                </c:pt>
                <c:pt idx="4">
                  <c:v>546</c:v>
                </c:pt>
                <c:pt idx="5">
                  <c:v>597.6</c:v>
                </c:pt>
                <c:pt idx="6">
                  <c:v>682.2</c:v>
                </c:pt>
                <c:pt idx="7">
                  <c:v>727.6</c:v>
                </c:pt>
                <c:pt idx="8">
                  <c:v>740.6</c:v>
                </c:pt>
                <c:pt idx="9">
                  <c:v>759.2</c:v>
                </c:pt>
                <c:pt idx="10">
                  <c:v>775.4</c:v>
                </c:pt>
                <c:pt idx="11">
                  <c:v>771</c:v>
                </c:pt>
                <c:pt idx="12">
                  <c:v>755.8</c:v>
                </c:pt>
                <c:pt idx="13">
                  <c:v>765.6</c:v>
                </c:pt>
                <c:pt idx="14">
                  <c:v>760</c:v>
                </c:pt>
                <c:pt idx="15">
                  <c:v>748.6</c:v>
                </c:pt>
                <c:pt idx="16">
                  <c:v>737.4</c:v>
                </c:pt>
                <c:pt idx="17">
                  <c:v>738.8</c:v>
                </c:pt>
                <c:pt idx="18">
                  <c:v>816</c:v>
                </c:pt>
                <c:pt idx="19">
                  <c:v>811.8</c:v>
                </c:pt>
                <c:pt idx="20">
                  <c:v>796.6</c:v>
                </c:pt>
                <c:pt idx="21">
                  <c:v>746.6</c:v>
                </c:pt>
                <c:pt idx="22">
                  <c:v>685.2</c:v>
                </c:pt>
                <c:pt idx="23">
                  <c:v>612.6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B-4D28-9E6C-2B556335A25F}"/>
            </c:ext>
          </c:extLst>
        </c:ser>
        <c:ser>
          <c:idx val="3"/>
          <c:order val="3"/>
          <c:tx>
            <c:v>Last weeks Change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Load!$O$98:$O$121</c:f>
              <c:numCache>
                <c:formatCode>#,##0_);[Red]\(#,##0\)</c:formatCode>
                <c:ptCount val="24"/>
                <c:pt idx="0">
                  <c:v>-41.800000000000068</c:v>
                </c:pt>
                <c:pt idx="1">
                  <c:v>-21.599999999999909</c:v>
                </c:pt>
                <c:pt idx="2">
                  <c:v>-13.200000000000045</c:v>
                </c:pt>
                <c:pt idx="3">
                  <c:v>-0.39999999999997726</c:v>
                </c:pt>
                <c:pt idx="4">
                  <c:v>10.399999999999977</c:v>
                </c:pt>
                <c:pt idx="5">
                  <c:v>51.600000000000023</c:v>
                </c:pt>
                <c:pt idx="6">
                  <c:v>84.600000000000023</c:v>
                </c:pt>
                <c:pt idx="7">
                  <c:v>45.399999999999977</c:v>
                </c:pt>
                <c:pt idx="8">
                  <c:v>13</c:v>
                </c:pt>
                <c:pt idx="9">
                  <c:v>18.600000000000023</c:v>
                </c:pt>
                <c:pt idx="10">
                  <c:v>16.199999999999932</c:v>
                </c:pt>
                <c:pt idx="11">
                  <c:v>-4.3999999999999773</c:v>
                </c:pt>
                <c:pt idx="12">
                  <c:v>-15.200000000000045</c:v>
                </c:pt>
                <c:pt idx="13">
                  <c:v>9.8000000000000682</c:v>
                </c:pt>
                <c:pt idx="14">
                  <c:v>-5.6000000000000227</c:v>
                </c:pt>
                <c:pt idx="15">
                  <c:v>-11.399999999999977</c:v>
                </c:pt>
                <c:pt idx="16">
                  <c:v>-11.200000000000045</c:v>
                </c:pt>
                <c:pt idx="17">
                  <c:v>1.3999999999999773</c:v>
                </c:pt>
                <c:pt idx="18">
                  <c:v>77.200000000000045</c:v>
                </c:pt>
                <c:pt idx="19">
                  <c:v>-4.2000000000000455</c:v>
                </c:pt>
                <c:pt idx="20">
                  <c:v>-15.199999999999932</c:v>
                </c:pt>
                <c:pt idx="21">
                  <c:v>-50</c:v>
                </c:pt>
                <c:pt idx="22">
                  <c:v>-61.399999999999977</c:v>
                </c:pt>
                <c:pt idx="23">
                  <c:v>-72.600000000000023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B-4D28-9E6C-2B556335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82080"/>
        <c:axId val="1"/>
      </c:barChart>
      <c:lineChart>
        <c:grouping val="standard"/>
        <c:varyColors val="0"/>
        <c:ser>
          <c:idx val="0"/>
          <c:order val="0"/>
          <c:tx>
            <c:v>Change 5weekavg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Load!$O$163:$O$186</c:f>
              <c:numCache>
                <c:formatCode>#,##0_);[Red]\(#,##0\)</c:formatCode>
                <c:ptCount val="24"/>
                <c:pt idx="0">
                  <c:v>-36.360000000000014</c:v>
                </c:pt>
                <c:pt idx="1">
                  <c:v>-23.159999999999968</c:v>
                </c:pt>
                <c:pt idx="2">
                  <c:v>-8.8400000000001455</c:v>
                </c:pt>
                <c:pt idx="3">
                  <c:v>-4.8799999999998818</c:v>
                </c:pt>
                <c:pt idx="4">
                  <c:v>12.759999999999991</c:v>
                </c:pt>
                <c:pt idx="5">
                  <c:v>49.360000000000127</c:v>
                </c:pt>
                <c:pt idx="6">
                  <c:v>91.159999999999854</c:v>
                </c:pt>
                <c:pt idx="7">
                  <c:v>40.360000000000014</c:v>
                </c:pt>
                <c:pt idx="8">
                  <c:v>12.600000000000023</c:v>
                </c:pt>
                <c:pt idx="9">
                  <c:v>11.840000000000032</c:v>
                </c:pt>
                <c:pt idx="10">
                  <c:v>11.119999999999891</c:v>
                </c:pt>
                <c:pt idx="11">
                  <c:v>-3.4399999999999409</c:v>
                </c:pt>
                <c:pt idx="12">
                  <c:v>-11.319999999999936</c:v>
                </c:pt>
                <c:pt idx="13">
                  <c:v>3.3999999999998636</c:v>
                </c:pt>
                <c:pt idx="14">
                  <c:v>-5.1600000000000819</c:v>
                </c:pt>
                <c:pt idx="15">
                  <c:v>-11.279999999999859</c:v>
                </c:pt>
                <c:pt idx="16">
                  <c:v>-9.7599999999999909</c:v>
                </c:pt>
                <c:pt idx="17">
                  <c:v>17.759999999999877</c:v>
                </c:pt>
                <c:pt idx="18">
                  <c:v>67.920000000000073</c:v>
                </c:pt>
                <c:pt idx="19">
                  <c:v>-10.519999999999982</c:v>
                </c:pt>
                <c:pt idx="20">
                  <c:v>-14.840000000000032</c:v>
                </c:pt>
                <c:pt idx="21">
                  <c:v>-45.959999999999809</c:v>
                </c:pt>
                <c:pt idx="22">
                  <c:v>-66.480000000000132</c:v>
                </c:pt>
                <c:pt idx="23">
                  <c:v>-66.279999999999973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BDB-4D28-9E6C-2B556335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382080"/>
        <c:axId val="1"/>
      </c:lineChart>
      <c:catAx>
        <c:axId val="3473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73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77462882858693"/>
          <c:y val="0.19780219780219779"/>
          <c:w val="0.22262800171552058"/>
          <c:h val="0.17142857142857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182659102837E-2"/>
          <c:y val="6.3927083170758348E-2"/>
          <c:w val="0.75207679056938415"/>
          <c:h val="0.8744311733714446"/>
        </c:manualLayout>
      </c:layout>
      <c:barChart>
        <c:barDir val="col"/>
        <c:grouping val="clustered"/>
        <c:varyColors val="0"/>
        <c:ser>
          <c:idx val="1"/>
          <c:order val="1"/>
          <c:tx>
            <c:v>Native Load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[1]Sheet1!$K$180:$K$203</c:f>
              <c:numCache>
                <c:formatCode>General</c:formatCode>
                <c:ptCount val="24"/>
                <c:pt idx="0">
                  <c:v>591.28</c:v>
                </c:pt>
                <c:pt idx="1">
                  <c:v>566.79999999999995</c:v>
                </c:pt>
                <c:pt idx="2">
                  <c:v>556.6</c:v>
                </c:pt>
                <c:pt idx="3">
                  <c:v>556</c:v>
                </c:pt>
                <c:pt idx="4">
                  <c:v>566</c:v>
                </c:pt>
                <c:pt idx="5">
                  <c:v>610.00000000000011</c:v>
                </c:pt>
                <c:pt idx="6">
                  <c:v>685.2</c:v>
                </c:pt>
                <c:pt idx="7">
                  <c:v>730.4</c:v>
                </c:pt>
                <c:pt idx="8">
                  <c:v>744.92</c:v>
                </c:pt>
                <c:pt idx="9">
                  <c:v>757.51999999999987</c:v>
                </c:pt>
                <c:pt idx="10">
                  <c:v>765</c:v>
                </c:pt>
                <c:pt idx="11">
                  <c:v>759.3599999999999</c:v>
                </c:pt>
                <c:pt idx="12">
                  <c:v>749.28</c:v>
                </c:pt>
                <c:pt idx="13">
                  <c:v>738.68000000000006</c:v>
                </c:pt>
                <c:pt idx="14">
                  <c:v>730.92</c:v>
                </c:pt>
                <c:pt idx="15">
                  <c:v>718.95999999999992</c:v>
                </c:pt>
                <c:pt idx="16">
                  <c:v>717.2</c:v>
                </c:pt>
                <c:pt idx="17">
                  <c:v>776.16000000000008</c:v>
                </c:pt>
                <c:pt idx="18">
                  <c:v>822.24000000000012</c:v>
                </c:pt>
                <c:pt idx="19">
                  <c:v>808.56000000000006</c:v>
                </c:pt>
                <c:pt idx="20">
                  <c:v>790.92000000000007</c:v>
                </c:pt>
                <c:pt idx="21">
                  <c:v>760.13783089882872</c:v>
                </c:pt>
                <c:pt idx="22">
                  <c:v>698.95438362845721</c:v>
                </c:pt>
                <c:pt idx="23">
                  <c:v>644.14562539747385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C-4700-9AE0-B72CBA42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85792"/>
        <c:axId val="1"/>
      </c:barChart>
      <c:lineChart>
        <c:grouping val="stacked"/>
        <c:varyColors val="0"/>
        <c:ser>
          <c:idx val="0"/>
          <c:order val="0"/>
          <c:tx>
            <c:v>Change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[1]Sheet1!$O$180:$O$203</c:f>
              <c:numCache>
                <c:formatCode>General</c:formatCode>
                <c:ptCount val="24"/>
                <c:pt idx="0">
                  <c:v>-52.865625397473877</c:v>
                </c:pt>
                <c:pt idx="1">
                  <c:v>-24.480000000000018</c:v>
                </c:pt>
                <c:pt idx="2">
                  <c:v>-10.199999999999932</c:v>
                </c:pt>
                <c:pt idx="3">
                  <c:v>-0.60000000000002274</c:v>
                </c:pt>
                <c:pt idx="4">
                  <c:v>10</c:v>
                </c:pt>
                <c:pt idx="5">
                  <c:v>44.000000000000114</c:v>
                </c:pt>
                <c:pt idx="6">
                  <c:v>75.199999999999932</c:v>
                </c:pt>
                <c:pt idx="7">
                  <c:v>45.199999999999932</c:v>
                </c:pt>
                <c:pt idx="8">
                  <c:v>14.519999999999982</c:v>
                </c:pt>
                <c:pt idx="9">
                  <c:v>12.599999999999909</c:v>
                </c:pt>
                <c:pt idx="10">
                  <c:v>7.4800000000001319</c:v>
                </c:pt>
                <c:pt idx="11">
                  <c:v>-5.6400000000001</c:v>
                </c:pt>
                <c:pt idx="12">
                  <c:v>-10.079999999999927</c:v>
                </c:pt>
                <c:pt idx="13">
                  <c:v>-10.599999999999909</c:v>
                </c:pt>
                <c:pt idx="14">
                  <c:v>-7.7600000000001046</c:v>
                </c:pt>
                <c:pt idx="15">
                  <c:v>-11.960000000000036</c:v>
                </c:pt>
                <c:pt idx="16">
                  <c:v>-1.7599999999998772</c:v>
                </c:pt>
                <c:pt idx="17">
                  <c:v>58.960000000000036</c:v>
                </c:pt>
                <c:pt idx="18">
                  <c:v>46.080000000000041</c:v>
                </c:pt>
                <c:pt idx="19">
                  <c:v>-13.680000000000064</c:v>
                </c:pt>
                <c:pt idx="20">
                  <c:v>-17.639999999999986</c:v>
                </c:pt>
                <c:pt idx="21">
                  <c:v>-30.782169101171348</c:v>
                </c:pt>
                <c:pt idx="22">
                  <c:v>-61.183447270371516</c:v>
                </c:pt>
                <c:pt idx="23">
                  <c:v>-54.808758230983358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C-4700-9AE0-B72CBA42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385792"/>
        <c:axId val="1"/>
      </c:lineChart>
      <c:catAx>
        <c:axId val="3473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738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85862416896517"/>
          <c:y val="0.4452064720820671"/>
          <c:w val="0.15065260631279462"/>
          <c:h val="0.111872395548827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193</xdr:row>
      <xdr:rowOff>95250</xdr:rowOff>
    </xdr:from>
    <xdr:to>
      <xdr:col>14</xdr:col>
      <xdr:colOff>676275</xdr:colOff>
      <xdr:row>220</xdr:row>
      <xdr:rowOff>57150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A294A99-91C8-CCB9-3AAF-AE1A191CF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207</xdr:row>
      <xdr:rowOff>28575</xdr:rowOff>
    </xdr:from>
    <xdr:to>
      <xdr:col>14</xdr:col>
      <xdr:colOff>590550</xdr:colOff>
      <xdr:row>232</xdr:row>
      <xdr:rowOff>152400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FBDA3F6-E31C-59B0-6BA1-FDFDD6AFA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Excel/99%20Loads/Load%20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0">
          <cell r="K180">
            <v>591.28</v>
          </cell>
          <cell r="O180">
            <v>-52.865625397473877</v>
          </cell>
        </row>
        <row r="181">
          <cell r="K181">
            <v>566.79999999999995</v>
          </cell>
          <cell r="O181">
            <v>-24.480000000000018</v>
          </cell>
        </row>
        <row r="182">
          <cell r="K182">
            <v>556.6</v>
          </cell>
          <cell r="O182">
            <v>-10.199999999999932</v>
          </cell>
        </row>
        <row r="183">
          <cell r="K183">
            <v>556</v>
          </cell>
          <cell r="O183">
            <v>-0.60000000000002274</v>
          </cell>
        </row>
        <row r="184">
          <cell r="K184">
            <v>566</v>
          </cell>
          <cell r="O184">
            <v>10</v>
          </cell>
        </row>
        <row r="185">
          <cell r="K185">
            <v>610.00000000000011</v>
          </cell>
          <cell r="O185">
            <v>44.000000000000114</v>
          </cell>
        </row>
        <row r="186">
          <cell r="K186">
            <v>685.2</v>
          </cell>
          <cell r="O186">
            <v>75.199999999999932</v>
          </cell>
        </row>
        <row r="187">
          <cell r="K187">
            <v>730.4</v>
          </cell>
          <cell r="O187">
            <v>45.199999999999932</v>
          </cell>
        </row>
        <row r="188">
          <cell r="K188">
            <v>744.92</v>
          </cell>
          <cell r="O188">
            <v>14.519999999999982</v>
          </cell>
        </row>
        <row r="189">
          <cell r="K189">
            <v>757.51999999999987</v>
          </cell>
          <cell r="O189">
            <v>12.599999999999909</v>
          </cell>
        </row>
        <row r="190">
          <cell r="K190">
            <v>765</v>
          </cell>
          <cell r="O190">
            <v>7.4800000000001319</v>
          </cell>
        </row>
        <row r="191">
          <cell r="K191">
            <v>759.3599999999999</v>
          </cell>
          <cell r="O191">
            <v>-5.6400000000001</v>
          </cell>
        </row>
        <row r="192">
          <cell r="K192">
            <v>749.28</v>
          </cell>
          <cell r="O192">
            <v>-10.079999999999927</v>
          </cell>
        </row>
        <row r="193">
          <cell r="K193">
            <v>738.68000000000006</v>
          </cell>
          <cell r="O193">
            <v>-10.599999999999909</v>
          </cell>
        </row>
        <row r="194">
          <cell r="K194">
            <v>730.92</v>
          </cell>
          <cell r="O194">
            <v>-7.7600000000001046</v>
          </cell>
        </row>
        <row r="195">
          <cell r="K195">
            <v>718.95999999999992</v>
          </cell>
          <cell r="O195">
            <v>-11.960000000000036</v>
          </cell>
        </row>
        <row r="196">
          <cell r="K196">
            <v>717.2</v>
          </cell>
          <cell r="O196">
            <v>-1.7599999999998772</v>
          </cell>
        </row>
        <row r="197">
          <cell r="K197">
            <v>776.16000000000008</v>
          </cell>
          <cell r="O197">
            <v>58.960000000000036</v>
          </cell>
        </row>
        <row r="198">
          <cell r="K198">
            <v>822.24000000000012</v>
          </cell>
          <cell r="O198">
            <v>46.080000000000041</v>
          </cell>
        </row>
        <row r="199">
          <cell r="K199">
            <v>808.56000000000006</v>
          </cell>
          <cell r="O199">
            <v>-13.680000000000064</v>
          </cell>
        </row>
        <row r="200">
          <cell r="K200">
            <v>790.92000000000007</v>
          </cell>
          <cell r="O200">
            <v>-17.639999999999986</v>
          </cell>
        </row>
        <row r="201">
          <cell r="K201">
            <v>760.13783089882872</v>
          </cell>
          <cell r="O201">
            <v>-30.782169101171348</v>
          </cell>
        </row>
        <row r="202">
          <cell r="K202">
            <v>698.95438362845721</v>
          </cell>
          <cell r="O202">
            <v>-61.183447270371516</v>
          </cell>
        </row>
        <row r="203">
          <cell r="K203">
            <v>644.14562539747385</v>
          </cell>
          <cell r="O203">
            <v>-54.808758230983358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8"/>
  <sheetViews>
    <sheetView showGridLines="0" topLeftCell="C1" zoomScale="80" workbookViewId="0">
      <selection activeCell="P27" sqref="P27"/>
    </sheetView>
  </sheetViews>
  <sheetFormatPr defaultRowHeight="12.75" x14ac:dyDescent="0.2"/>
  <cols>
    <col min="1" max="1" width="4.7109375" customWidth="1"/>
    <col min="2" max="4" width="13.7109375" customWidth="1"/>
    <col min="6" max="6" width="9.7109375" customWidth="1"/>
    <col min="7" max="7" width="9.28515625" customWidth="1"/>
    <col min="8" max="8" width="14.42578125" customWidth="1"/>
    <col min="9" max="9" width="10.28515625" customWidth="1"/>
    <col min="10" max="10" width="13.85546875" customWidth="1"/>
    <col min="11" max="11" width="12.85546875" customWidth="1"/>
    <col min="12" max="12" width="9.7109375" bestFit="1" customWidth="1"/>
    <col min="13" max="13" width="9.85546875" customWidth="1"/>
    <col min="14" max="14" width="8" customWidth="1"/>
    <col min="15" max="15" width="8.7109375" customWidth="1"/>
    <col min="16" max="16" width="7.28515625" customWidth="1"/>
    <col min="18" max="18" width="7.42578125" customWidth="1"/>
  </cols>
  <sheetData>
    <row r="1" spans="1:22" ht="15.75" x14ac:dyDescent="0.25">
      <c r="A1" s="50"/>
      <c r="B1" s="401" t="s">
        <v>16</v>
      </c>
      <c r="C1" s="401"/>
      <c r="D1" s="401"/>
      <c r="E1" s="401"/>
      <c r="F1" s="401"/>
      <c r="G1" s="401"/>
      <c r="H1" s="401"/>
      <c r="I1" s="401"/>
      <c r="J1" s="133"/>
      <c r="K1" s="1"/>
      <c r="L1" s="1"/>
      <c r="M1" s="1"/>
      <c r="Q1" s="1"/>
      <c r="R1" s="1"/>
    </row>
    <row r="2" spans="1:22" x14ac:dyDescent="0.2">
      <c r="A2" s="50"/>
      <c r="B2" s="50"/>
      <c r="C2" s="131"/>
      <c r="D2" s="132" t="s">
        <v>79</v>
      </c>
      <c r="E2" s="226">
        <v>8</v>
      </c>
      <c r="F2" s="131"/>
      <c r="G2" s="131"/>
      <c r="H2" s="132" t="s">
        <v>80</v>
      </c>
      <c r="I2" s="227">
        <f>E2+1</f>
        <v>9</v>
      </c>
      <c r="J2" s="136"/>
      <c r="K2" s="1"/>
      <c r="L2" s="1"/>
      <c r="M2" s="1"/>
      <c r="O2" s="109" t="s">
        <v>132</v>
      </c>
      <c r="Q2" s="1"/>
      <c r="R2" s="1"/>
    </row>
    <row r="3" spans="1:22" ht="15" x14ac:dyDescent="0.25">
      <c r="A3" s="50"/>
      <c r="B3" s="51"/>
      <c r="C3" s="52"/>
      <c r="D3" s="53" t="s">
        <v>62</v>
      </c>
      <c r="E3" s="145">
        <f>P29</f>
        <v>540</v>
      </c>
      <c r="F3" s="51"/>
      <c r="G3" s="52"/>
      <c r="H3" s="53" t="s">
        <v>5</v>
      </c>
      <c r="I3" s="240">
        <v>780</v>
      </c>
      <c r="K3" s="146" t="s">
        <v>69</v>
      </c>
      <c r="L3" s="252">
        <f>P29</f>
        <v>540</v>
      </c>
      <c r="M3" s="1"/>
      <c r="O3" s="134" t="s">
        <v>98</v>
      </c>
      <c r="P3" s="398">
        <v>130</v>
      </c>
      <c r="Q3" s="1"/>
      <c r="R3" s="1"/>
    </row>
    <row r="4" spans="1:22" ht="15" x14ac:dyDescent="0.25">
      <c r="A4" s="50"/>
      <c r="B4" s="54"/>
      <c r="C4" s="55"/>
      <c r="D4" s="56" t="s">
        <v>0</v>
      </c>
      <c r="E4" s="303">
        <f>O32</f>
        <v>650</v>
      </c>
      <c r="F4" s="54"/>
      <c r="G4" s="55"/>
      <c r="H4" s="56" t="s">
        <v>3</v>
      </c>
      <c r="I4" s="7">
        <v>43</v>
      </c>
      <c r="K4" s="147" t="s">
        <v>70</v>
      </c>
      <c r="L4" s="308">
        <f>O29</f>
        <v>464</v>
      </c>
      <c r="M4" s="1"/>
      <c r="O4" s="135" t="s">
        <v>176</v>
      </c>
      <c r="P4" s="399">
        <v>90</v>
      </c>
      <c r="Q4" s="1"/>
      <c r="R4" s="1"/>
    </row>
    <row r="5" spans="1:22" ht="15" x14ac:dyDescent="0.25">
      <c r="A5" s="50"/>
      <c r="B5" s="54"/>
      <c r="C5" s="55"/>
      <c r="D5" s="56" t="s">
        <v>34</v>
      </c>
      <c r="E5" s="2">
        <v>0</v>
      </c>
      <c r="F5" s="54"/>
      <c r="G5" s="55"/>
      <c r="H5" s="56" t="s">
        <v>4</v>
      </c>
      <c r="I5" s="7">
        <v>25</v>
      </c>
      <c r="K5" s="146" t="s">
        <v>68</v>
      </c>
      <c r="L5" s="127">
        <f>L3-L4</f>
        <v>76</v>
      </c>
      <c r="M5" s="1"/>
      <c r="O5" s="135" t="s">
        <v>175</v>
      </c>
      <c r="P5" s="399">
        <v>0</v>
      </c>
      <c r="Q5" s="1"/>
      <c r="R5" s="1"/>
    </row>
    <row r="6" spans="1:22" ht="15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148</v>
      </c>
      <c r="J6" s="50"/>
      <c r="K6" s="1"/>
      <c r="L6" s="1"/>
      <c r="M6" s="1"/>
      <c r="O6" s="135" t="s">
        <v>174</v>
      </c>
      <c r="P6" s="201">
        <v>300</v>
      </c>
      <c r="Q6" s="1"/>
      <c r="R6" s="1"/>
    </row>
    <row r="7" spans="1:22" ht="15.75" thickBot="1" x14ac:dyDescent="0.3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130</v>
      </c>
      <c r="J7" s="124" t="s">
        <v>76</v>
      </c>
      <c r="K7" s="115">
        <v>133</v>
      </c>
      <c r="L7" s="109" t="s">
        <v>78</v>
      </c>
      <c r="M7" s="304">
        <v>374</v>
      </c>
      <c r="O7" s="135" t="s">
        <v>173</v>
      </c>
      <c r="P7" s="400">
        <v>150</v>
      </c>
      <c r="Q7" s="1"/>
      <c r="R7" s="1"/>
    </row>
    <row r="8" spans="1:22" ht="16.5" thickTop="1" thickBot="1" x14ac:dyDescent="0.3">
      <c r="A8" s="50"/>
      <c r="B8" s="57"/>
      <c r="C8" s="58"/>
      <c r="D8" s="59"/>
      <c r="E8" s="3">
        <v>0</v>
      </c>
      <c r="F8" s="57"/>
      <c r="G8" s="58"/>
      <c r="H8" s="59" t="s">
        <v>31</v>
      </c>
      <c r="I8" s="241">
        <v>0</v>
      </c>
      <c r="J8" s="125" t="s">
        <v>77</v>
      </c>
      <c r="K8" s="365">
        <v>50</v>
      </c>
      <c r="L8" s="126" t="s">
        <v>135</v>
      </c>
      <c r="M8" s="138">
        <v>69</v>
      </c>
      <c r="O8" s="392"/>
      <c r="P8" s="393">
        <f>SUM(P3:P7)</f>
        <v>670</v>
      </c>
      <c r="R8" s="1"/>
    </row>
    <row r="9" spans="1:22" ht="16.5" thickTop="1" thickBot="1" x14ac:dyDescent="0.3">
      <c r="A9" s="50"/>
      <c r="B9" s="54"/>
      <c r="C9" s="55"/>
      <c r="D9" s="56" t="s">
        <v>2</v>
      </c>
      <c r="E9" s="60">
        <f>+SUM(E3:E7)</f>
        <v>1190</v>
      </c>
      <c r="F9" s="54"/>
      <c r="G9" s="55"/>
      <c r="H9" s="56" t="s">
        <v>6</v>
      </c>
      <c r="I9" s="61">
        <f>SUM(I3:I8)</f>
        <v>1126</v>
      </c>
      <c r="J9" s="50"/>
      <c r="K9" s="123">
        <f>K7-K8</f>
        <v>83</v>
      </c>
      <c r="M9" s="123">
        <f>SUM(M7:M8)</f>
        <v>443</v>
      </c>
      <c r="O9" s="1" t="s">
        <v>177</v>
      </c>
      <c r="Q9" s="1"/>
      <c r="R9" s="1"/>
    </row>
    <row r="10" spans="1:22" ht="15" thickTop="1" x14ac:dyDescent="0.2">
      <c r="A10" s="50"/>
      <c r="B10" s="54"/>
      <c r="C10" s="55"/>
      <c r="D10" s="62"/>
      <c r="E10" s="63"/>
      <c r="F10" s="396"/>
      <c r="G10" s="55"/>
      <c r="H10" s="62"/>
      <c r="I10" s="64"/>
      <c r="J10" s="50"/>
      <c r="K10" s="1"/>
      <c r="Q10" s="151"/>
      <c r="R10" s="1"/>
    </row>
    <row r="11" spans="1:22" ht="15" x14ac:dyDescent="0.25">
      <c r="A11" s="50"/>
      <c r="B11" s="51"/>
      <c r="C11" s="52"/>
      <c r="D11" s="53" t="s">
        <v>7</v>
      </c>
      <c r="E11" s="305">
        <v>75</v>
      </c>
      <c r="F11" s="397"/>
      <c r="G11" s="52"/>
      <c r="H11" s="53" t="s">
        <v>9</v>
      </c>
      <c r="I11" s="309">
        <f>Calculations!M20</f>
        <v>53</v>
      </c>
      <c r="J11" s="117" t="s">
        <v>151</v>
      </c>
      <c r="K11" s="1"/>
      <c r="L11" s="221"/>
      <c r="M11" s="222"/>
      <c r="Q11" s="224"/>
      <c r="R11" s="223"/>
      <c r="S11" s="37"/>
      <c r="T11" s="37"/>
      <c r="U11" s="37"/>
      <c r="V11" s="37"/>
    </row>
    <row r="12" spans="1:22" ht="15" x14ac:dyDescent="0.25">
      <c r="A12" s="50"/>
      <c r="B12" s="54"/>
      <c r="C12" s="55"/>
      <c r="D12" s="56" t="s">
        <v>36</v>
      </c>
      <c r="E12" s="106">
        <f>(0.5*E11)</f>
        <v>37.5</v>
      </c>
      <c r="F12" s="67"/>
      <c r="G12" s="55"/>
      <c r="H12" s="56" t="s">
        <v>39</v>
      </c>
      <c r="I12" s="310">
        <v>100</v>
      </c>
      <c r="J12" s="50"/>
      <c r="K12" s="1"/>
      <c r="L12" s="37"/>
      <c r="M12" s="261" t="s">
        <v>126</v>
      </c>
      <c r="Q12" s="35"/>
      <c r="R12" s="35"/>
      <c r="S12" s="37"/>
      <c r="T12" s="37"/>
      <c r="U12" s="37"/>
      <c r="V12" s="37"/>
    </row>
    <row r="13" spans="1:22" ht="15" x14ac:dyDescent="0.25">
      <c r="A13" s="50"/>
      <c r="B13" s="54"/>
      <c r="C13" s="55"/>
      <c r="D13" s="56" t="s">
        <v>37</v>
      </c>
      <c r="E13" s="106">
        <f>(0.5*E11)</f>
        <v>37.5</v>
      </c>
      <c r="F13" s="67"/>
      <c r="G13" s="55"/>
      <c r="H13" s="56" t="s">
        <v>10</v>
      </c>
      <c r="I13" s="310">
        <v>25</v>
      </c>
      <c r="J13" s="50"/>
      <c r="K13" s="1"/>
      <c r="L13" s="37"/>
      <c r="M13" s="225"/>
      <c r="Q13" s="35"/>
      <c r="R13" s="37"/>
      <c r="S13" s="37"/>
      <c r="T13" s="37"/>
      <c r="U13" s="37"/>
      <c r="V13" s="37"/>
    </row>
    <row r="14" spans="1:22" ht="15" x14ac:dyDescent="0.25">
      <c r="A14" s="50"/>
      <c r="B14" s="57"/>
      <c r="C14" s="58"/>
      <c r="D14" s="59" t="s">
        <v>65</v>
      </c>
      <c r="E14" s="107">
        <f>SpinReq+30</f>
        <v>67.5</v>
      </c>
      <c r="F14" s="68"/>
      <c r="G14" s="58"/>
      <c r="H14" s="59" t="s">
        <v>11</v>
      </c>
      <c r="I14" s="311">
        <v>0</v>
      </c>
      <c r="L14" s="37"/>
      <c r="M14" s="225"/>
      <c r="N14" s="225"/>
      <c r="O14" s="225" t="s">
        <v>178</v>
      </c>
      <c r="P14" s="225"/>
      <c r="Q14" s="225"/>
      <c r="R14" s="213"/>
      <c r="S14" s="152"/>
      <c r="T14" s="152"/>
      <c r="U14" s="152"/>
      <c r="V14" s="152"/>
    </row>
    <row r="15" spans="1:22" ht="16.5" thickBot="1" x14ac:dyDescent="0.3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85</v>
      </c>
      <c r="K15" s="253">
        <v>19.5</v>
      </c>
      <c r="L15" s="37"/>
      <c r="N15" s="225"/>
      <c r="O15" s="225"/>
      <c r="P15" s="225"/>
      <c r="Q15" s="225"/>
      <c r="R15" s="213"/>
      <c r="S15" s="152"/>
      <c r="T15" s="152"/>
      <c r="U15" s="152"/>
      <c r="V15" s="152"/>
    </row>
    <row r="16" spans="1:22" ht="15.75" thickTop="1" x14ac:dyDescent="0.25">
      <c r="A16" s="50"/>
      <c r="B16" s="51"/>
      <c r="C16" s="52"/>
      <c r="D16" s="53" t="s">
        <v>41</v>
      </c>
      <c r="E16" s="118">
        <f>+E9-I9</f>
        <v>64</v>
      </c>
      <c r="F16" s="108">
        <v>75</v>
      </c>
      <c r="G16" s="402" t="s">
        <v>23</v>
      </c>
      <c r="H16" s="403"/>
      <c r="I16" s="403"/>
      <c r="J16" s="404"/>
      <c r="L16" s="37"/>
      <c r="M16" s="225"/>
      <c r="N16" s="361"/>
      <c r="O16" s="362" t="s">
        <v>133</v>
      </c>
      <c r="P16" s="362" t="s">
        <v>134</v>
      </c>
      <c r="Q16" s="371" t="s">
        <v>138</v>
      </c>
      <c r="R16" s="375" t="s">
        <v>167</v>
      </c>
      <c r="S16" s="152"/>
      <c r="T16" s="152"/>
      <c r="U16" s="152"/>
      <c r="V16" s="152"/>
    </row>
    <row r="17" spans="1:22" ht="15" x14ac:dyDescent="0.25">
      <c r="A17" s="50"/>
      <c r="B17" s="54"/>
      <c r="C17" s="55"/>
      <c r="D17" s="56" t="s">
        <v>12</v>
      </c>
      <c r="E17" s="119">
        <f>+IF((I14-E7+I4-I11+I5-I13+I6-I12-E6+I8)&lt;0,0,(I14-E7+I4-I11+I5-I13+I6-I12-E6+I8))</f>
        <v>38</v>
      </c>
      <c r="F17" s="108">
        <f>E14+Nonspin</f>
        <v>105.5</v>
      </c>
      <c r="G17" s="51"/>
      <c r="H17" s="71"/>
      <c r="I17" s="53" t="s">
        <v>17</v>
      </c>
      <c r="J17" s="72" t="s">
        <v>18</v>
      </c>
      <c r="K17" s="1"/>
      <c r="L17" s="37"/>
      <c r="M17" s="225"/>
      <c r="N17" s="351" t="s">
        <v>130</v>
      </c>
      <c r="O17" s="266">
        <v>0</v>
      </c>
      <c r="P17" s="368">
        <v>0</v>
      </c>
      <c r="Q17" s="372">
        <f>+MIN(P17-O17,R17*10)</f>
        <v>0</v>
      </c>
      <c r="R17" s="357">
        <v>3</v>
      </c>
      <c r="S17" s="152"/>
      <c r="T17" s="152"/>
      <c r="U17" s="152"/>
      <c r="V17" s="152"/>
    </row>
    <row r="18" spans="1:22" ht="15" x14ac:dyDescent="0.25">
      <c r="A18" s="50"/>
      <c r="B18" s="54"/>
      <c r="C18" s="55"/>
      <c r="D18" s="73" t="s">
        <v>45</v>
      </c>
      <c r="E18" s="74">
        <f>+Spin+Nonspin</f>
        <v>102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1"/>
      <c r="N18" s="351">
        <v>2</v>
      </c>
      <c r="O18" s="266">
        <v>36</v>
      </c>
      <c r="P18" s="368">
        <v>46</v>
      </c>
      <c r="Q18" s="373">
        <f t="shared" ref="Q18:Q28" si="0">+MIN(P18-O18,R18*10)</f>
        <v>10</v>
      </c>
      <c r="R18" s="358">
        <v>4.5</v>
      </c>
    </row>
    <row r="19" spans="1:22" ht="15" x14ac:dyDescent="0.25">
      <c r="A19" s="50"/>
      <c r="B19" s="54"/>
      <c r="C19" s="55"/>
      <c r="D19" s="73" t="s">
        <v>38</v>
      </c>
      <c r="E19" s="75">
        <f>+E16-E12-IF((E17-E13)&lt;0,E13-E17,0)</f>
        <v>26.5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128"/>
      <c r="N19" s="351">
        <v>3</v>
      </c>
      <c r="O19" s="266">
        <v>50</v>
      </c>
      <c r="P19" s="368">
        <v>100</v>
      </c>
      <c r="Q19" s="373">
        <f t="shared" si="0"/>
        <v>50</v>
      </c>
      <c r="R19" s="358">
        <v>5.0999999999999996</v>
      </c>
    </row>
    <row r="20" spans="1:22" ht="15" x14ac:dyDescent="0.25">
      <c r="A20" s="50"/>
      <c r="B20" s="54"/>
      <c r="C20" s="55"/>
      <c r="D20" s="56" t="s">
        <v>8</v>
      </c>
      <c r="E20" s="242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128"/>
      <c r="N20" s="351" t="s">
        <v>162</v>
      </c>
      <c r="O20" s="266">
        <v>0</v>
      </c>
      <c r="P20" s="368">
        <v>0</v>
      </c>
      <c r="Q20" s="373">
        <f t="shared" si="0"/>
        <v>0</v>
      </c>
      <c r="R20" s="358">
        <v>10</v>
      </c>
    </row>
    <row r="21" spans="1:22" ht="15" x14ac:dyDescent="0.25">
      <c r="A21" s="50"/>
      <c r="B21" s="54"/>
      <c r="C21" s="55"/>
      <c r="D21" s="56" t="s">
        <v>13</v>
      </c>
      <c r="E21" s="242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128"/>
      <c r="N21" s="353" t="s">
        <v>163</v>
      </c>
      <c r="O21" s="364">
        <v>0</v>
      </c>
      <c r="P21" s="344">
        <v>0</v>
      </c>
      <c r="Q21" s="373">
        <f t="shared" si="0"/>
        <v>0</v>
      </c>
      <c r="R21" s="358">
        <v>10</v>
      </c>
    </row>
    <row r="22" spans="1:22" ht="15.75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128"/>
      <c r="N22" s="353" t="s">
        <v>164</v>
      </c>
      <c r="O22" s="364">
        <v>0</v>
      </c>
      <c r="P22" s="344">
        <v>0</v>
      </c>
      <c r="Q22" s="373">
        <f t="shared" si="0"/>
        <v>0</v>
      </c>
      <c r="R22" s="358">
        <v>3.33</v>
      </c>
    </row>
    <row r="23" spans="1:22" ht="15.75" thickTop="1" x14ac:dyDescent="0.25">
      <c r="A23" s="50"/>
      <c r="B23" s="77"/>
      <c r="C23" s="78"/>
      <c r="D23" s="79" t="s">
        <v>43</v>
      </c>
      <c r="E23" s="80">
        <f>E19</f>
        <v>26.5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8">
        <f>SUM(I23*K15)</f>
        <v>0</v>
      </c>
      <c r="M23" s="155"/>
      <c r="N23" s="353" t="s">
        <v>165</v>
      </c>
      <c r="O23" s="364">
        <v>0</v>
      </c>
      <c r="P23" s="344">
        <v>0</v>
      </c>
      <c r="Q23" s="373">
        <f t="shared" si="0"/>
        <v>0</v>
      </c>
      <c r="R23" s="358">
        <v>3.6</v>
      </c>
    </row>
    <row r="24" spans="1:22" ht="14.25" x14ac:dyDescent="0.2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128"/>
      <c r="N24" s="351" t="s">
        <v>166</v>
      </c>
      <c r="O24" s="266">
        <v>179</v>
      </c>
      <c r="P24" s="368">
        <v>214</v>
      </c>
      <c r="Q24" s="373">
        <f t="shared" si="0"/>
        <v>35</v>
      </c>
      <c r="R24" s="358">
        <v>3.6</v>
      </c>
    </row>
    <row r="25" spans="1:22" ht="15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26.5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1"/>
      <c r="N25" s="355" t="s">
        <v>135</v>
      </c>
      <c r="O25" s="356">
        <v>0</v>
      </c>
      <c r="P25" s="369">
        <v>0</v>
      </c>
      <c r="Q25" s="373">
        <f t="shared" si="0"/>
        <v>0</v>
      </c>
      <c r="R25" s="358">
        <v>10</v>
      </c>
    </row>
    <row r="26" spans="1:22" ht="15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1"/>
      <c r="N26" s="352">
        <v>6</v>
      </c>
      <c r="O26" s="266">
        <v>29</v>
      </c>
      <c r="P26" s="368">
        <v>50</v>
      </c>
      <c r="Q26" s="373">
        <f t="shared" si="0"/>
        <v>20</v>
      </c>
      <c r="R26" s="358">
        <v>2</v>
      </c>
    </row>
    <row r="27" spans="1:22" ht="15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153"/>
      <c r="N27" s="352">
        <v>7</v>
      </c>
      <c r="O27" s="266">
        <v>40</v>
      </c>
      <c r="P27" s="368">
        <v>0</v>
      </c>
      <c r="Q27" s="373">
        <f t="shared" si="0"/>
        <v>-40</v>
      </c>
      <c r="R27" s="358">
        <v>2.1</v>
      </c>
    </row>
    <row r="28" spans="1:22" ht="15.75" thickBot="1" x14ac:dyDescent="0.3">
      <c r="A28" s="50"/>
      <c r="B28" s="94"/>
      <c r="C28" s="314"/>
      <c r="D28" s="318"/>
      <c r="E28" s="314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153"/>
      <c r="N28" s="354">
        <v>8</v>
      </c>
      <c r="O28" s="267">
        <v>130</v>
      </c>
      <c r="P28" s="370">
        <v>130</v>
      </c>
      <c r="Q28" s="374">
        <f t="shared" si="0"/>
        <v>0</v>
      </c>
      <c r="R28" s="359">
        <v>2.1</v>
      </c>
    </row>
    <row r="29" spans="1:22" ht="16.5" thickTop="1" thickBot="1" x14ac:dyDescent="0.3">
      <c r="A29" s="50"/>
      <c r="B29" s="70"/>
      <c r="C29" s="314"/>
      <c r="D29" s="317"/>
      <c r="E29" s="314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72" t="s">
        <v>97</v>
      </c>
      <c r="O29" s="307">
        <f>SUM(O17:O28)</f>
        <v>464</v>
      </c>
      <c r="P29" s="366">
        <f>SUM(P17:P28)</f>
        <v>540</v>
      </c>
      <c r="Q29" s="367">
        <f>SUM(Q17:Q28)</f>
        <v>75</v>
      </c>
      <c r="R29" s="360"/>
      <c r="S29" s="9"/>
    </row>
    <row r="30" spans="1:22" ht="15.75" thickTop="1" x14ac:dyDescent="0.25">
      <c r="A30" s="50"/>
      <c r="B30" s="70"/>
      <c r="C30" s="320"/>
      <c r="D30" s="100"/>
      <c r="E30" s="101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>
        <f>SUM(I30*K15)</f>
        <v>0</v>
      </c>
      <c r="M30" s="1"/>
      <c r="N30" s="270" t="s">
        <v>131</v>
      </c>
      <c r="O30" s="268">
        <v>52</v>
      </c>
      <c r="P30" s="271">
        <v>104</v>
      </c>
      <c r="Q30" s="363"/>
      <c r="R30" s="1"/>
    </row>
    <row r="31" spans="1:22" ht="15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9" t="s">
        <v>132</v>
      </c>
      <c r="O31" s="268">
        <v>598</v>
      </c>
      <c r="P31" s="271">
        <v>600</v>
      </c>
      <c r="Q31" s="1"/>
      <c r="R31" s="1"/>
    </row>
    <row r="32" spans="1:22" ht="15.75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8">
        <f>SUM(K23+K30-L23-L30)</f>
        <v>0</v>
      </c>
      <c r="L32" s="1"/>
      <c r="M32" s="1"/>
      <c r="N32" s="273"/>
      <c r="O32" s="302">
        <f>SUM(O30:O31)</f>
        <v>650</v>
      </c>
      <c r="P32" s="274">
        <f>SUM(P30:P31)</f>
        <v>704</v>
      </c>
      <c r="Q32" s="1"/>
      <c r="R32" s="1"/>
    </row>
    <row r="33" spans="1:18" ht="13.5" thickTop="1" x14ac:dyDescent="0.2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  <c r="Q33" s="1"/>
      <c r="R33" s="1"/>
    </row>
    <row r="34" spans="1:18" x14ac:dyDescent="0.2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</sheetData>
  <mergeCells count="2">
    <mergeCell ref="B1:I1"/>
    <mergeCell ref="G16:J16"/>
  </mergeCells>
  <pageMargins left="0.75" right="0.75" top="1" bottom="1" header="0.5" footer="0.5"/>
  <pageSetup scale="84" orientation="portrait" r:id="rId1"/>
  <headerFooter alignWithMargins="0">
    <oddFooter>&amp;L&amp;D&amp;C&amp;T&amp;R&amp;F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223"/>
  <sheetViews>
    <sheetView showGridLines="0" topLeftCell="A122" workbookViewId="0">
      <selection activeCell="F129" sqref="F129"/>
    </sheetView>
  </sheetViews>
  <sheetFormatPr defaultRowHeight="12.75" x14ac:dyDescent="0.2"/>
  <cols>
    <col min="1" max="1" width="7.85546875" customWidth="1"/>
    <col min="3" max="4" width="9.85546875" customWidth="1"/>
    <col min="5" max="5" width="10.85546875" customWidth="1"/>
    <col min="6" max="6" width="9.7109375" customWidth="1"/>
    <col min="9" max="9" width="8.7109375" customWidth="1"/>
    <col min="10" max="10" width="3.28515625" customWidth="1"/>
    <col min="11" max="11" width="8" customWidth="1"/>
    <col min="12" max="12" width="3" customWidth="1"/>
    <col min="13" max="13" width="7.85546875" customWidth="1"/>
    <col min="15" max="15" width="10.5703125" bestFit="1" customWidth="1"/>
    <col min="16" max="16" width="7.28515625" customWidth="1"/>
    <col min="17" max="17" width="9.7109375" customWidth="1"/>
    <col min="18" max="18" width="10.42578125" customWidth="1"/>
    <col min="19" max="19" width="10.5703125" customWidth="1"/>
    <col min="20" max="20" width="10.7109375" customWidth="1"/>
    <col min="21" max="21" width="10.42578125" customWidth="1"/>
    <col min="22" max="23" width="10.7109375" customWidth="1"/>
    <col min="24" max="24" width="11.7109375" customWidth="1"/>
    <col min="25" max="25" width="4" customWidth="1"/>
    <col min="27" max="27" width="2.7109375" customWidth="1"/>
    <col min="28" max="28" width="10.140625" customWidth="1"/>
  </cols>
  <sheetData>
    <row r="1" spans="1:17" s="10" customFormat="1" x14ac:dyDescent="0.2">
      <c r="A1" s="260">
        <v>36557</v>
      </c>
    </row>
    <row r="2" spans="1:17" ht="15.75" x14ac:dyDescent="0.25">
      <c r="G2" s="259" t="s">
        <v>55</v>
      </c>
    </row>
    <row r="3" spans="1:17" x14ac:dyDescent="0.2">
      <c r="C3">
        <v>31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17" x14ac:dyDescent="0.2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306" t="s">
        <v>149</v>
      </c>
      <c r="L4" s="20"/>
      <c r="M4" s="306" t="s">
        <v>150</v>
      </c>
      <c r="N4" s="21" t="s">
        <v>53</v>
      </c>
      <c r="O4" s="42" t="s">
        <v>63</v>
      </c>
    </row>
    <row r="5" spans="1:17" x14ac:dyDescent="0.2">
      <c r="B5" s="31">
        <v>1</v>
      </c>
      <c r="C5" s="29">
        <v>550</v>
      </c>
      <c r="D5" s="29">
        <v>558</v>
      </c>
      <c r="E5" s="29">
        <v>620</v>
      </c>
      <c r="F5" s="29">
        <v>597</v>
      </c>
      <c r="G5" s="29">
        <v>580</v>
      </c>
      <c r="H5" s="29">
        <v>598</v>
      </c>
      <c r="I5" s="29">
        <v>551</v>
      </c>
      <c r="J5" s="30"/>
      <c r="K5" s="29">
        <f>AVERAGE(C5:G5)</f>
        <v>581</v>
      </c>
      <c r="L5" s="29"/>
      <c r="M5" s="29">
        <f>AVERAGE(H5:I5)</f>
        <v>574.5</v>
      </c>
      <c r="N5" s="32">
        <v>1</v>
      </c>
      <c r="O5" s="48">
        <f>K5-K28</f>
        <v>-36</v>
      </c>
      <c r="P5" s="9"/>
      <c r="Q5" s="9"/>
    </row>
    <row r="6" spans="1:17" x14ac:dyDescent="0.2">
      <c r="B6" s="15">
        <v>2</v>
      </c>
      <c r="C6" s="12">
        <v>529</v>
      </c>
      <c r="D6" s="12">
        <v>534</v>
      </c>
      <c r="E6" s="12">
        <v>601</v>
      </c>
      <c r="F6" s="12">
        <v>593</v>
      </c>
      <c r="G6" s="12">
        <v>568</v>
      </c>
      <c r="H6" s="12">
        <v>566</v>
      </c>
      <c r="I6" s="12">
        <v>538</v>
      </c>
      <c r="J6" s="26"/>
      <c r="K6" s="12">
        <f t="shared" ref="K6:K28" si="0">AVERAGE(C6:G6)</f>
        <v>565</v>
      </c>
      <c r="L6" s="12"/>
      <c r="M6" s="12">
        <f t="shared" ref="M6:M28" si="1">AVERAGE(H6:I6)</f>
        <v>552</v>
      </c>
      <c r="N6" s="22">
        <v>2</v>
      </c>
      <c r="O6" s="43">
        <f>K6-K5</f>
        <v>-16</v>
      </c>
      <c r="P6" s="9"/>
      <c r="Q6" s="9"/>
    </row>
    <row r="7" spans="1:17" x14ac:dyDescent="0.2">
      <c r="B7" s="15">
        <v>3</v>
      </c>
      <c r="C7" s="12">
        <v>523</v>
      </c>
      <c r="D7" s="12">
        <v>521</v>
      </c>
      <c r="E7" s="12">
        <v>601</v>
      </c>
      <c r="F7" s="12">
        <v>567</v>
      </c>
      <c r="G7" s="12">
        <v>556</v>
      </c>
      <c r="H7" s="12">
        <v>558</v>
      </c>
      <c r="I7" s="12">
        <v>526</v>
      </c>
      <c r="J7" s="26"/>
      <c r="K7" s="12">
        <f t="shared" si="0"/>
        <v>553.6</v>
      </c>
      <c r="L7" s="12"/>
      <c r="M7" s="12">
        <f t="shared" si="1"/>
        <v>542</v>
      </c>
      <c r="N7" s="22">
        <v>3</v>
      </c>
      <c r="O7" s="43">
        <f t="shared" ref="O7:O28" si="2">K7-K6</f>
        <v>-11.399999999999977</v>
      </c>
      <c r="P7" s="9"/>
      <c r="Q7" s="9"/>
    </row>
    <row r="8" spans="1:17" x14ac:dyDescent="0.2">
      <c r="B8" s="16">
        <v>4</v>
      </c>
      <c r="C8" s="13">
        <v>542</v>
      </c>
      <c r="D8" s="13">
        <v>504</v>
      </c>
      <c r="E8" s="13">
        <v>583</v>
      </c>
      <c r="F8" s="13">
        <v>575</v>
      </c>
      <c r="G8" s="13">
        <v>555</v>
      </c>
      <c r="H8" s="13">
        <v>553</v>
      </c>
      <c r="I8" s="13">
        <v>515</v>
      </c>
      <c r="J8" s="27"/>
      <c r="K8" s="13">
        <f t="shared" si="0"/>
        <v>551.79999999999995</v>
      </c>
      <c r="L8" s="13"/>
      <c r="M8" s="13">
        <f t="shared" si="1"/>
        <v>534</v>
      </c>
      <c r="N8" s="23">
        <v>4</v>
      </c>
      <c r="O8" s="49">
        <f t="shared" si="2"/>
        <v>-1.8000000000000682</v>
      </c>
      <c r="P8" s="9"/>
      <c r="Q8" s="9"/>
    </row>
    <row r="9" spans="1:17" x14ac:dyDescent="0.2">
      <c r="B9" s="31">
        <v>5</v>
      </c>
      <c r="C9" s="29">
        <v>549</v>
      </c>
      <c r="D9" s="29">
        <v>521</v>
      </c>
      <c r="E9" s="29">
        <v>628</v>
      </c>
      <c r="F9" s="29">
        <v>594</v>
      </c>
      <c r="G9" s="29">
        <v>575</v>
      </c>
      <c r="H9" s="29">
        <v>557</v>
      </c>
      <c r="I9" s="29">
        <v>515</v>
      </c>
      <c r="J9" s="30"/>
      <c r="K9" s="29">
        <f t="shared" si="0"/>
        <v>573.4</v>
      </c>
      <c r="L9" s="29"/>
      <c r="M9" s="29">
        <f t="shared" si="1"/>
        <v>536</v>
      </c>
      <c r="N9" s="32">
        <v>5</v>
      </c>
      <c r="O9" s="45">
        <f t="shared" si="2"/>
        <v>21.600000000000023</v>
      </c>
      <c r="P9" s="9"/>
      <c r="Q9" s="9"/>
    </row>
    <row r="10" spans="1:17" x14ac:dyDescent="0.2">
      <c r="B10" s="15">
        <v>6</v>
      </c>
      <c r="C10" s="12">
        <v>577</v>
      </c>
      <c r="D10" s="12">
        <v>557</v>
      </c>
      <c r="E10" s="12">
        <v>671</v>
      </c>
      <c r="F10" s="12">
        <v>649</v>
      </c>
      <c r="G10" s="12">
        <v>626</v>
      </c>
      <c r="H10" s="12">
        <v>575</v>
      </c>
      <c r="I10" s="12">
        <v>534</v>
      </c>
      <c r="J10" s="26"/>
      <c r="K10" s="12">
        <f t="shared" si="0"/>
        <v>616</v>
      </c>
      <c r="L10" s="12"/>
      <c r="M10" s="12">
        <f t="shared" si="1"/>
        <v>554.5</v>
      </c>
      <c r="N10" s="22">
        <v>6</v>
      </c>
      <c r="O10" s="46">
        <f t="shared" si="2"/>
        <v>42.600000000000023</v>
      </c>
      <c r="P10" s="9">
        <v>622</v>
      </c>
      <c r="Q10" s="9"/>
    </row>
    <row r="11" spans="1:17" x14ac:dyDescent="0.2">
      <c r="B11" s="15">
        <v>7</v>
      </c>
      <c r="C11" s="12">
        <v>707</v>
      </c>
      <c r="D11" s="12">
        <v>622</v>
      </c>
      <c r="E11" s="12">
        <v>770</v>
      </c>
      <c r="F11" s="12">
        <v>762</v>
      </c>
      <c r="G11" s="12">
        <v>738</v>
      </c>
      <c r="H11" s="12">
        <v>620</v>
      </c>
      <c r="I11" s="12">
        <v>551</v>
      </c>
      <c r="J11" s="26"/>
      <c r="K11" s="12">
        <f t="shared" si="0"/>
        <v>719.8</v>
      </c>
      <c r="L11" s="12"/>
      <c r="M11" s="12">
        <f t="shared" si="1"/>
        <v>585.5</v>
      </c>
      <c r="N11" s="22">
        <v>7</v>
      </c>
      <c r="O11" s="46">
        <f t="shared" si="2"/>
        <v>103.79999999999995</v>
      </c>
      <c r="P11" s="9">
        <f>P10+O11</f>
        <v>725.8</v>
      </c>
      <c r="Q11" s="9"/>
    </row>
    <row r="12" spans="1:17" x14ac:dyDescent="0.2">
      <c r="B12" s="16">
        <v>8</v>
      </c>
      <c r="C12" s="13">
        <v>776</v>
      </c>
      <c r="D12" s="13">
        <v>653</v>
      </c>
      <c r="E12" s="13">
        <v>808</v>
      </c>
      <c r="F12" s="13">
        <v>796</v>
      </c>
      <c r="G12" s="13">
        <v>769</v>
      </c>
      <c r="H12" s="13">
        <v>629</v>
      </c>
      <c r="I12" s="13">
        <v>559</v>
      </c>
      <c r="J12" s="27"/>
      <c r="K12" s="13">
        <f t="shared" si="0"/>
        <v>760.4</v>
      </c>
      <c r="L12" s="13"/>
      <c r="M12" s="13">
        <f t="shared" si="1"/>
        <v>594</v>
      </c>
      <c r="N12" s="23">
        <v>8</v>
      </c>
      <c r="O12" s="47">
        <f t="shared" si="2"/>
        <v>40.600000000000023</v>
      </c>
      <c r="P12" s="9">
        <f>P11+O12</f>
        <v>766.4</v>
      </c>
      <c r="Q12" s="9"/>
    </row>
    <row r="13" spans="1:17" x14ac:dyDescent="0.2">
      <c r="B13" s="15">
        <v>9</v>
      </c>
      <c r="C13" s="12">
        <v>771</v>
      </c>
      <c r="D13" s="29">
        <v>695</v>
      </c>
      <c r="E13" s="29">
        <v>827</v>
      </c>
      <c r="F13" s="29">
        <v>799</v>
      </c>
      <c r="G13" s="12">
        <v>774</v>
      </c>
      <c r="H13" s="12">
        <v>665</v>
      </c>
      <c r="I13" s="12">
        <v>592</v>
      </c>
      <c r="J13" s="26"/>
      <c r="K13" s="12">
        <f t="shared" si="0"/>
        <v>773.2</v>
      </c>
      <c r="L13" s="12"/>
      <c r="M13" s="12">
        <f t="shared" si="1"/>
        <v>628.5</v>
      </c>
      <c r="N13" s="22">
        <v>9</v>
      </c>
      <c r="O13" s="48">
        <f t="shared" si="2"/>
        <v>12.800000000000068</v>
      </c>
      <c r="P13" s="9">
        <f t="shared" ref="P13:P24" si="3">P12+O13</f>
        <v>779.2</v>
      </c>
      <c r="Q13" s="9"/>
    </row>
    <row r="14" spans="1:17" x14ac:dyDescent="0.2">
      <c r="B14" s="15">
        <v>10</v>
      </c>
      <c r="C14" s="12">
        <v>784</v>
      </c>
      <c r="D14" s="12">
        <v>717</v>
      </c>
      <c r="E14" s="12">
        <v>787</v>
      </c>
      <c r="F14" s="12">
        <v>791</v>
      </c>
      <c r="G14" s="12">
        <v>776</v>
      </c>
      <c r="H14" s="12">
        <v>689</v>
      </c>
      <c r="I14" s="12">
        <v>611</v>
      </c>
      <c r="J14" s="26"/>
      <c r="K14" s="12">
        <f t="shared" si="0"/>
        <v>771</v>
      </c>
      <c r="L14" s="12"/>
      <c r="M14" s="12">
        <f t="shared" si="1"/>
        <v>650</v>
      </c>
      <c r="N14" s="22">
        <v>10</v>
      </c>
      <c r="O14" s="43">
        <f t="shared" si="2"/>
        <v>-2.2000000000000455</v>
      </c>
      <c r="P14" s="9">
        <f t="shared" si="3"/>
        <v>777</v>
      </c>
      <c r="Q14" s="9"/>
    </row>
    <row r="15" spans="1:17" x14ac:dyDescent="0.2">
      <c r="B15" s="15">
        <v>11</v>
      </c>
      <c r="C15" s="12">
        <v>795</v>
      </c>
      <c r="D15" s="12">
        <v>716</v>
      </c>
      <c r="E15" s="12">
        <v>792</v>
      </c>
      <c r="F15" s="12">
        <v>786</v>
      </c>
      <c r="G15" s="12">
        <v>779</v>
      </c>
      <c r="H15" s="12">
        <v>689</v>
      </c>
      <c r="I15" s="12">
        <v>635</v>
      </c>
      <c r="J15" s="26"/>
      <c r="K15" s="12">
        <f t="shared" si="0"/>
        <v>773.6</v>
      </c>
      <c r="L15" s="12"/>
      <c r="M15" s="12">
        <f t="shared" si="1"/>
        <v>662</v>
      </c>
      <c r="N15" s="22">
        <v>11</v>
      </c>
      <c r="O15" s="43">
        <f t="shared" si="2"/>
        <v>2.6000000000000227</v>
      </c>
      <c r="P15" s="9">
        <f t="shared" si="3"/>
        <v>779.6</v>
      </c>
      <c r="Q15" s="9"/>
    </row>
    <row r="16" spans="1:17" x14ac:dyDescent="0.2">
      <c r="B16" s="16">
        <v>12</v>
      </c>
      <c r="C16" s="13">
        <v>799</v>
      </c>
      <c r="D16" s="13">
        <v>722</v>
      </c>
      <c r="E16" s="13">
        <v>781</v>
      </c>
      <c r="F16" s="13">
        <v>776</v>
      </c>
      <c r="G16" s="13">
        <v>772</v>
      </c>
      <c r="H16" s="13">
        <v>677</v>
      </c>
      <c r="I16" s="13">
        <v>623</v>
      </c>
      <c r="J16" s="27"/>
      <c r="K16" s="13">
        <f t="shared" si="0"/>
        <v>770</v>
      </c>
      <c r="L16" s="13"/>
      <c r="M16" s="13">
        <f t="shared" si="1"/>
        <v>650</v>
      </c>
      <c r="N16" s="23">
        <v>12</v>
      </c>
      <c r="O16" s="49">
        <f t="shared" si="2"/>
        <v>-3.6000000000000227</v>
      </c>
      <c r="P16" s="9">
        <f t="shared" si="3"/>
        <v>776</v>
      </c>
      <c r="Q16" s="9"/>
    </row>
    <row r="17" spans="2:17" x14ac:dyDescent="0.2">
      <c r="B17" s="15">
        <v>13</v>
      </c>
      <c r="C17" s="12">
        <v>766</v>
      </c>
      <c r="D17" s="29">
        <v>712</v>
      </c>
      <c r="E17" s="29">
        <v>759</v>
      </c>
      <c r="F17" s="29">
        <v>763</v>
      </c>
      <c r="G17" s="12">
        <v>751</v>
      </c>
      <c r="H17" s="12">
        <v>679</v>
      </c>
      <c r="I17" s="12">
        <v>617</v>
      </c>
      <c r="J17" s="26"/>
      <c r="K17" s="12">
        <f t="shared" si="0"/>
        <v>750.2</v>
      </c>
      <c r="L17" s="12"/>
      <c r="M17" s="12">
        <f t="shared" si="1"/>
        <v>648</v>
      </c>
      <c r="N17" s="22">
        <v>13</v>
      </c>
      <c r="O17" s="48">
        <f t="shared" si="2"/>
        <v>-19.799999999999955</v>
      </c>
      <c r="P17" s="9">
        <f t="shared" si="3"/>
        <v>756.2</v>
      </c>
      <c r="Q17" s="9"/>
    </row>
    <row r="18" spans="2:17" x14ac:dyDescent="0.2">
      <c r="B18" s="15">
        <v>14</v>
      </c>
      <c r="C18" s="12">
        <v>758</v>
      </c>
      <c r="D18" s="12">
        <v>694</v>
      </c>
      <c r="E18" s="12">
        <v>790</v>
      </c>
      <c r="F18" s="12">
        <v>761</v>
      </c>
      <c r="G18" s="12">
        <v>742</v>
      </c>
      <c r="H18" s="12">
        <v>646</v>
      </c>
      <c r="I18" s="12">
        <v>613</v>
      </c>
      <c r="J18" s="26"/>
      <c r="K18" s="12">
        <f t="shared" si="0"/>
        <v>749</v>
      </c>
      <c r="L18" s="12"/>
      <c r="M18" s="12">
        <f t="shared" si="1"/>
        <v>629.5</v>
      </c>
      <c r="N18" s="22">
        <v>14</v>
      </c>
      <c r="O18" s="43">
        <f t="shared" si="2"/>
        <v>-1.2000000000000455</v>
      </c>
      <c r="P18" s="9">
        <f t="shared" si="3"/>
        <v>755</v>
      </c>
      <c r="Q18" s="9"/>
    </row>
    <row r="19" spans="2:17" x14ac:dyDescent="0.2">
      <c r="B19" s="15">
        <v>15</v>
      </c>
      <c r="C19" s="12">
        <v>774</v>
      </c>
      <c r="D19" s="12">
        <v>689</v>
      </c>
      <c r="E19" s="12">
        <v>781</v>
      </c>
      <c r="F19" s="12">
        <v>740</v>
      </c>
      <c r="G19" s="12">
        <v>738</v>
      </c>
      <c r="H19" s="12">
        <v>634</v>
      </c>
      <c r="I19" s="12">
        <v>609</v>
      </c>
      <c r="J19" s="26"/>
      <c r="K19" s="12">
        <f t="shared" si="0"/>
        <v>744.4</v>
      </c>
      <c r="L19" s="12"/>
      <c r="M19" s="12">
        <f t="shared" si="1"/>
        <v>621.5</v>
      </c>
      <c r="N19" s="22">
        <v>15</v>
      </c>
      <c r="O19" s="43">
        <f t="shared" si="2"/>
        <v>-4.6000000000000227</v>
      </c>
      <c r="P19" s="9">
        <f t="shared" si="3"/>
        <v>750.4</v>
      </c>
      <c r="Q19" s="9"/>
    </row>
    <row r="20" spans="2:17" x14ac:dyDescent="0.2">
      <c r="B20" s="16">
        <v>16</v>
      </c>
      <c r="C20" s="13">
        <v>760</v>
      </c>
      <c r="D20" s="13">
        <v>672</v>
      </c>
      <c r="E20" s="13">
        <v>770</v>
      </c>
      <c r="F20" s="13">
        <v>733</v>
      </c>
      <c r="G20" s="13">
        <v>719</v>
      </c>
      <c r="H20" s="13">
        <v>628</v>
      </c>
      <c r="I20" s="13">
        <v>605</v>
      </c>
      <c r="J20" s="27"/>
      <c r="K20" s="13">
        <f t="shared" si="0"/>
        <v>730.8</v>
      </c>
      <c r="L20" s="13"/>
      <c r="M20" s="13">
        <f t="shared" si="1"/>
        <v>616.5</v>
      </c>
      <c r="N20" s="23">
        <v>16</v>
      </c>
      <c r="O20" s="49">
        <f t="shared" si="2"/>
        <v>-13.600000000000023</v>
      </c>
      <c r="P20" s="9">
        <f t="shared" si="3"/>
        <v>736.8</v>
      </c>
      <c r="Q20" s="9"/>
    </row>
    <row r="21" spans="2:17" x14ac:dyDescent="0.2">
      <c r="B21" s="15">
        <v>17</v>
      </c>
      <c r="C21" s="12">
        <v>749</v>
      </c>
      <c r="D21" s="29">
        <v>665</v>
      </c>
      <c r="E21" s="29">
        <v>770</v>
      </c>
      <c r="F21" s="29">
        <v>718</v>
      </c>
      <c r="G21" s="12">
        <v>708</v>
      </c>
      <c r="H21" s="12">
        <v>621</v>
      </c>
      <c r="I21" s="12">
        <v>609</v>
      </c>
      <c r="J21" s="26"/>
      <c r="K21" s="12">
        <f t="shared" si="0"/>
        <v>722</v>
      </c>
      <c r="L21" s="12"/>
      <c r="M21" s="12">
        <f t="shared" si="1"/>
        <v>615</v>
      </c>
      <c r="N21" s="22">
        <v>17</v>
      </c>
      <c r="O21" s="48">
        <f t="shared" si="2"/>
        <v>-8.7999999999999545</v>
      </c>
      <c r="P21" s="9">
        <f t="shared" si="3"/>
        <v>728</v>
      </c>
      <c r="Q21" s="9"/>
    </row>
    <row r="22" spans="2:17" x14ac:dyDescent="0.2">
      <c r="B22" s="15">
        <v>18</v>
      </c>
      <c r="C22" s="12">
        <v>773</v>
      </c>
      <c r="D22" s="12">
        <v>767</v>
      </c>
      <c r="E22" s="12">
        <v>801</v>
      </c>
      <c r="F22" s="12">
        <v>733</v>
      </c>
      <c r="G22" s="12">
        <v>720</v>
      </c>
      <c r="H22" s="12">
        <v>654</v>
      </c>
      <c r="I22" s="12">
        <v>638</v>
      </c>
      <c r="J22" s="26"/>
      <c r="K22" s="12">
        <f t="shared" si="0"/>
        <v>758.8</v>
      </c>
      <c r="L22" s="12"/>
      <c r="M22" s="12">
        <f t="shared" si="1"/>
        <v>646</v>
      </c>
      <c r="N22" s="22">
        <v>18</v>
      </c>
      <c r="O22" s="43">
        <f t="shared" si="2"/>
        <v>36.799999999999955</v>
      </c>
      <c r="P22" s="9">
        <f t="shared" si="3"/>
        <v>764.8</v>
      </c>
      <c r="Q22" s="9"/>
    </row>
    <row r="23" spans="2:17" x14ac:dyDescent="0.2">
      <c r="B23" s="15">
        <v>19</v>
      </c>
      <c r="C23" s="12">
        <v>834</v>
      </c>
      <c r="D23" s="12">
        <v>812</v>
      </c>
      <c r="E23" s="12">
        <v>852</v>
      </c>
      <c r="F23" s="12">
        <v>821</v>
      </c>
      <c r="G23" s="12">
        <v>795</v>
      </c>
      <c r="H23" s="12">
        <v>723</v>
      </c>
      <c r="I23" s="12">
        <v>730</v>
      </c>
      <c r="J23" s="26"/>
      <c r="K23" s="12">
        <f t="shared" si="0"/>
        <v>822.8</v>
      </c>
      <c r="L23" s="12"/>
      <c r="M23" s="12">
        <f t="shared" si="1"/>
        <v>726.5</v>
      </c>
      <c r="N23" s="22">
        <v>19</v>
      </c>
      <c r="O23" s="43">
        <f t="shared" si="2"/>
        <v>64</v>
      </c>
      <c r="P23" s="9">
        <f t="shared" si="3"/>
        <v>828.8</v>
      </c>
      <c r="Q23" s="9"/>
    </row>
    <row r="24" spans="2:17" x14ac:dyDescent="0.2">
      <c r="B24" s="16">
        <v>20</v>
      </c>
      <c r="C24" s="13">
        <v>812</v>
      </c>
      <c r="D24" s="13">
        <v>800</v>
      </c>
      <c r="E24" s="13">
        <v>828</v>
      </c>
      <c r="F24" s="13">
        <v>816</v>
      </c>
      <c r="G24" s="13">
        <v>783</v>
      </c>
      <c r="H24" s="13">
        <v>730</v>
      </c>
      <c r="I24" s="13">
        <v>724</v>
      </c>
      <c r="J24" s="27"/>
      <c r="K24" s="13">
        <f t="shared" si="0"/>
        <v>807.8</v>
      </c>
      <c r="L24" s="13"/>
      <c r="M24" s="13">
        <f t="shared" si="1"/>
        <v>727</v>
      </c>
      <c r="N24" s="23">
        <v>20</v>
      </c>
      <c r="O24" s="49">
        <f t="shared" si="2"/>
        <v>-15</v>
      </c>
      <c r="P24" s="9">
        <f t="shared" si="3"/>
        <v>813.8</v>
      </c>
      <c r="Q24" s="9"/>
    </row>
    <row r="25" spans="2:17" x14ac:dyDescent="0.2">
      <c r="B25" s="15">
        <v>21</v>
      </c>
      <c r="C25" s="12">
        <v>815</v>
      </c>
      <c r="D25" s="12">
        <v>788</v>
      </c>
      <c r="E25" s="12">
        <v>807</v>
      </c>
      <c r="F25" s="12">
        <v>809</v>
      </c>
      <c r="G25" s="12">
        <v>773</v>
      </c>
      <c r="H25" s="12">
        <v>718</v>
      </c>
      <c r="I25" s="12">
        <v>708</v>
      </c>
      <c r="J25" s="26"/>
      <c r="K25" s="12">
        <f t="shared" si="0"/>
        <v>798.4</v>
      </c>
      <c r="L25" s="12"/>
      <c r="M25" s="12">
        <f t="shared" si="1"/>
        <v>713</v>
      </c>
      <c r="N25" s="22">
        <v>21</v>
      </c>
      <c r="O25" s="48">
        <f t="shared" si="2"/>
        <v>-9.3999999999999773</v>
      </c>
      <c r="P25" s="9"/>
      <c r="Q25" s="9"/>
    </row>
    <row r="26" spans="2:17" x14ac:dyDescent="0.2">
      <c r="B26" s="15">
        <v>22</v>
      </c>
      <c r="C26" s="12">
        <v>742</v>
      </c>
      <c r="D26" s="12">
        <v>760</v>
      </c>
      <c r="E26" s="12">
        <v>744</v>
      </c>
      <c r="F26" s="12">
        <v>758</v>
      </c>
      <c r="G26" s="12">
        <v>744</v>
      </c>
      <c r="H26" s="12">
        <v>687</v>
      </c>
      <c r="I26" s="12">
        <v>691</v>
      </c>
      <c r="J26" s="26"/>
      <c r="K26" s="12">
        <f t="shared" si="0"/>
        <v>749.6</v>
      </c>
      <c r="L26" s="12"/>
      <c r="M26" s="12">
        <f t="shared" si="1"/>
        <v>689</v>
      </c>
      <c r="N26" s="22">
        <v>22</v>
      </c>
      <c r="O26" s="43">
        <f t="shared" si="2"/>
        <v>-48.799999999999955</v>
      </c>
      <c r="P26" s="9"/>
      <c r="Q26" s="9"/>
    </row>
    <row r="27" spans="2:17" x14ac:dyDescent="0.2">
      <c r="B27" s="15">
        <v>23</v>
      </c>
      <c r="C27" s="12">
        <v>727</v>
      </c>
      <c r="D27" s="12">
        <v>674</v>
      </c>
      <c r="E27" s="12">
        <v>670</v>
      </c>
      <c r="F27" s="12">
        <v>694</v>
      </c>
      <c r="G27" s="12">
        <v>681</v>
      </c>
      <c r="H27" s="12">
        <v>654</v>
      </c>
      <c r="I27" s="12">
        <v>633</v>
      </c>
      <c r="J27" s="26"/>
      <c r="K27" s="12">
        <f t="shared" si="0"/>
        <v>689.2</v>
      </c>
      <c r="L27" s="12"/>
      <c r="M27" s="12">
        <f t="shared" si="1"/>
        <v>643.5</v>
      </c>
      <c r="N27" s="22">
        <v>23</v>
      </c>
      <c r="O27" s="43">
        <f t="shared" si="2"/>
        <v>-60.399999999999977</v>
      </c>
      <c r="P27" s="9"/>
      <c r="Q27" s="9"/>
    </row>
    <row r="28" spans="2:17" x14ac:dyDescent="0.2">
      <c r="B28" s="16">
        <v>24</v>
      </c>
      <c r="C28" s="12">
        <v>628</v>
      </c>
      <c r="D28" s="12">
        <v>630</v>
      </c>
      <c r="E28" s="12">
        <v>604</v>
      </c>
      <c r="F28" s="12">
        <v>599</v>
      </c>
      <c r="G28" s="12">
        <v>624</v>
      </c>
      <c r="H28" s="12">
        <v>593</v>
      </c>
      <c r="I28" s="12">
        <v>592</v>
      </c>
      <c r="J28" s="27"/>
      <c r="K28" s="12">
        <f t="shared" si="0"/>
        <v>617</v>
      </c>
      <c r="L28" s="13"/>
      <c r="M28" s="12">
        <f t="shared" si="1"/>
        <v>592.5</v>
      </c>
      <c r="N28" s="23">
        <v>24</v>
      </c>
      <c r="O28" s="49">
        <f t="shared" si="2"/>
        <v>-72.200000000000045</v>
      </c>
      <c r="P28" s="9"/>
      <c r="Q28" s="9"/>
    </row>
    <row r="29" spans="2:17" ht="13.5" thickBot="1" x14ac:dyDescent="0.25">
      <c r="B29" s="17" t="s">
        <v>54</v>
      </c>
      <c r="C29" s="25">
        <f>SUM(C5:C28)</f>
        <v>17040</v>
      </c>
      <c r="D29" s="25">
        <f t="shared" ref="D29:M29" si="4">SUM(D5:D28)</f>
        <v>15983</v>
      </c>
      <c r="E29" s="25">
        <f t="shared" si="4"/>
        <v>17645</v>
      </c>
      <c r="F29" s="25">
        <f t="shared" si="4"/>
        <v>17230</v>
      </c>
      <c r="G29" s="25">
        <f t="shared" si="4"/>
        <v>16846</v>
      </c>
      <c r="H29" s="25">
        <f t="shared" si="4"/>
        <v>15343</v>
      </c>
      <c r="I29" s="25">
        <f t="shared" si="4"/>
        <v>14519</v>
      </c>
      <c r="J29" s="25"/>
      <c r="K29" s="25">
        <f t="shared" si="4"/>
        <v>16948.799999999996</v>
      </c>
      <c r="L29" s="25"/>
      <c r="M29" s="25">
        <f t="shared" si="4"/>
        <v>14931</v>
      </c>
      <c r="N29" s="24"/>
      <c r="O29" s="44"/>
    </row>
    <row r="30" spans="2:17" ht="13.5" thickTop="1" x14ac:dyDescent="0.2">
      <c r="B30" t="s">
        <v>66</v>
      </c>
      <c r="C30">
        <v>75</v>
      </c>
      <c r="D30">
        <v>74</v>
      </c>
      <c r="E30">
        <v>73</v>
      </c>
      <c r="F30">
        <v>72</v>
      </c>
      <c r="G30">
        <v>70</v>
      </c>
      <c r="H30">
        <v>70</v>
      </c>
      <c r="I30">
        <v>69</v>
      </c>
      <c r="K30" s="110">
        <f>AVERAGE(C30:H30)</f>
        <v>72.333333333333329</v>
      </c>
      <c r="M30">
        <f>AVERAGE(H30:I30)</f>
        <v>69.5</v>
      </c>
    </row>
    <row r="31" spans="2:17" x14ac:dyDescent="0.2">
      <c r="B31" s="109" t="s">
        <v>67</v>
      </c>
      <c r="C31">
        <v>45</v>
      </c>
      <c r="D31">
        <v>45</v>
      </c>
      <c r="E31">
        <v>41</v>
      </c>
      <c r="F31">
        <v>41</v>
      </c>
      <c r="G31">
        <v>39</v>
      </c>
      <c r="H31">
        <v>37</v>
      </c>
      <c r="I31">
        <v>35</v>
      </c>
      <c r="K31" s="110">
        <f>AVERAGE(C31:H31)</f>
        <v>41.333333333333336</v>
      </c>
      <c r="M31" s="110">
        <f>AVERAGE(H31:I31)</f>
        <v>36</v>
      </c>
    </row>
    <row r="33" spans="2:17" ht="15.75" x14ac:dyDescent="0.25">
      <c r="G33" s="259" t="s">
        <v>56</v>
      </c>
    </row>
    <row r="34" spans="2:17" x14ac:dyDescent="0.2">
      <c r="C34">
        <f>I3+1</f>
        <v>7</v>
      </c>
      <c r="D34">
        <f t="shared" ref="D34:I34" si="5">C34+1</f>
        <v>8</v>
      </c>
      <c r="E34">
        <f t="shared" si="5"/>
        <v>9</v>
      </c>
      <c r="F34">
        <f t="shared" si="5"/>
        <v>10</v>
      </c>
      <c r="G34">
        <f t="shared" si="5"/>
        <v>11</v>
      </c>
      <c r="H34">
        <f t="shared" si="5"/>
        <v>12</v>
      </c>
      <c r="I34">
        <f t="shared" si="5"/>
        <v>13</v>
      </c>
    </row>
    <row r="35" spans="2:17" x14ac:dyDescent="0.2">
      <c r="B35" s="14" t="s">
        <v>53</v>
      </c>
      <c r="C35" s="18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51</v>
      </c>
      <c r="I35" s="18" t="s">
        <v>52</v>
      </c>
      <c r="J35" s="19"/>
      <c r="K35" s="306" t="s">
        <v>149</v>
      </c>
      <c r="L35" s="20"/>
      <c r="M35" s="306" t="s">
        <v>150</v>
      </c>
      <c r="N35" s="21" t="s">
        <v>53</v>
      </c>
      <c r="O35" s="42" t="s">
        <v>63</v>
      </c>
    </row>
    <row r="36" spans="2:17" x14ac:dyDescent="0.2">
      <c r="B36" s="31">
        <v>1</v>
      </c>
      <c r="C36" s="29">
        <v>571</v>
      </c>
      <c r="D36" s="29">
        <v>574</v>
      </c>
      <c r="E36" s="29">
        <v>569</v>
      </c>
      <c r="F36" s="29">
        <v>562</v>
      </c>
      <c r="G36" s="29">
        <v>576</v>
      </c>
      <c r="H36" s="29">
        <v>576</v>
      </c>
      <c r="I36" s="29">
        <v>555</v>
      </c>
      <c r="J36" s="30"/>
      <c r="K36" s="29">
        <f>AVERAGE(C36:G36)</f>
        <v>570.4</v>
      </c>
      <c r="L36" s="29"/>
      <c r="M36" s="29">
        <f>AVERAGE(H36:I36)</f>
        <v>565.5</v>
      </c>
      <c r="N36" s="32">
        <v>1</v>
      </c>
      <c r="O36" s="48">
        <f>K36-K59</f>
        <v>-36.800000000000068</v>
      </c>
    </row>
    <row r="37" spans="2:17" x14ac:dyDescent="0.2">
      <c r="B37" s="15">
        <v>2</v>
      </c>
      <c r="C37" s="12">
        <v>558</v>
      </c>
      <c r="D37" s="12">
        <v>560</v>
      </c>
      <c r="E37" s="12">
        <v>545</v>
      </c>
      <c r="F37" s="12">
        <v>547</v>
      </c>
      <c r="G37" s="12">
        <v>565</v>
      </c>
      <c r="H37" s="12">
        <v>565</v>
      </c>
      <c r="I37" s="12">
        <v>554</v>
      </c>
      <c r="J37" s="26"/>
      <c r="K37" s="12">
        <f t="shared" ref="K37:K59" si="6">AVERAGE(C37:G37)</f>
        <v>555</v>
      </c>
      <c r="L37" s="12"/>
      <c r="M37" s="12">
        <f t="shared" ref="M37:M59" si="7">AVERAGE(H37:I37)</f>
        <v>559.5</v>
      </c>
      <c r="N37" s="22">
        <v>2</v>
      </c>
      <c r="O37" s="43">
        <f>K37-K36</f>
        <v>-15.399999999999977</v>
      </c>
    </row>
    <row r="38" spans="2:17" x14ac:dyDescent="0.2">
      <c r="B38" s="15">
        <v>3</v>
      </c>
      <c r="C38" s="12">
        <v>541</v>
      </c>
      <c r="D38" s="12">
        <v>559</v>
      </c>
      <c r="E38" s="12">
        <v>538</v>
      </c>
      <c r="F38" s="12">
        <v>535</v>
      </c>
      <c r="G38" s="12">
        <v>556</v>
      </c>
      <c r="H38" s="12">
        <v>556</v>
      </c>
      <c r="I38" s="12">
        <v>534</v>
      </c>
      <c r="J38" s="26"/>
      <c r="K38" s="12">
        <f t="shared" si="6"/>
        <v>545.79999999999995</v>
      </c>
      <c r="L38" s="12"/>
      <c r="M38" s="12">
        <f t="shared" si="7"/>
        <v>545</v>
      </c>
      <c r="N38" s="22">
        <v>3</v>
      </c>
      <c r="O38" s="43">
        <f t="shared" ref="O38:O59" si="8">K38-K37</f>
        <v>-9.2000000000000455</v>
      </c>
    </row>
    <row r="39" spans="2:17" x14ac:dyDescent="0.2">
      <c r="B39" s="16">
        <v>4</v>
      </c>
      <c r="C39" s="13">
        <v>542</v>
      </c>
      <c r="D39" s="13">
        <v>559</v>
      </c>
      <c r="E39" s="13">
        <v>539</v>
      </c>
      <c r="F39" s="13">
        <v>531</v>
      </c>
      <c r="G39" s="13">
        <v>536</v>
      </c>
      <c r="H39" s="13">
        <v>536</v>
      </c>
      <c r="I39" s="13">
        <v>525</v>
      </c>
      <c r="J39" s="27"/>
      <c r="K39" s="13">
        <f t="shared" si="6"/>
        <v>541.4</v>
      </c>
      <c r="L39" s="13"/>
      <c r="M39" s="13">
        <f t="shared" si="7"/>
        <v>530.5</v>
      </c>
      <c r="N39" s="23">
        <v>4</v>
      </c>
      <c r="O39" s="49">
        <f t="shared" si="8"/>
        <v>-4.3999999999999773</v>
      </c>
    </row>
    <row r="40" spans="2:17" x14ac:dyDescent="0.2">
      <c r="B40" s="31">
        <v>5</v>
      </c>
      <c r="C40" s="29">
        <v>545</v>
      </c>
      <c r="D40" s="29">
        <v>573</v>
      </c>
      <c r="E40" s="29">
        <v>543</v>
      </c>
      <c r="F40" s="29">
        <v>534</v>
      </c>
      <c r="G40" s="29">
        <v>570</v>
      </c>
      <c r="H40" s="29">
        <v>570</v>
      </c>
      <c r="I40" s="29">
        <v>543</v>
      </c>
      <c r="J40" s="30"/>
      <c r="K40" s="29">
        <f t="shared" si="6"/>
        <v>553</v>
      </c>
      <c r="L40" s="29"/>
      <c r="M40" s="29">
        <f t="shared" si="7"/>
        <v>556.5</v>
      </c>
      <c r="N40" s="32">
        <v>5</v>
      </c>
      <c r="O40" s="45">
        <f t="shared" si="8"/>
        <v>11.600000000000023</v>
      </c>
      <c r="P40" s="33"/>
      <c r="Q40" s="33"/>
    </row>
    <row r="41" spans="2:17" x14ac:dyDescent="0.2">
      <c r="B41" s="15">
        <v>6</v>
      </c>
      <c r="C41" s="12">
        <v>618</v>
      </c>
      <c r="D41" s="12">
        <v>618</v>
      </c>
      <c r="E41" s="12">
        <v>623</v>
      </c>
      <c r="F41" s="12">
        <v>587</v>
      </c>
      <c r="G41" s="12">
        <v>629</v>
      </c>
      <c r="H41" s="12">
        <v>629</v>
      </c>
      <c r="I41" s="12">
        <v>550</v>
      </c>
      <c r="J41" s="26"/>
      <c r="K41" s="12">
        <f t="shared" si="6"/>
        <v>615</v>
      </c>
      <c r="L41" s="12"/>
      <c r="M41" s="12">
        <f t="shared" si="7"/>
        <v>589.5</v>
      </c>
      <c r="N41" s="22">
        <v>6</v>
      </c>
      <c r="O41" s="46">
        <f t="shared" si="8"/>
        <v>62</v>
      </c>
      <c r="P41" s="33">
        <v>650</v>
      </c>
      <c r="Q41" s="33"/>
    </row>
    <row r="42" spans="2:17" x14ac:dyDescent="0.2">
      <c r="B42" s="15">
        <v>7</v>
      </c>
      <c r="C42" s="12">
        <v>737</v>
      </c>
      <c r="D42" s="12">
        <v>748</v>
      </c>
      <c r="E42" s="12">
        <v>696</v>
      </c>
      <c r="F42" s="12">
        <v>689</v>
      </c>
      <c r="G42" s="12">
        <v>714</v>
      </c>
      <c r="H42" s="12">
        <v>714</v>
      </c>
      <c r="I42" s="12">
        <v>560</v>
      </c>
      <c r="J42" s="26"/>
      <c r="K42" s="12">
        <f t="shared" si="6"/>
        <v>716.8</v>
      </c>
      <c r="L42" s="12"/>
      <c r="M42" s="12">
        <f t="shared" si="7"/>
        <v>637</v>
      </c>
      <c r="N42" s="22">
        <v>7</v>
      </c>
      <c r="O42" s="46">
        <f t="shared" si="8"/>
        <v>101.79999999999995</v>
      </c>
      <c r="P42" s="33">
        <f>P41+O42</f>
        <v>751.8</v>
      </c>
      <c r="Q42" s="33"/>
    </row>
    <row r="43" spans="2:17" x14ac:dyDescent="0.2">
      <c r="B43" s="16">
        <v>8</v>
      </c>
      <c r="C43" s="13">
        <v>754</v>
      </c>
      <c r="D43" s="13">
        <v>774</v>
      </c>
      <c r="E43" s="13">
        <v>756</v>
      </c>
      <c r="F43" s="13">
        <v>709</v>
      </c>
      <c r="G43" s="13">
        <v>720</v>
      </c>
      <c r="H43" s="13">
        <v>720</v>
      </c>
      <c r="I43" s="13">
        <v>564</v>
      </c>
      <c r="J43" s="27"/>
      <c r="K43" s="13">
        <f t="shared" si="6"/>
        <v>742.6</v>
      </c>
      <c r="L43" s="13"/>
      <c r="M43" s="13">
        <f t="shared" si="7"/>
        <v>642</v>
      </c>
      <c r="N43" s="23">
        <v>8</v>
      </c>
      <c r="O43" s="47">
        <f t="shared" si="8"/>
        <v>25.800000000000068</v>
      </c>
      <c r="P43" s="33">
        <f>P42+O43</f>
        <v>777.6</v>
      </c>
      <c r="Q43" s="33"/>
    </row>
    <row r="44" spans="2:17" x14ac:dyDescent="0.2">
      <c r="B44" s="15">
        <v>9</v>
      </c>
      <c r="C44" s="12">
        <v>766</v>
      </c>
      <c r="D44" s="12">
        <v>786</v>
      </c>
      <c r="E44" s="12">
        <v>756</v>
      </c>
      <c r="F44" s="12">
        <v>736</v>
      </c>
      <c r="G44" s="12">
        <v>740</v>
      </c>
      <c r="H44" s="12">
        <v>740</v>
      </c>
      <c r="I44" s="12">
        <v>588</v>
      </c>
      <c r="J44" s="26"/>
      <c r="K44" s="12">
        <f t="shared" si="6"/>
        <v>756.8</v>
      </c>
      <c r="L44" s="12"/>
      <c r="M44" s="12">
        <f t="shared" si="7"/>
        <v>664</v>
      </c>
      <c r="N44" s="22">
        <v>9</v>
      </c>
      <c r="O44" s="48">
        <f t="shared" si="8"/>
        <v>14.199999999999932</v>
      </c>
      <c r="P44" s="33">
        <f>P43+O44</f>
        <v>791.8</v>
      </c>
      <c r="Q44" s="33"/>
    </row>
    <row r="45" spans="2:17" x14ac:dyDescent="0.2">
      <c r="B45" s="15">
        <v>10</v>
      </c>
      <c r="C45" s="12">
        <v>785</v>
      </c>
      <c r="D45" s="12">
        <v>773</v>
      </c>
      <c r="E45" s="12">
        <v>760</v>
      </c>
      <c r="F45" s="12">
        <v>751</v>
      </c>
      <c r="G45" s="12">
        <v>766</v>
      </c>
      <c r="H45" s="12">
        <v>766</v>
      </c>
      <c r="I45" s="12">
        <v>627</v>
      </c>
      <c r="J45" s="26"/>
      <c r="K45" s="12">
        <f t="shared" si="6"/>
        <v>767</v>
      </c>
      <c r="L45" s="12"/>
      <c r="M45" s="12">
        <f t="shared" si="7"/>
        <v>696.5</v>
      </c>
      <c r="N45" s="22">
        <v>10</v>
      </c>
      <c r="O45" s="43">
        <f t="shared" si="8"/>
        <v>10.200000000000045</v>
      </c>
      <c r="P45" s="33">
        <f t="shared" ref="P45:P56" si="9">P44+O45</f>
        <v>802</v>
      </c>
      <c r="Q45" s="33"/>
    </row>
    <row r="46" spans="2:17" x14ac:dyDescent="0.2">
      <c r="B46" s="15">
        <v>11</v>
      </c>
      <c r="C46" s="12">
        <v>780</v>
      </c>
      <c r="D46" s="12">
        <v>791</v>
      </c>
      <c r="E46" s="12">
        <v>763</v>
      </c>
      <c r="F46" s="12">
        <v>760</v>
      </c>
      <c r="G46" s="12">
        <v>771</v>
      </c>
      <c r="H46" s="12">
        <v>771</v>
      </c>
      <c r="I46" s="12">
        <v>626</v>
      </c>
      <c r="J46" s="26"/>
      <c r="K46" s="12">
        <f t="shared" si="6"/>
        <v>773</v>
      </c>
      <c r="L46" s="12"/>
      <c r="M46" s="12">
        <f t="shared" si="7"/>
        <v>698.5</v>
      </c>
      <c r="N46" s="22">
        <v>11</v>
      </c>
      <c r="O46" s="43">
        <f t="shared" si="8"/>
        <v>6</v>
      </c>
      <c r="P46" s="33">
        <f t="shared" si="9"/>
        <v>808</v>
      </c>
      <c r="Q46" s="33"/>
    </row>
    <row r="47" spans="2:17" x14ac:dyDescent="0.2">
      <c r="B47" s="16">
        <v>12</v>
      </c>
      <c r="C47" s="13">
        <v>785</v>
      </c>
      <c r="D47" s="13">
        <v>780</v>
      </c>
      <c r="E47" s="13">
        <v>763</v>
      </c>
      <c r="F47" s="13">
        <v>758</v>
      </c>
      <c r="G47" s="13">
        <v>781</v>
      </c>
      <c r="H47" s="13">
        <v>781</v>
      </c>
      <c r="I47" s="13">
        <v>651</v>
      </c>
      <c r="J47" s="27"/>
      <c r="K47" s="13">
        <f t="shared" si="6"/>
        <v>773.4</v>
      </c>
      <c r="L47" s="13"/>
      <c r="M47" s="13">
        <f t="shared" si="7"/>
        <v>716</v>
      </c>
      <c r="N47" s="23">
        <v>12</v>
      </c>
      <c r="O47" s="49">
        <f t="shared" si="8"/>
        <v>0.39999999999997726</v>
      </c>
      <c r="P47" s="33">
        <f t="shared" si="9"/>
        <v>808.4</v>
      </c>
      <c r="Q47" s="33"/>
    </row>
    <row r="48" spans="2:17" x14ac:dyDescent="0.2">
      <c r="B48" s="15">
        <v>13</v>
      </c>
      <c r="C48" s="12">
        <v>773</v>
      </c>
      <c r="D48" s="12">
        <v>752</v>
      </c>
      <c r="E48" s="12">
        <v>754</v>
      </c>
      <c r="F48" s="12">
        <v>746</v>
      </c>
      <c r="G48" s="12">
        <v>757</v>
      </c>
      <c r="H48" s="12">
        <v>757</v>
      </c>
      <c r="I48" s="12">
        <v>644</v>
      </c>
      <c r="J48" s="26"/>
      <c r="K48" s="12">
        <f t="shared" si="6"/>
        <v>756.4</v>
      </c>
      <c r="L48" s="12"/>
      <c r="M48" s="12">
        <f t="shared" si="7"/>
        <v>700.5</v>
      </c>
      <c r="N48" s="22">
        <v>13</v>
      </c>
      <c r="O48" s="48">
        <f t="shared" si="8"/>
        <v>-17</v>
      </c>
      <c r="P48" s="33">
        <f t="shared" si="9"/>
        <v>791.4</v>
      </c>
      <c r="Q48" s="33"/>
    </row>
    <row r="49" spans="1:17" x14ac:dyDescent="0.2">
      <c r="B49" s="15">
        <v>14</v>
      </c>
      <c r="C49" s="12">
        <v>783</v>
      </c>
      <c r="D49" s="12">
        <v>759</v>
      </c>
      <c r="E49" s="12">
        <v>762</v>
      </c>
      <c r="F49" s="12">
        <v>751</v>
      </c>
      <c r="G49" s="12">
        <v>772</v>
      </c>
      <c r="H49" s="12">
        <v>772</v>
      </c>
      <c r="I49" s="12">
        <v>621</v>
      </c>
      <c r="J49" s="26"/>
      <c r="K49" s="12">
        <f t="shared" si="6"/>
        <v>765.4</v>
      </c>
      <c r="L49" s="12"/>
      <c r="M49" s="12">
        <f t="shared" si="7"/>
        <v>696.5</v>
      </c>
      <c r="N49" s="22">
        <v>14</v>
      </c>
      <c r="O49" s="43">
        <f t="shared" si="8"/>
        <v>9</v>
      </c>
      <c r="P49" s="33">
        <f t="shared" si="9"/>
        <v>800.4</v>
      </c>
      <c r="Q49" s="33"/>
    </row>
    <row r="50" spans="1:17" x14ac:dyDescent="0.2">
      <c r="B50" s="15">
        <v>15</v>
      </c>
      <c r="C50" s="12">
        <v>780</v>
      </c>
      <c r="D50" s="12">
        <v>755</v>
      </c>
      <c r="E50" s="12">
        <v>756</v>
      </c>
      <c r="F50" s="12">
        <v>738</v>
      </c>
      <c r="G50" s="12">
        <v>760</v>
      </c>
      <c r="H50" s="12">
        <v>760</v>
      </c>
      <c r="I50" s="12">
        <v>617</v>
      </c>
      <c r="J50" s="26"/>
      <c r="K50" s="12">
        <f t="shared" si="6"/>
        <v>757.8</v>
      </c>
      <c r="L50" s="12"/>
      <c r="M50" s="12">
        <f t="shared" si="7"/>
        <v>688.5</v>
      </c>
      <c r="N50" s="22">
        <v>15</v>
      </c>
      <c r="O50" s="43">
        <f t="shared" si="8"/>
        <v>-7.6000000000000227</v>
      </c>
      <c r="P50" s="33">
        <f t="shared" si="9"/>
        <v>792.8</v>
      </c>
      <c r="Q50" s="33"/>
    </row>
    <row r="51" spans="1:17" x14ac:dyDescent="0.2">
      <c r="B51" s="16">
        <v>16</v>
      </c>
      <c r="C51" s="13">
        <v>763</v>
      </c>
      <c r="D51" s="13">
        <v>755</v>
      </c>
      <c r="E51" s="13">
        <v>754</v>
      </c>
      <c r="F51" s="13">
        <v>736</v>
      </c>
      <c r="G51" s="13">
        <v>749</v>
      </c>
      <c r="H51" s="13">
        <v>749</v>
      </c>
      <c r="I51" s="13">
        <v>615</v>
      </c>
      <c r="J51" s="27"/>
      <c r="K51" s="13">
        <f t="shared" si="6"/>
        <v>751.4</v>
      </c>
      <c r="L51" s="13"/>
      <c r="M51" s="13">
        <f t="shared" si="7"/>
        <v>682</v>
      </c>
      <c r="N51" s="23">
        <v>16</v>
      </c>
      <c r="O51" s="49">
        <f t="shared" si="8"/>
        <v>-6.3999999999999773</v>
      </c>
      <c r="P51" s="33">
        <f t="shared" si="9"/>
        <v>786.4</v>
      </c>
      <c r="Q51" s="33"/>
    </row>
    <row r="52" spans="1:17" x14ac:dyDescent="0.2">
      <c r="B52" s="15">
        <v>17</v>
      </c>
      <c r="C52" s="12">
        <v>754</v>
      </c>
      <c r="D52" s="12">
        <v>738</v>
      </c>
      <c r="E52" s="12">
        <v>738</v>
      </c>
      <c r="F52" s="12">
        <v>723</v>
      </c>
      <c r="G52" s="12">
        <v>721</v>
      </c>
      <c r="H52" s="12">
        <v>721</v>
      </c>
      <c r="I52" s="12">
        <v>622</v>
      </c>
      <c r="J52" s="26"/>
      <c r="K52" s="12">
        <f t="shared" si="6"/>
        <v>734.8</v>
      </c>
      <c r="L52" s="12"/>
      <c r="M52" s="12">
        <f t="shared" si="7"/>
        <v>671.5</v>
      </c>
      <c r="N52" s="22">
        <v>17</v>
      </c>
      <c r="O52" s="48">
        <f t="shared" si="8"/>
        <v>-16.600000000000023</v>
      </c>
      <c r="P52" s="33">
        <f t="shared" si="9"/>
        <v>769.8</v>
      </c>
      <c r="Q52" s="33"/>
    </row>
    <row r="53" spans="1:17" x14ac:dyDescent="0.2">
      <c r="B53" s="15">
        <v>18</v>
      </c>
      <c r="C53" s="12">
        <v>765</v>
      </c>
      <c r="D53" s="12">
        <v>781</v>
      </c>
      <c r="E53" s="12">
        <v>744</v>
      </c>
      <c r="F53" s="12">
        <v>719</v>
      </c>
      <c r="G53" s="12">
        <v>719</v>
      </c>
      <c r="H53" s="12">
        <v>719</v>
      </c>
      <c r="I53" s="12">
        <v>642</v>
      </c>
      <c r="J53" s="26"/>
      <c r="K53" s="12">
        <f t="shared" si="6"/>
        <v>745.6</v>
      </c>
      <c r="L53" s="12"/>
      <c r="M53" s="12">
        <f t="shared" si="7"/>
        <v>680.5</v>
      </c>
      <c r="N53" s="22">
        <v>18</v>
      </c>
      <c r="O53" s="43">
        <f t="shared" si="8"/>
        <v>10.800000000000068</v>
      </c>
      <c r="P53" s="33">
        <f t="shared" si="9"/>
        <v>780.6</v>
      </c>
      <c r="Q53" s="33"/>
    </row>
    <row r="54" spans="1:17" x14ac:dyDescent="0.2">
      <c r="B54" s="15">
        <v>19</v>
      </c>
      <c r="C54" s="12">
        <v>827</v>
      </c>
      <c r="D54" s="12">
        <v>833</v>
      </c>
      <c r="E54" s="12">
        <v>825</v>
      </c>
      <c r="F54" s="12">
        <v>803</v>
      </c>
      <c r="G54" s="12">
        <v>778</v>
      </c>
      <c r="H54" s="12">
        <v>778</v>
      </c>
      <c r="I54" s="12">
        <v>740</v>
      </c>
      <c r="J54" s="26"/>
      <c r="K54" s="12">
        <f t="shared" si="6"/>
        <v>813.2</v>
      </c>
      <c r="L54" s="12"/>
      <c r="M54" s="12">
        <f t="shared" si="7"/>
        <v>759</v>
      </c>
      <c r="N54" s="22">
        <v>19</v>
      </c>
      <c r="O54" s="43">
        <f t="shared" si="8"/>
        <v>67.600000000000023</v>
      </c>
      <c r="P54" s="33">
        <f t="shared" si="9"/>
        <v>848.2</v>
      </c>
      <c r="Q54" s="33"/>
    </row>
    <row r="55" spans="1:17" x14ac:dyDescent="0.2">
      <c r="B55" s="16">
        <v>20</v>
      </c>
      <c r="C55" s="13">
        <v>832</v>
      </c>
      <c r="D55" s="13">
        <v>807</v>
      </c>
      <c r="E55" s="13">
        <v>808</v>
      </c>
      <c r="F55" s="13">
        <v>794</v>
      </c>
      <c r="G55" s="13">
        <v>754</v>
      </c>
      <c r="H55" s="13">
        <v>754</v>
      </c>
      <c r="I55" s="13">
        <v>754</v>
      </c>
      <c r="J55" s="27"/>
      <c r="K55" s="13">
        <f t="shared" si="6"/>
        <v>799</v>
      </c>
      <c r="L55" s="13"/>
      <c r="M55" s="13">
        <f t="shared" si="7"/>
        <v>754</v>
      </c>
      <c r="N55" s="23">
        <v>20</v>
      </c>
      <c r="O55" s="49">
        <f t="shared" si="8"/>
        <v>-14.200000000000045</v>
      </c>
      <c r="P55" s="33">
        <f t="shared" si="9"/>
        <v>834</v>
      </c>
      <c r="Q55" s="33"/>
    </row>
    <row r="56" spans="1:17" x14ac:dyDescent="0.2">
      <c r="B56" s="15">
        <v>21</v>
      </c>
      <c r="C56" s="12">
        <v>804</v>
      </c>
      <c r="D56" s="12">
        <v>779</v>
      </c>
      <c r="E56" s="12">
        <v>784</v>
      </c>
      <c r="F56" s="12">
        <v>785</v>
      </c>
      <c r="G56" s="12">
        <v>740</v>
      </c>
      <c r="H56" s="12">
        <v>740</v>
      </c>
      <c r="I56" s="12">
        <v>731</v>
      </c>
      <c r="J56" s="26"/>
      <c r="K56" s="12">
        <f t="shared" si="6"/>
        <v>778.4</v>
      </c>
      <c r="L56" s="12"/>
      <c r="M56" s="12">
        <f t="shared" si="7"/>
        <v>735.5</v>
      </c>
      <c r="N56" s="22">
        <v>21</v>
      </c>
      <c r="O56" s="48">
        <f t="shared" si="8"/>
        <v>-20.600000000000023</v>
      </c>
      <c r="P56" s="33">
        <f t="shared" si="9"/>
        <v>813.4</v>
      </c>
      <c r="Q56" s="33"/>
    </row>
    <row r="57" spans="1:17" x14ac:dyDescent="0.2">
      <c r="B57" s="15">
        <v>22</v>
      </c>
      <c r="C57" s="12">
        <v>761</v>
      </c>
      <c r="D57" s="12">
        <v>776</v>
      </c>
      <c r="E57" s="12">
        <v>751</v>
      </c>
      <c r="F57" s="12">
        <v>704</v>
      </c>
      <c r="G57" s="12">
        <v>704</v>
      </c>
      <c r="H57" s="12">
        <v>704</v>
      </c>
      <c r="I57" s="12">
        <v>721</v>
      </c>
      <c r="J57" s="26"/>
      <c r="K57" s="12">
        <f t="shared" si="6"/>
        <v>739.2</v>
      </c>
      <c r="L57" s="12"/>
      <c r="M57" s="12">
        <f t="shared" si="7"/>
        <v>712.5</v>
      </c>
      <c r="N57" s="22">
        <v>22</v>
      </c>
      <c r="O57" s="43">
        <f t="shared" si="8"/>
        <v>-39.199999999999932</v>
      </c>
      <c r="P57" s="33"/>
      <c r="Q57" s="33"/>
    </row>
    <row r="58" spans="1:17" x14ac:dyDescent="0.2">
      <c r="B58" s="15">
        <v>23</v>
      </c>
      <c r="C58" s="12">
        <v>683</v>
      </c>
      <c r="D58" s="12">
        <v>661</v>
      </c>
      <c r="E58" s="12">
        <v>680</v>
      </c>
      <c r="F58" s="12">
        <v>657</v>
      </c>
      <c r="G58" s="12">
        <v>660</v>
      </c>
      <c r="H58" s="12">
        <v>660</v>
      </c>
      <c r="I58" s="12">
        <v>659</v>
      </c>
      <c r="J58" s="26"/>
      <c r="K58" s="12">
        <f t="shared" si="6"/>
        <v>668.2</v>
      </c>
      <c r="L58" s="12"/>
      <c r="M58" s="12">
        <f t="shared" si="7"/>
        <v>659.5</v>
      </c>
      <c r="N58" s="22">
        <v>23</v>
      </c>
      <c r="O58" s="43">
        <f t="shared" si="8"/>
        <v>-71</v>
      </c>
      <c r="P58" s="33"/>
      <c r="Q58" s="33"/>
    </row>
    <row r="59" spans="1:17" x14ac:dyDescent="0.2">
      <c r="B59" s="16">
        <v>24</v>
      </c>
      <c r="C59" s="12">
        <v>612</v>
      </c>
      <c r="D59" s="12">
        <v>602</v>
      </c>
      <c r="E59" s="12">
        <v>598</v>
      </c>
      <c r="F59" s="12">
        <v>622</v>
      </c>
      <c r="G59" s="12">
        <v>602</v>
      </c>
      <c r="H59" s="12">
        <v>602</v>
      </c>
      <c r="I59" s="12">
        <v>602</v>
      </c>
      <c r="J59" s="27"/>
      <c r="K59" s="12">
        <f t="shared" si="6"/>
        <v>607.20000000000005</v>
      </c>
      <c r="L59" s="13"/>
      <c r="M59" s="12">
        <f t="shared" si="7"/>
        <v>602</v>
      </c>
      <c r="N59" s="23">
        <v>24</v>
      </c>
      <c r="O59" s="49">
        <f t="shared" si="8"/>
        <v>-61</v>
      </c>
      <c r="P59" s="33"/>
    </row>
    <row r="60" spans="1:17" ht="13.5" thickBot="1" x14ac:dyDescent="0.25">
      <c r="B60" s="17" t="s">
        <v>54</v>
      </c>
      <c r="C60" s="25">
        <f t="shared" ref="C60:I60" si="10">SUM(C36:C59)</f>
        <v>17119</v>
      </c>
      <c r="D60" s="25">
        <f t="shared" si="10"/>
        <v>17093</v>
      </c>
      <c r="E60" s="25">
        <f t="shared" si="10"/>
        <v>16805</v>
      </c>
      <c r="F60" s="25">
        <f t="shared" si="10"/>
        <v>16477</v>
      </c>
      <c r="G60" s="25">
        <f t="shared" si="10"/>
        <v>16640</v>
      </c>
      <c r="H60" s="25">
        <f t="shared" si="10"/>
        <v>16640</v>
      </c>
      <c r="I60" s="25">
        <f t="shared" si="10"/>
        <v>14845</v>
      </c>
      <c r="J60" s="25"/>
      <c r="K60" s="25">
        <f>SUM(K36:K59)</f>
        <v>16826.8</v>
      </c>
      <c r="L60" s="25"/>
      <c r="M60" s="25">
        <f>SUM(M36:M59)</f>
        <v>15742.5</v>
      </c>
      <c r="N60" s="24"/>
      <c r="O60" s="44"/>
    </row>
    <row r="61" spans="1:17" ht="13.5" thickTop="1" x14ac:dyDescent="0.2">
      <c r="B61" t="s">
        <v>66</v>
      </c>
      <c r="C61">
        <v>55</v>
      </c>
      <c r="D61">
        <v>50</v>
      </c>
      <c r="E61">
        <v>51</v>
      </c>
      <c r="F61">
        <v>55</v>
      </c>
      <c r="G61">
        <v>60</v>
      </c>
      <c r="H61">
        <v>55</v>
      </c>
      <c r="I61">
        <v>58</v>
      </c>
      <c r="K61" s="110">
        <f>AVERAGE(C61:H61)</f>
        <v>54.333333333333336</v>
      </c>
      <c r="M61">
        <f>AVERAGE(H61:I61)</f>
        <v>56.5</v>
      </c>
    </row>
    <row r="62" spans="1:17" x14ac:dyDescent="0.2">
      <c r="B62" s="109" t="s">
        <v>67</v>
      </c>
      <c r="C62">
        <v>29</v>
      </c>
      <c r="D62">
        <v>25</v>
      </c>
      <c r="E62">
        <v>23</v>
      </c>
      <c r="F62">
        <v>26</v>
      </c>
      <c r="G62">
        <v>28</v>
      </c>
      <c r="H62">
        <v>26</v>
      </c>
      <c r="I62">
        <v>27</v>
      </c>
      <c r="K62" s="110">
        <f>AVERAGE(C62:H62)</f>
        <v>26.166666666666668</v>
      </c>
      <c r="M62" s="110">
        <f>AVERAGE(H62:I62)</f>
        <v>26.5</v>
      </c>
    </row>
    <row r="63" spans="1:17" x14ac:dyDescent="0.2">
      <c r="A63" s="10"/>
      <c r="B63" s="10"/>
      <c r="C63" s="10"/>
      <c r="D63" s="10"/>
      <c r="E63" s="10"/>
      <c r="F63" s="10"/>
      <c r="H63" s="10"/>
      <c r="I63" s="10"/>
      <c r="J63" s="10"/>
      <c r="K63" s="10"/>
      <c r="L63" s="10"/>
      <c r="M63" s="10"/>
      <c r="N63" s="10"/>
    </row>
    <row r="64" spans="1:17" ht="15.75" x14ac:dyDescent="0.25">
      <c r="G64" s="11" t="s">
        <v>58</v>
      </c>
    </row>
    <row r="65" spans="2:16" x14ac:dyDescent="0.2">
      <c r="C65">
        <f>I34+1</f>
        <v>14</v>
      </c>
      <c r="D65">
        <f t="shared" ref="D65:I65" si="11">C65+1</f>
        <v>15</v>
      </c>
      <c r="E65">
        <f t="shared" si="11"/>
        <v>16</v>
      </c>
      <c r="F65">
        <f t="shared" si="11"/>
        <v>17</v>
      </c>
      <c r="G65">
        <f t="shared" si="11"/>
        <v>18</v>
      </c>
      <c r="H65">
        <f t="shared" si="11"/>
        <v>19</v>
      </c>
      <c r="I65">
        <f t="shared" si="11"/>
        <v>20</v>
      </c>
    </row>
    <row r="66" spans="2:16" x14ac:dyDescent="0.2">
      <c r="B66" s="14" t="s">
        <v>53</v>
      </c>
      <c r="C66" s="18" t="s">
        <v>46</v>
      </c>
      <c r="D66" s="18" t="s">
        <v>47</v>
      </c>
      <c r="E66" s="18" t="s">
        <v>48</v>
      </c>
      <c r="F66" s="18" t="s">
        <v>49</v>
      </c>
      <c r="G66" s="18" t="s">
        <v>50</v>
      </c>
      <c r="H66" s="18" t="s">
        <v>51</v>
      </c>
      <c r="I66" s="18" t="s">
        <v>52</v>
      </c>
      <c r="J66" s="19"/>
      <c r="K66" s="306" t="s">
        <v>149</v>
      </c>
      <c r="L66" s="20"/>
      <c r="M66" s="306" t="s">
        <v>150</v>
      </c>
      <c r="N66" s="21" t="s">
        <v>53</v>
      </c>
      <c r="O66" s="42" t="s">
        <v>63</v>
      </c>
    </row>
    <row r="67" spans="2:16" x14ac:dyDescent="0.2">
      <c r="B67" s="31">
        <v>1</v>
      </c>
      <c r="C67" s="29">
        <v>566</v>
      </c>
      <c r="D67" s="29">
        <v>575</v>
      </c>
      <c r="E67" s="29">
        <v>617</v>
      </c>
      <c r="F67" s="29">
        <v>575</v>
      </c>
      <c r="G67" s="120">
        <v>572</v>
      </c>
      <c r="H67" s="29">
        <v>578</v>
      </c>
      <c r="I67" s="29">
        <v>563</v>
      </c>
      <c r="J67" s="30"/>
      <c r="K67" s="29">
        <f>AVERAGE(C67:G67)</f>
        <v>581</v>
      </c>
      <c r="L67" s="29"/>
      <c r="M67" s="29">
        <f>AVERAGE(H67:I67)</f>
        <v>570.5</v>
      </c>
      <c r="N67" s="32">
        <v>1</v>
      </c>
      <c r="O67" s="48">
        <f>K67-K90</f>
        <v>-44.600000000000023</v>
      </c>
    </row>
    <row r="68" spans="2:16" x14ac:dyDescent="0.2">
      <c r="B68" s="15">
        <v>2</v>
      </c>
      <c r="C68" s="12">
        <v>546</v>
      </c>
      <c r="D68" s="12">
        <v>545</v>
      </c>
      <c r="E68" s="12">
        <v>584</v>
      </c>
      <c r="F68" s="12">
        <v>529</v>
      </c>
      <c r="G68" s="34">
        <v>565</v>
      </c>
      <c r="H68" s="12">
        <v>567</v>
      </c>
      <c r="I68" s="12">
        <v>520</v>
      </c>
      <c r="J68" s="26"/>
      <c r="K68" s="12">
        <f t="shared" ref="K68:K90" si="12">AVERAGE(C68:G68)</f>
        <v>553.79999999999995</v>
      </c>
      <c r="L68" s="12"/>
      <c r="M68" s="12">
        <f t="shared" ref="M68:M90" si="13">AVERAGE(H68:I68)</f>
        <v>543.5</v>
      </c>
      <c r="N68" s="22">
        <v>2</v>
      </c>
      <c r="O68" s="43">
        <f>K68-K67</f>
        <v>-27.200000000000045</v>
      </c>
    </row>
    <row r="69" spans="2:16" x14ac:dyDescent="0.2">
      <c r="B69" s="15">
        <v>3</v>
      </c>
      <c r="C69" s="12">
        <v>541</v>
      </c>
      <c r="D69" s="12">
        <v>548</v>
      </c>
      <c r="E69" s="12">
        <v>590</v>
      </c>
      <c r="F69" s="12">
        <v>535</v>
      </c>
      <c r="G69" s="34">
        <v>560</v>
      </c>
      <c r="H69" s="12">
        <v>545</v>
      </c>
      <c r="I69" s="12">
        <v>515</v>
      </c>
      <c r="J69" s="26"/>
      <c r="K69" s="12">
        <f t="shared" si="12"/>
        <v>554.79999999999995</v>
      </c>
      <c r="L69" s="12"/>
      <c r="M69" s="12">
        <f t="shared" si="13"/>
        <v>530</v>
      </c>
      <c r="N69" s="22">
        <v>3</v>
      </c>
      <c r="O69" s="43">
        <f t="shared" ref="O69:O90" si="14">K69-K68</f>
        <v>1</v>
      </c>
    </row>
    <row r="70" spans="2:16" x14ac:dyDescent="0.2">
      <c r="B70" s="16">
        <v>4</v>
      </c>
      <c r="C70" s="13">
        <v>517</v>
      </c>
      <c r="D70" s="13">
        <v>524</v>
      </c>
      <c r="E70" s="13">
        <v>557</v>
      </c>
      <c r="F70" s="13">
        <v>540</v>
      </c>
      <c r="G70" s="121">
        <v>553</v>
      </c>
      <c r="H70" s="13">
        <v>538</v>
      </c>
      <c r="I70" s="13">
        <v>521</v>
      </c>
      <c r="J70" s="27"/>
      <c r="K70" s="13">
        <f t="shared" si="12"/>
        <v>538.20000000000005</v>
      </c>
      <c r="L70" s="13"/>
      <c r="M70" s="13">
        <f t="shared" si="13"/>
        <v>529.5</v>
      </c>
      <c r="N70" s="23">
        <v>4</v>
      </c>
      <c r="O70" s="49">
        <f t="shared" si="14"/>
        <v>-16.599999999999909</v>
      </c>
    </row>
    <row r="71" spans="2:16" x14ac:dyDescent="0.2">
      <c r="B71" s="31">
        <v>5</v>
      </c>
      <c r="C71" s="29">
        <v>538</v>
      </c>
      <c r="D71" s="29">
        <v>536</v>
      </c>
      <c r="E71" s="29">
        <v>586</v>
      </c>
      <c r="F71" s="29">
        <v>547</v>
      </c>
      <c r="G71" s="120">
        <v>563</v>
      </c>
      <c r="H71" s="29">
        <v>555</v>
      </c>
      <c r="I71" s="29">
        <v>506</v>
      </c>
      <c r="J71" s="30"/>
      <c r="K71" s="29">
        <f t="shared" si="12"/>
        <v>554</v>
      </c>
      <c r="L71" s="29"/>
      <c r="M71" s="29">
        <f t="shared" si="13"/>
        <v>530.5</v>
      </c>
      <c r="N71" s="32">
        <v>5</v>
      </c>
      <c r="O71" s="45">
        <f t="shared" si="14"/>
        <v>15.799999999999955</v>
      </c>
    </row>
    <row r="72" spans="2:16" x14ac:dyDescent="0.2">
      <c r="B72" s="15">
        <v>6</v>
      </c>
      <c r="C72" s="12">
        <v>590</v>
      </c>
      <c r="D72" s="12">
        <v>585</v>
      </c>
      <c r="E72" s="12">
        <v>641</v>
      </c>
      <c r="F72" s="12">
        <v>611</v>
      </c>
      <c r="G72" s="34">
        <v>612</v>
      </c>
      <c r="H72" s="12">
        <v>567</v>
      </c>
      <c r="I72" s="12">
        <v>490</v>
      </c>
      <c r="J72" s="26"/>
      <c r="K72" s="12">
        <f t="shared" si="12"/>
        <v>607.79999999999995</v>
      </c>
      <c r="L72" s="12"/>
      <c r="M72" s="12">
        <f t="shared" si="13"/>
        <v>528.5</v>
      </c>
      <c r="N72" s="22">
        <v>6</v>
      </c>
      <c r="O72" s="46">
        <f t="shared" si="14"/>
        <v>53.799999999999955</v>
      </c>
      <c r="P72">
        <v>630</v>
      </c>
    </row>
    <row r="73" spans="2:16" x14ac:dyDescent="0.2">
      <c r="B73" s="15">
        <v>7</v>
      </c>
      <c r="C73" s="12">
        <v>697</v>
      </c>
      <c r="D73" s="12">
        <v>658</v>
      </c>
      <c r="E73" s="12">
        <v>727</v>
      </c>
      <c r="F73" s="12">
        <v>709</v>
      </c>
      <c r="G73" s="34">
        <v>706</v>
      </c>
      <c r="H73" s="12">
        <v>607</v>
      </c>
      <c r="I73" s="12">
        <v>555</v>
      </c>
      <c r="J73" s="26"/>
      <c r="K73" s="12">
        <f t="shared" si="12"/>
        <v>699.4</v>
      </c>
      <c r="L73" s="12"/>
      <c r="M73" s="12">
        <f t="shared" si="13"/>
        <v>581</v>
      </c>
      <c r="N73" s="22">
        <v>7</v>
      </c>
      <c r="O73" s="46">
        <f t="shared" si="14"/>
        <v>91.600000000000023</v>
      </c>
      <c r="P73" s="130">
        <f>P72+O73</f>
        <v>721.6</v>
      </c>
    </row>
    <row r="74" spans="2:16" x14ac:dyDescent="0.2">
      <c r="B74" s="16">
        <v>8</v>
      </c>
      <c r="C74" s="13">
        <v>728</v>
      </c>
      <c r="D74" s="13">
        <v>728</v>
      </c>
      <c r="E74" s="13">
        <v>792</v>
      </c>
      <c r="F74" s="13">
        <v>747</v>
      </c>
      <c r="G74" s="121">
        <v>740</v>
      </c>
      <c r="H74" s="13">
        <v>614</v>
      </c>
      <c r="I74" s="13">
        <v>562</v>
      </c>
      <c r="J74" s="27"/>
      <c r="K74" s="13">
        <f t="shared" si="12"/>
        <v>747</v>
      </c>
      <c r="L74" s="13"/>
      <c r="M74" s="13">
        <f t="shared" si="13"/>
        <v>588</v>
      </c>
      <c r="N74" s="23">
        <v>8</v>
      </c>
      <c r="O74" s="47">
        <f t="shared" si="14"/>
        <v>47.600000000000023</v>
      </c>
      <c r="P74" s="130">
        <f>P73+O74</f>
        <v>769.2</v>
      </c>
    </row>
    <row r="75" spans="2:16" x14ac:dyDescent="0.2">
      <c r="B75" s="15">
        <v>9</v>
      </c>
      <c r="C75" s="12">
        <v>733</v>
      </c>
      <c r="D75" s="12">
        <v>733</v>
      </c>
      <c r="E75" s="12">
        <v>765</v>
      </c>
      <c r="F75" s="12">
        <v>759</v>
      </c>
      <c r="G75" s="34">
        <v>740</v>
      </c>
      <c r="H75" s="12">
        <v>657</v>
      </c>
      <c r="I75" s="12">
        <v>590</v>
      </c>
      <c r="J75" s="26"/>
      <c r="K75" s="12">
        <f t="shared" si="12"/>
        <v>746</v>
      </c>
      <c r="L75" s="12"/>
      <c r="M75" s="12">
        <f t="shared" si="13"/>
        <v>623.5</v>
      </c>
      <c r="N75" s="22">
        <v>9</v>
      </c>
      <c r="O75" s="48">
        <f t="shared" si="14"/>
        <v>-1</v>
      </c>
      <c r="P75" s="130">
        <f>P74+O75</f>
        <v>768.2</v>
      </c>
    </row>
    <row r="76" spans="2:16" x14ac:dyDescent="0.2">
      <c r="B76" s="15">
        <v>10</v>
      </c>
      <c r="C76" s="12">
        <v>764</v>
      </c>
      <c r="D76" s="12">
        <v>774</v>
      </c>
      <c r="E76" s="12">
        <v>780</v>
      </c>
      <c r="F76" s="12">
        <v>770</v>
      </c>
      <c r="G76" s="34">
        <v>752</v>
      </c>
      <c r="H76" s="12">
        <v>685</v>
      </c>
      <c r="I76" s="12">
        <v>600</v>
      </c>
      <c r="J76" s="26"/>
      <c r="K76" s="12">
        <f t="shared" si="12"/>
        <v>768</v>
      </c>
      <c r="L76" s="12"/>
      <c r="M76" s="12">
        <f t="shared" si="13"/>
        <v>642.5</v>
      </c>
      <c r="N76" s="22">
        <v>10</v>
      </c>
      <c r="O76" s="43">
        <f t="shared" si="14"/>
        <v>22</v>
      </c>
      <c r="P76" s="130">
        <f t="shared" ref="P76:P90" si="15">P75+O76</f>
        <v>790.2</v>
      </c>
    </row>
    <row r="77" spans="2:16" x14ac:dyDescent="0.2">
      <c r="B77" s="15">
        <v>11</v>
      </c>
      <c r="C77" s="12">
        <v>771</v>
      </c>
      <c r="D77" s="12">
        <v>794</v>
      </c>
      <c r="E77" s="12">
        <v>797</v>
      </c>
      <c r="F77" s="12">
        <v>792</v>
      </c>
      <c r="G77" s="34">
        <v>763</v>
      </c>
      <c r="H77" s="12">
        <v>670</v>
      </c>
      <c r="I77" s="12">
        <v>625</v>
      </c>
      <c r="J77" s="26"/>
      <c r="K77" s="12">
        <f t="shared" si="12"/>
        <v>783.4</v>
      </c>
      <c r="L77" s="12"/>
      <c r="M77" s="12">
        <f t="shared" si="13"/>
        <v>647.5</v>
      </c>
      <c r="N77" s="22">
        <v>11</v>
      </c>
      <c r="O77" s="43">
        <f t="shared" si="14"/>
        <v>15.399999999999977</v>
      </c>
      <c r="P77" s="130">
        <f t="shared" si="15"/>
        <v>805.6</v>
      </c>
    </row>
    <row r="78" spans="2:16" x14ac:dyDescent="0.2">
      <c r="B78" s="16">
        <v>12</v>
      </c>
      <c r="C78" s="13">
        <v>772</v>
      </c>
      <c r="D78" s="13">
        <v>783</v>
      </c>
      <c r="E78" s="13">
        <v>768</v>
      </c>
      <c r="F78" s="13">
        <v>789</v>
      </c>
      <c r="G78" s="121">
        <v>770</v>
      </c>
      <c r="H78" s="13">
        <v>682</v>
      </c>
      <c r="I78" s="13">
        <v>601</v>
      </c>
      <c r="J78" s="27"/>
      <c r="K78" s="13">
        <f t="shared" si="12"/>
        <v>776.4</v>
      </c>
      <c r="L78" s="13"/>
      <c r="M78" s="13">
        <f t="shared" si="13"/>
        <v>641.5</v>
      </c>
      <c r="N78" s="23">
        <v>12</v>
      </c>
      <c r="O78" s="49">
        <f t="shared" si="14"/>
        <v>-7</v>
      </c>
      <c r="P78" s="130">
        <f t="shared" si="15"/>
        <v>798.6</v>
      </c>
    </row>
    <row r="79" spans="2:16" x14ac:dyDescent="0.2">
      <c r="B79" s="15">
        <v>13</v>
      </c>
      <c r="C79" s="12">
        <v>764</v>
      </c>
      <c r="D79" s="12">
        <v>790</v>
      </c>
      <c r="E79" s="12">
        <v>772</v>
      </c>
      <c r="F79" s="12">
        <v>795</v>
      </c>
      <c r="G79" s="34">
        <v>764</v>
      </c>
      <c r="H79" s="12">
        <v>676</v>
      </c>
      <c r="I79" s="12">
        <v>606</v>
      </c>
      <c r="J79" s="26"/>
      <c r="K79" s="12">
        <f t="shared" si="12"/>
        <v>777</v>
      </c>
      <c r="L79" s="12"/>
      <c r="M79" s="12">
        <f t="shared" si="13"/>
        <v>641</v>
      </c>
      <c r="N79" s="22">
        <v>13</v>
      </c>
      <c r="O79" s="48">
        <f t="shared" si="14"/>
        <v>0.60000000000002274</v>
      </c>
      <c r="P79" s="130">
        <f t="shared" si="15"/>
        <v>799.2</v>
      </c>
    </row>
    <row r="80" spans="2:16" x14ac:dyDescent="0.2">
      <c r="B80" s="15">
        <v>14</v>
      </c>
      <c r="C80" s="12">
        <v>772</v>
      </c>
      <c r="D80" s="12">
        <v>793</v>
      </c>
      <c r="E80" s="12">
        <v>764</v>
      </c>
      <c r="F80" s="12">
        <v>776</v>
      </c>
      <c r="G80" s="34">
        <v>763</v>
      </c>
      <c r="H80" s="12">
        <v>654</v>
      </c>
      <c r="I80" s="12">
        <v>600</v>
      </c>
      <c r="J80" s="26"/>
      <c r="K80" s="12">
        <f t="shared" si="12"/>
        <v>773.6</v>
      </c>
      <c r="L80" s="12"/>
      <c r="M80" s="12">
        <f t="shared" si="13"/>
        <v>627</v>
      </c>
      <c r="N80" s="22">
        <v>14</v>
      </c>
      <c r="O80" s="43">
        <f t="shared" si="14"/>
        <v>-3.3999999999999773</v>
      </c>
      <c r="P80" s="130">
        <f t="shared" si="15"/>
        <v>795.80000000000007</v>
      </c>
    </row>
    <row r="81" spans="1:16" x14ac:dyDescent="0.2">
      <c r="B81" s="15">
        <v>15</v>
      </c>
      <c r="C81" s="12">
        <v>769</v>
      </c>
      <c r="D81" s="12">
        <v>792</v>
      </c>
      <c r="E81" s="12">
        <v>759</v>
      </c>
      <c r="F81" s="12">
        <v>789</v>
      </c>
      <c r="G81" s="34">
        <v>751</v>
      </c>
      <c r="H81" s="12">
        <v>643</v>
      </c>
      <c r="I81" s="12">
        <v>586</v>
      </c>
      <c r="J81" s="26"/>
      <c r="K81" s="12">
        <f t="shared" si="12"/>
        <v>772</v>
      </c>
      <c r="L81" s="12"/>
      <c r="M81" s="12">
        <f t="shared" si="13"/>
        <v>614.5</v>
      </c>
      <c r="N81" s="22">
        <v>15</v>
      </c>
      <c r="O81" s="43">
        <f t="shared" si="14"/>
        <v>-1.6000000000000227</v>
      </c>
      <c r="P81" s="130">
        <f t="shared" si="15"/>
        <v>794.2</v>
      </c>
    </row>
    <row r="82" spans="1:16" x14ac:dyDescent="0.2">
      <c r="B82" s="16">
        <v>16</v>
      </c>
      <c r="C82" s="13">
        <v>763</v>
      </c>
      <c r="D82" s="13">
        <v>782</v>
      </c>
      <c r="E82" s="13">
        <v>752</v>
      </c>
      <c r="F82" s="13">
        <v>783</v>
      </c>
      <c r="G82" s="121">
        <v>728</v>
      </c>
      <c r="H82" s="13">
        <v>643</v>
      </c>
      <c r="I82" s="13">
        <v>601</v>
      </c>
      <c r="J82" s="27"/>
      <c r="K82" s="13">
        <f t="shared" si="12"/>
        <v>761.6</v>
      </c>
      <c r="L82" s="13"/>
      <c r="M82" s="13">
        <f t="shared" si="13"/>
        <v>622</v>
      </c>
      <c r="N82" s="23">
        <v>16</v>
      </c>
      <c r="O82" s="49">
        <f t="shared" si="14"/>
        <v>-10.399999999999977</v>
      </c>
      <c r="P82" s="130">
        <f t="shared" si="15"/>
        <v>783.80000000000007</v>
      </c>
    </row>
    <row r="83" spans="1:16" x14ac:dyDescent="0.2">
      <c r="B83" s="15">
        <v>17</v>
      </c>
      <c r="C83" s="12">
        <v>742</v>
      </c>
      <c r="D83" s="12">
        <v>791</v>
      </c>
      <c r="E83" s="12">
        <v>751</v>
      </c>
      <c r="F83" s="12">
        <v>785</v>
      </c>
      <c r="G83" s="34">
        <v>699</v>
      </c>
      <c r="H83" s="12">
        <v>649</v>
      </c>
      <c r="I83" s="12">
        <v>599</v>
      </c>
      <c r="J83" s="26"/>
      <c r="K83" s="12">
        <f t="shared" si="12"/>
        <v>753.6</v>
      </c>
      <c r="L83" s="12"/>
      <c r="M83" s="12">
        <f t="shared" si="13"/>
        <v>624</v>
      </c>
      <c r="N83" s="22">
        <v>17</v>
      </c>
      <c r="O83" s="48">
        <f t="shared" si="14"/>
        <v>-8</v>
      </c>
      <c r="P83" s="130">
        <f t="shared" si="15"/>
        <v>775.80000000000007</v>
      </c>
    </row>
    <row r="84" spans="1:16" x14ac:dyDescent="0.2">
      <c r="B84" s="15">
        <v>18</v>
      </c>
      <c r="C84" s="12">
        <v>735</v>
      </c>
      <c r="D84" s="12">
        <v>783</v>
      </c>
      <c r="E84" s="12">
        <v>790</v>
      </c>
      <c r="F84" s="12">
        <v>766</v>
      </c>
      <c r="G84" s="34">
        <v>714</v>
      </c>
      <c r="H84" s="12">
        <v>664</v>
      </c>
      <c r="I84" s="12">
        <v>638</v>
      </c>
      <c r="J84" s="26"/>
      <c r="K84" s="12">
        <f t="shared" si="12"/>
        <v>757.6</v>
      </c>
      <c r="L84" s="12"/>
      <c r="M84" s="12">
        <f t="shared" si="13"/>
        <v>651</v>
      </c>
      <c r="N84" s="22">
        <v>18</v>
      </c>
      <c r="O84" s="43">
        <f t="shared" si="14"/>
        <v>4</v>
      </c>
      <c r="P84" s="130">
        <f t="shared" si="15"/>
        <v>779.80000000000007</v>
      </c>
    </row>
    <row r="85" spans="1:16" x14ac:dyDescent="0.2">
      <c r="B85" s="15">
        <v>19</v>
      </c>
      <c r="C85" s="12">
        <v>814</v>
      </c>
      <c r="D85" s="12">
        <v>832</v>
      </c>
      <c r="E85" s="12">
        <v>851</v>
      </c>
      <c r="F85" s="12">
        <v>842</v>
      </c>
      <c r="G85" s="34">
        <v>787</v>
      </c>
      <c r="H85" s="12">
        <v>738</v>
      </c>
      <c r="I85" s="12">
        <v>713</v>
      </c>
      <c r="J85" s="26"/>
      <c r="K85" s="12">
        <f t="shared" si="12"/>
        <v>825.2</v>
      </c>
      <c r="L85" s="12"/>
      <c r="M85" s="12">
        <f t="shared" si="13"/>
        <v>725.5</v>
      </c>
      <c r="N85" s="22">
        <v>19</v>
      </c>
      <c r="O85" s="43">
        <f t="shared" si="14"/>
        <v>67.600000000000023</v>
      </c>
      <c r="P85" s="130">
        <f t="shared" si="15"/>
        <v>847.40000000000009</v>
      </c>
    </row>
    <row r="86" spans="1:16" x14ac:dyDescent="0.2">
      <c r="B86" s="16">
        <v>20</v>
      </c>
      <c r="C86" s="13">
        <v>825</v>
      </c>
      <c r="D86" s="13">
        <v>824</v>
      </c>
      <c r="E86" s="13">
        <v>837</v>
      </c>
      <c r="F86" s="13">
        <v>829</v>
      </c>
      <c r="G86" s="121">
        <v>756</v>
      </c>
      <c r="H86" s="13">
        <v>722</v>
      </c>
      <c r="I86" s="13">
        <v>717</v>
      </c>
      <c r="J86" s="27"/>
      <c r="K86" s="13">
        <f t="shared" si="12"/>
        <v>814.2</v>
      </c>
      <c r="L86" s="13"/>
      <c r="M86" s="13">
        <f t="shared" si="13"/>
        <v>719.5</v>
      </c>
      <c r="N86" s="23">
        <v>20</v>
      </c>
      <c r="O86" s="49">
        <f t="shared" si="14"/>
        <v>-11</v>
      </c>
      <c r="P86" s="130">
        <f t="shared" si="15"/>
        <v>836.40000000000009</v>
      </c>
    </row>
    <row r="87" spans="1:16" x14ac:dyDescent="0.2">
      <c r="B87" s="15">
        <v>21</v>
      </c>
      <c r="C87" s="12">
        <v>801</v>
      </c>
      <c r="D87" s="12">
        <v>822</v>
      </c>
      <c r="E87" s="12">
        <v>823</v>
      </c>
      <c r="F87" s="12">
        <v>812</v>
      </c>
      <c r="G87" s="34">
        <v>752</v>
      </c>
      <c r="H87" s="12">
        <v>707</v>
      </c>
      <c r="I87" s="12">
        <v>713</v>
      </c>
      <c r="J87" s="26"/>
      <c r="K87" s="12">
        <f t="shared" si="12"/>
        <v>802</v>
      </c>
      <c r="L87" s="12"/>
      <c r="M87" s="12">
        <f t="shared" si="13"/>
        <v>710</v>
      </c>
      <c r="N87" s="22">
        <v>21</v>
      </c>
      <c r="O87" s="48">
        <f t="shared" si="14"/>
        <v>-12.200000000000045</v>
      </c>
      <c r="P87" s="130">
        <f t="shared" si="15"/>
        <v>824.2</v>
      </c>
    </row>
    <row r="88" spans="1:16" x14ac:dyDescent="0.2">
      <c r="B88" s="15">
        <v>22</v>
      </c>
      <c r="C88" s="12">
        <v>738</v>
      </c>
      <c r="D88" s="12">
        <v>774</v>
      </c>
      <c r="E88" s="12">
        <v>778</v>
      </c>
      <c r="F88" s="12">
        <v>768</v>
      </c>
      <c r="G88" s="34">
        <v>710</v>
      </c>
      <c r="H88" s="12">
        <v>692</v>
      </c>
      <c r="I88" s="12">
        <v>689</v>
      </c>
      <c r="J88" s="26"/>
      <c r="K88" s="12">
        <f t="shared" si="12"/>
        <v>753.6</v>
      </c>
      <c r="L88" s="12"/>
      <c r="M88" s="12">
        <f t="shared" si="13"/>
        <v>690.5</v>
      </c>
      <c r="N88" s="22">
        <v>22</v>
      </c>
      <c r="O88" s="43">
        <f t="shared" si="14"/>
        <v>-48.399999999999977</v>
      </c>
      <c r="P88" s="130">
        <f t="shared" si="15"/>
        <v>775.80000000000007</v>
      </c>
    </row>
    <row r="89" spans="1:16" x14ac:dyDescent="0.2">
      <c r="B89" s="15">
        <v>23</v>
      </c>
      <c r="C89" s="12">
        <v>687</v>
      </c>
      <c r="D89" s="12">
        <v>694</v>
      </c>
      <c r="E89" s="12">
        <v>701</v>
      </c>
      <c r="F89" s="12">
        <v>691</v>
      </c>
      <c r="G89" s="34">
        <v>650</v>
      </c>
      <c r="H89" s="12">
        <v>633</v>
      </c>
      <c r="I89" s="12">
        <v>633</v>
      </c>
      <c r="J89" s="26"/>
      <c r="K89" s="12">
        <f t="shared" si="12"/>
        <v>684.6</v>
      </c>
      <c r="L89" s="12"/>
      <c r="M89" s="12">
        <f t="shared" si="13"/>
        <v>633</v>
      </c>
      <c r="N89" s="22">
        <v>23</v>
      </c>
      <c r="O89" s="43">
        <f t="shared" si="14"/>
        <v>-69</v>
      </c>
      <c r="P89" s="130">
        <f t="shared" si="15"/>
        <v>706.80000000000007</v>
      </c>
    </row>
    <row r="90" spans="1:16" x14ac:dyDescent="0.2">
      <c r="B90" s="16">
        <v>24</v>
      </c>
      <c r="C90" s="12">
        <v>624</v>
      </c>
      <c r="D90" s="12">
        <v>621</v>
      </c>
      <c r="E90" s="12">
        <v>664</v>
      </c>
      <c r="F90" s="12">
        <v>603</v>
      </c>
      <c r="G90" s="34">
        <v>616</v>
      </c>
      <c r="H90" s="12">
        <v>575</v>
      </c>
      <c r="I90" s="12">
        <v>574</v>
      </c>
      <c r="J90" s="27"/>
      <c r="K90" s="12">
        <f t="shared" si="12"/>
        <v>625.6</v>
      </c>
      <c r="L90" s="13"/>
      <c r="M90" s="12">
        <f t="shared" si="13"/>
        <v>574.5</v>
      </c>
      <c r="N90" s="23">
        <v>24</v>
      </c>
      <c r="O90" s="49">
        <f t="shared" si="14"/>
        <v>-59</v>
      </c>
      <c r="P90" s="130">
        <f t="shared" si="15"/>
        <v>647.80000000000007</v>
      </c>
    </row>
    <row r="91" spans="1:16" ht="13.5" thickBot="1" x14ac:dyDescent="0.25">
      <c r="B91" s="17" t="s">
        <v>54</v>
      </c>
      <c r="C91" s="25">
        <f t="shared" ref="C91:I91" si="16">SUM(C67:C90)</f>
        <v>16797</v>
      </c>
      <c r="D91" s="25">
        <f t="shared" si="16"/>
        <v>17081</v>
      </c>
      <c r="E91" s="25">
        <f t="shared" si="16"/>
        <v>17446</v>
      </c>
      <c r="F91" s="25">
        <f t="shared" si="16"/>
        <v>17142</v>
      </c>
      <c r="G91" s="25">
        <f t="shared" si="16"/>
        <v>16586</v>
      </c>
      <c r="H91" s="25">
        <f t="shared" si="16"/>
        <v>15261</v>
      </c>
      <c r="I91" s="25">
        <f t="shared" si="16"/>
        <v>14317</v>
      </c>
      <c r="J91" s="25"/>
      <c r="K91" s="25">
        <f>SUM(K67:K90)</f>
        <v>17010.400000000001</v>
      </c>
      <c r="L91" s="25"/>
      <c r="M91" s="25">
        <f>SUM(M67:M90)</f>
        <v>14789</v>
      </c>
      <c r="N91" s="24"/>
      <c r="O91" s="44"/>
    </row>
    <row r="92" spans="1:16" ht="13.5" thickTop="1" x14ac:dyDescent="0.2">
      <c r="B92" t="s">
        <v>66</v>
      </c>
      <c r="C92">
        <v>52</v>
      </c>
      <c r="D92">
        <v>47</v>
      </c>
      <c r="E92">
        <v>48</v>
      </c>
      <c r="F92">
        <v>52</v>
      </c>
      <c r="G92">
        <v>57</v>
      </c>
      <c r="H92">
        <v>52</v>
      </c>
      <c r="I92">
        <v>51</v>
      </c>
      <c r="K92" s="110">
        <f>AVERAGE(C92:H92)</f>
        <v>51.333333333333336</v>
      </c>
      <c r="M92">
        <f>AVERAGE(H92:I92)</f>
        <v>51.5</v>
      </c>
    </row>
    <row r="93" spans="1:16" x14ac:dyDescent="0.2">
      <c r="B93" s="109" t="s">
        <v>67</v>
      </c>
      <c r="C93">
        <v>26</v>
      </c>
      <c r="D93">
        <v>22</v>
      </c>
      <c r="E93">
        <v>20</v>
      </c>
      <c r="F93">
        <v>23</v>
      </c>
      <c r="G93">
        <v>25</v>
      </c>
      <c r="H93">
        <v>23</v>
      </c>
      <c r="I93">
        <v>24</v>
      </c>
      <c r="K93" s="110">
        <f>AVERAGE(C93:H93)</f>
        <v>23.166666666666668</v>
      </c>
      <c r="M93" s="110">
        <f>AVERAGE(H93:I93)</f>
        <v>23.5</v>
      </c>
    </row>
    <row r="94" spans="1:16" x14ac:dyDescent="0.2">
      <c r="A94" s="10"/>
      <c r="B94" s="10"/>
      <c r="C94" s="10"/>
      <c r="D94" s="10"/>
      <c r="E94" s="10"/>
      <c r="F94" s="10"/>
      <c r="H94" s="10"/>
      <c r="I94" s="10"/>
      <c r="J94" s="10"/>
      <c r="K94" s="10"/>
      <c r="L94" s="10"/>
      <c r="M94" s="10"/>
      <c r="N94" s="10"/>
    </row>
    <row r="95" spans="1:16" ht="15.75" x14ac:dyDescent="0.25">
      <c r="G95" s="11" t="s">
        <v>57</v>
      </c>
    </row>
    <row r="96" spans="1:16" x14ac:dyDescent="0.2">
      <c r="C96">
        <f>I65+1</f>
        <v>21</v>
      </c>
      <c r="D96">
        <f t="shared" ref="D96:I96" si="17">C96+1</f>
        <v>22</v>
      </c>
      <c r="E96">
        <f t="shared" si="17"/>
        <v>23</v>
      </c>
      <c r="F96">
        <f t="shared" si="17"/>
        <v>24</v>
      </c>
      <c r="G96">
        <f t="shared" si="17"/>
        <v>25</v>
      </c>
      <c r="H96">
        <f t="shared" si="17"/>
        <v>26</v>
      </c>
      <c r="I96">
        <f t="shared" si="17"/>
        <v>27</v>
      </c>
    </row>
    <row r="97" spans="2:31" x14ac:dyDescent="0.2">
      <c r="B97" s="14" t="s">
        <v>53</v>
      </c>
      <c r="C97" s="18" t="s">
        <v>46</v>
      </c>
      <c r="D97" s="18" t="s">
        <v>47</v>
      </c>
      <c r="E97" s="18" t="s">
        <v>48</v>
      </c>
      <c r="F97" s="18" t="s">
        <v>49</v>
      </c>
      <c r="G97" s="18" t="s">
        <v>50</v>
      </c>
      <c r="H97" s="18" t="s">
        <v>51</v>
      </c>
      <c r="I97" s="18" t="s">
        <v>52</v>
      </c>
      <c r="J97" s="19"/>
      <c r="K97" s="306" t="s">
        <v>149</v>
      </c>
      <c r="L97" s="20"/>
      <c r="M97" s="306" t="s">
        <v>150</v>
      </c>
      <c r="N97" s="21" t="s">
        <v>53</v>
      </c>
      <c r="O97" s="42" t="s">
        <v>63</v>
      </c>
    </row>
    <row r="98" spans="2:31" x14ac:dyDescent="0.2">
      <c r="B98" s="31">
        <v>1</v>
      </c>
      <c r="C98" s="29">
        <v>566</v>
      </c>
      <c r="D98" s="29">
        <v>552</v>
      </c>
      <c r="E98" s="29">
        <v>558</v>
      </c>
      <c r="F98" s="29">
        <v>579</v>
      </c>
      <c r="G98" s="120">
        <v>599</v>
      </c>
      <c r="H98" s="29">
        <v>594</v>
      </c>
      <c r="I98" s="29">
        <v>585</v>
      </c>
      <c r="J98" s="30"/>
      <c r="K98" s="29">
        <f>AVERAGE(C98:G98)</f>
        <v>570.79999999999995</v>
      </c>
      <c r="L98" s="29"/>
      <c r="M98" s="29">
        <f>AVERAGE(H98:I98)</f>
        <v>589.5</v>
      </c>
      <c r="N98" s="32">
        <v>1</v>
      </c>
      <c r="O98" s="48">
        <f>K98-K121</f>
        <v>-41.800000000000068</v>
      </c>
    </row>
    <row r="99" spans="2:31" x14ac:dyDescent="0.2">
      <c r="B99" s="15">
        <v>2</v>
      </c>
      <c r="C99" s="12">
        <v>519</v>
      </c>
      <c r="D99" s="12">
        <v>539</v>
      </c>
      <c r="E99" s="12">
        <v>537</v>
      </c>
      <c r="F99" s="12">
        <v>573</v>
      </c>
      <c r="G99" s="34">
        <v>578</v>
      </c>
      <c r="H99" s="12">
        <v>579</v>
      </c>
      <c r="I99" s="12">
        <v>549</v>
      </c>
      <c r="J99" s="26"/>
      <c r="K99" s="12">
        <f t="shared" ref="K99:K121" si="18">AVERAGE(C99:G99)</f>
        <v>549.20000000000005</v>
      </c>
      <c r="L99" s="12"/>
      <c r="M99" s="12">
        <f t="shared" ref="M99:M121" si="19">AVERAGE(H99:I99)</f>
        <v>564</v>
      </c>
      <c r="N99" s="22">
        <v>2</v>
      </c>
      <c r="O99" s="43">
        <f>K99-K98</f>
        <v>-21.599999999999909</v>
      </c>
    </row>
    <row r="100" spans="2:31" x14ac:dyDescent="0.2">
      <c r="B100" s="15">
        <v>3</v>
      </c>
      <c r="C100" s="12">
        <v>505</v>
      </c>
      <c r="D100" s="12">
        <v>514</v>
      </c>
      <c r="E100" s="12">
        <v>533</v>
      </c>
      <c r="F100" s="12">
        <v>565</v>
      </c>
      <c r="G100" s="34">
        <v>563</v>
      </c>
      <c r="H100" s="12">
        <v>562</v>
      </c>
      <c r="I100" s="12">
        <v>553</v>
      </c>
      <c r="J100" s="26"/>
      <c r="K100" s="12">
        <f t="shared" si="18"/>
        <v>536</v>
      </c>
      <c r="L100" s="12"/>
      <c r="M100" s="12">
        <f t="shared" si="19"/>
        <v>557.5</v>
      </c>
      <c r="N100" s="22">
        <v>3</v>
      </c>
      <c r="O100" s="43">
        <f t="shared" ref="O100:O121" si="20">K100-K99</f>
        <v>-13.200000000000045</v>
      </c>
    </row>
    <row r="101" spans="2:31" x14ac:dyDescent="0.2">
      <c r="B101" s="16">
        <v>4</v>
      </c>
      <c r="C101" s="13">
        <v>518</v>
      </c>
      <c r="D101" s="13">
        <v>518</v>
      </c>
      <c r="E101" s="13">
        <v>532</v>
      </c>
      <c r="F101" s="13">
        <v>543</v>
      </c>
      <c r="G101" s="121">
        <v>567</v>
      </c>
      <c r="H101" s="13">
        <v>551</v>
      </c>
      <c r="I101" s="13">
        <v>537</v>
      </c>
      <c r="J101" s="27"/>
      <c r="K101" s="13">
        <f t="shared" si="18"/>
        <v>535.6</v>
      </c>
      <c r="L101" s="13"/>
      <c r="M101" s="13">
        <f t="shared" si="19"/>
        <v>544</v>
      </c>
      <c r="N101" s="23">
        <v>4</v>
      </c>
      <c r="O101" s="49">
        <f t="shared" si="20"/>
        <v>-0.39999999999997726</v>
      </c>
    </row>
    <row r="102" spans="2:31" x14ac:dyDescent="0.2">
      <c r="B102" s="31">
        <v>5</v>
      </c>
      <c r="C102" s="29">
        <v>525</v>
      </c>
      <c r="D102" s="29">
        <v>535</v>
      </c>
      <c r="E102" s="29">
        <v>541</v>
      </c>
      <c r="F102" s="29">
        <v>555</v>
      </c>
      <c r="G102" s="120">
        <v>574</v>
      </c>
      <c r="H102" s="29">
        <v>561</v>
      </c>
      <c r="I102" s="29">
        <v>552</v>
      </c>
      <c r="J102" s="30"/>
      <c r="K102" s="29">
        <f t="shared" si="18"/>
        <v>546</v>
      </c>
      <c r="L102" s="29"/>
      <c r="M102" s="29">
        <f t="shared" si="19"/>
        <v>556.5</v>
      </c>
      <c r="N102" s="32">
        <v>5</v>
      </c>
      <c r="O102" s="48">
        <f t="shared" si="20"/>
        <v>10.399999999999977</v>
      </c>
    </row>
    <row r="103" spans="2:31" x14ac:dyDescent="0.2">
      <c r="B103" s="15">
        <v>6</v>
      </c>
      <c r="C103" s="12">
        <v>568</v>
      </c>
      <c r="D103" s="12">
        <v>588</v>
      </c>
      <c r="E103" s="12">
        <v>589</v>
      </c>
      <c r="F103" s="12">
        <v>618</v>
      </c>
      <c r="G103" s="34">
        <v>625</v>
      </c>
      <c r="H103" s="12">
        <v>587</v>
      </c>
      <c r="I103" s="12">
        <v>533</v>
      </c>
      <c r="J103" s="26"/>
      <c r="K103" s="12">
        <f t="shared" si="18"/>
        <v>597.6</v>
      </c>
      <c r="L103" s="12"/>
      <c r="M103" s="12">
        <f t="shared" si="19"/>
        <v>560</v>
      </c>
      <c r="N103" s="22">
        <v>6</v>
      </c>
      <c r="O103" s="43">
        <f t="shared" si="20"/>
        <v>51.600000000000023</v>
      </c>
      <c r="P103">
        <v>626</v>
      </c>
    </row>
    <row r="104" spans="2:31" x14ac:dyDescent="0.2">
      <c r="B104" s="15">
        <v>7</v>
      </c>
      <c r="C104" s="12">
        <v>653</v>
      </c>
      <c r="D104" s="12">
        <v>668</v>
      </c>
      <c r="E104" s="12">
        <v>685</v>
      </c>
      <c r="F104" s="12">
        <v>703</v>
      </c>
      <c r="G104" s="34">
        <v>702</v>
      </c>
      <c r="H104" s="12">
        <v>605</v>
      </c>
      <c r="I104" s="12">
        <v>576</v>
      </c>
      <c r="J104" s="26"/>
      <c r="K104" s="12">
        <f t="shared" si="18"/>
        <v>682.2</v>
      </c>
      <c r="L104" s="12"/>
      <c r="M104" s="12">
        <f t="shared" si="19"/>
        <v>590.5</v>
      </c>
      <c r="N104" s="22">
        <v>7</v>
      </c>
      <c r="O104" s="43">
        <f t="shared" si="20"/>
        <v>84.600000000000023</v>
      </c>
      <c r="P104" s="130">
        <f>P103+O104</f>
        <v>710.6</v>
      </c>
    </row>
    <row r="105" spans="2:31" x14ac:dyDescent="0.2">
      <c r="B105" s="16">
        <v>8</v>
      </c>
      <c r="C105" s="13">
        <v>702</v>
      </c>
      <c r="D105" s="13">
        <v>712</v>
      </c>
      <c r="E105" s="13">
        <v>731</v>
      </c>
      <c r="F105" s="13">
        <v>753</v>
      </c>
      <c r="G105" s="121">
        <v>740</v>
      </c>
      <c r="H105" s="13">
        <v>616</v>
      </c>
      <c r="I105" s="13">
        <v>582</v>
      </c>
      <c r="J105" s="27"/>
      <c r="K105" s="13">
        <f t="shared" si="18"/>
        <v>727.6</v>
      </c>
      <c r="L105" s="13"/>
      <c r="M105" s="13">
        <f t="shared" si="19"/>
        <v>599</v>
      </c>
      <c r="N105" s="23">
        <v>8</v>
      </c>
      <c r="O105" s="49">
        <f t="shared" si="20"/>
        <v>45.399999999999977</v>
      </c>
      <c r="P105" s="130">
        <f>P104+O105</f>
        <v>756</v>
      </c>
      <c r="Q105" s="33"/>
    </row>
    <row r="106" spans="2:31" x14ac:dyDescent="0.2">
      <c r="B106" s="15">
        <v>9</v>
      </c>
      <c r="C106" s="12">
        <v>705</v>
      </c>
      <c r="D106" s="12">
        <v>740</v>
      </c>
      <c r="E106" s="12">
        <v>749</v>
      </c>
      <c r="F106" s="12">
        <v>746</v>
      </c>
      <c r="G106" s="34">
        <v>763</v>
      </c>
      <c r="H106" s="12">
        <v>659</v>
      </c>
      <c r="I106" s="12">
        <v>596</v>
      </c>
      <c r="J106" s="26"/>
      <c r="K106" s="12">
        <f t="shared" si="18"/>
        <v>740.6</v>
      </c>
      <c r="L106" s="12"/>
      <c r="M106" s="12">
        <f t="shared" si="19"/>
        <v>627.5</v>
      </c>
      <c r="N106" s="22">
        <v>9</v>
      </c>
      <c r="O106" s="48">
        <f t="shared" si="20"/>
        <v>13</v>
      </c>
      <c r="P106" s="130">
        <f>P105+O106</f>
        <v>769</v>
      </c>
      <c r="Q106" s="33"/>
    </row>
    <row r="107" spans="2:31" x14ac:dyDescent="0.2">
      <c r="B107" s="15">
        <v>10</v>
      </c>
      <c r="C107" s="12">
        <v>734</v>
      </c>
      <c r="D107" s="12">
        <v>751</v>
      </c>
      <c r="E107" s="12">
        <v>757</v>
      </c>
      <c r="F107" s="12">
        <v>781</v>
      </c>
      <c r="G107" s="34">
        <v>773</v>
      </c>
      <c r="H107" s="12">
        <v>666</v>
      </c>
      <c r="I107" s="12">
        <v>630</v>
      </c>
      <c r="J107" s="26"/>
      <c r="K107" s="12">
        <f t="shared" si="18"/>
        <v>759.2</v>
      </c>
      <c r="L107" s="12"/>
      <c r="M107" s="12">
        <f t="shared" si="19"/>
        <v>648</v>
      </c>
      <c r="N107" s="22">
        <v>10</v>
      </c>
      <c r="O107" s="43">
        <f t="shared" si="20"/>
        <v>18.600000000000023</v>
      </c>
      <c r="P107" s="130">
        <f t="shared" ref="P107:P117" si="21">P106+O107</f>
        <v>787.6</v>
      </c>
      <c r="Q107" s="33"/>
    </row>
    <row r="108" spans="2:31" x14ac:dyDescent="0.2">
      <c r="B108" s="15">
        <v>11</v>
      </c>
      <c r="C108" s="12">
        <v>757</v>
      </c>
      <c r="D108" s="12">
        <v>761</v>
      </c>
      <c r="E108" s="12">
        <v>766</v>
      </c>
      <c r="F108" s="12">
        <v>801</v>
      </c>
      <c r="G108" s="34">
        <v>792</v>
      </c>
      <c r="H108" s="12">
        <v>699</v>
      </c>
      <c r="I108" s="12">
        <v>637</v>
      </c>
      <c r="J108" s="26"/>
      <c r="K108" s="12">
        <f t="shared" si="18"/>
        <v>775.4</v>
      </c>
      <c r="L108" s="12"/>
      <c r="M108" s="12">
        <f t="shared" si="19"/>
        <v>668</v>
      </c>
      <c r="N108" s="22">
        <v>11</v>
      </c>
      <c r="O108" s="43">
        <f t="shared" si="20"/>
        <v>16.199999999999932</v>
      </c>
      <c r="P108" s="130">
        <f t="shared" si="21"/>
        <v>803.8</v>
      </c>
      <c r="Q108" s="33"/>
    </row>
    <row r="109" spans="2:31" x14ac:dyDescent="0.2">
      <c r="B109" s="16">
        <v>12</v>
      </c>
      <c r="C109" s="13">
        <v>769</v>
      </c>
      <c r="D109" s="13">
        <v>758</v>
      </c>
      <c r="E109" s="13">
        <v>768</v>
      </c>
      <c r="F109" s="13">
        <v>780</v>
      </c>
      <c r="G109" s="121">
        <v>780</v>
      </c>
      <c r="H109" s="13">
        <v>683</v>
      </c>
      <c r="I109" s="13">
        <v>623</v>
      </c>
      <c r="J109" s="27"/>
      <c r="K109" s="13">
        <f t="shared" si="18"/>
        <v>771</v>
      </c>
      <c r="L109" s="13"/>
      <c r="M109" s="13">
        <f t="shared" si="19"/>
        <v>653</v>
      </c>
      <c r="N109" s="23">
        <v>12</v>
      </c>
      <c r="O109" s="49">
        <f t="shared" si="20"/>
        <v>-4.3999999999999773</v>
      </c>
      <c r="P109" s="130">
        <f t="shared" si="21"/>
        <v>799.4</v>
      </c>
      <c r="Q109" s="33"/>
    </row>
    <row r="110" spans="2:31" x14ac:dyDescent="0.2">
      <c r="B110" s="15">
        <v>13</v>
      </c>
      <c r="C110" s="12">
        <v>751</v>
      </c>
      <c r="D110" s="12">
        <v>749</v>
      </c>
      <c r="E110" s="12">
        <v>770</v>
      </c>
      <c r="F110" s="12">
        <v>753</v>
      </c>
      <c r="G110" s="34">
        <v>756</v>
      </c>
      <c r="H110" s="12">
        <v>675</v>
      </c>
      <c r="I110" s="12">
        <v>625</v>
      </c>
      <c r="J110" s="26"/>
      <c r="K110" s="12">
        <f t="shared" si="18"/>
        <v>755.8</v>
      </c>
      <c r="L110" s="12"/>
      <c r="M110" s="12">
        <f t="shared" si="19"/>
        <v>650</v>
      </c>
      <c r="N110" s="22">
        <v>13</v>
      </c>
      <c r="O110" s="48">
        <f t="shared" si="20"/>
        <v>-15.200000000000045</v>
      </c>
      <c r="P110" s="130">
        <f t="shared" si="21"/>
        <v>784.19999999999993</v>
      </c>
      <c r="Q110" s="33"/>
    </row>
    <row r="111" spans="2:31" x14ac:dyDescent="0.2">
      <c r="B111" s="15">
        <v>14</v>
      </c>
      <c r="C111" s="12">
        <v>769</v>
      </c>
      <c r="D111" s="12">
        <v>747</v>
      </c>
      <c r="E111" s="12">
        <v>760</v>
      </c>
      <c r="F111" s="12">
        <v>790</v>
      </c>
      <c r="G111" s="34">
        <v>762</v>
      </c>
      <c r="H111" s="12">
        <v>652</v>
      </c>
      <c r="I111" s="12">
        <v>632</v>
      </c>
      <c r="J111" s="26"/>
      <c r="K111" s="12">
        <f t="shared" si="18"/>
        <v>765.6</v>
      </c>
      <c r="L111" s="12"/>
      <c r="M111" s="12">
        <f t="shared" si="19"/>
        <v>642</v>
      </c>
      <c r="N111" s="22">
        <v>14</v>
      </c>
      <c r="O111" s="43">
        <f t="shared" si="20"/>
        <v>9.8000000000000682</v>
      </c>
      <c r="P111" s="130">
        <f t="shared" si="21"/>
        <v>794</v>
      </c>
      <c r="Q111" s="33"/>
    </row>
    <row r="112" spans="2:31" x14ac:dyDescent="0.2">
      <c r="B112" s="15">
        <v>15</v>
      </c>
      <c r="C112" s="12">
        <v>767</v>
      </c>
      <c r="D112" s="12">
        <v>736</v>
      </c>
      <c r="E112" s="12">
        <v>757</v>
      </c>
      <c r="F112" s="12">
        <v>792</v>
      </c>
      <c r="G112" s="34">
        <v>748</v>
      </c>
      <c r="H112" s="12">
        <v>649</v>
      </c>
      <c r="I112" s="12">
        <v>620</v>
      </c>
      <c r="J112" s="26"/>
      <c r="K112" s="12">
        <f t="shared" si="18"/>
        <v>760</v>
      </c>
      <c r="L112" s="12"/>
      <c r="M112" s="12">
        <f t="shared" si="19"/>
        <v>634.5</v>
      </c>
      <c r="N112" s="22">
        <v>15</v>
      </c>
      <c r="O112" s="43">
        <f t="shared" si="20"/>
        <v>-5.6000000000000227</v>
      </c>
      <c r="P112" s="130">
        <f t="shared" si="21"/>
        <v>788.4</v>
      </c>
      <c r="Q112" s="229"/>
      <c r="R112" s="220"/>
      <c r="S112" s="220"/>
      <c r="T112" s="220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2:31" x14ac:dyDescent="0.2">
      <c r="B113" s="16">
        <v>16</v>
      </c>
      <c r="C113" s="13">
        <v>762</v>
      </c>
      <c r="D113" s="13">
        <v>725</v>
      </c>
      <c r="E113" s="13">
        <v>748</v>
      </c>
      <c r="F113" s="13">
        <v>769</v>
      </c>
      <c r="G113" s="121">
        <v>739</v>
      </c>
      <c r="H113" s="13">
        <v>624</v>
      </c>
      <c r="I113" s="13">
        <v>631</v>
      </c>
      <c r="J113" s="27"/>
      <c r="K113" s="13">
        <f t="shared" si="18"/>
        <v>748.6</v>
      </c>
      <c r="L113" s="13"/>
      <c r="M113" s="13">
        <f t="shared" si="19"/>
        <v>627.5</v>
      </c>
      <c r="N113" s="23">
        <v>16</v>
      </c>
      <c r="O113" s="49">
        <f t="shared" si="20"/>
        <v>-11.399999999999977</v>
      </c>
      <c r="P113" s="130">
        <f t="shared" si="21"/>
        <v>777</v>
      </c>
      <c r="Q113" s="229"/>
      <c r="R113" s="220"/>
      <c r="S113" s="220"/>
      <c r="T113" s="220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2:31" x14ac:dyDescent="0.2">
      <c r="B114" s="15">
        <v>17</v>
      </c>
      <c r="C114" s="12">
        <v>751</v>
      </c>
      <c r="D114" s="12">
        <v>719</v>
      </c>
      <c r="E114" s="12">
        <v>740</v>
      </c>
      <c r="F114" s="12">
        <v>765</v>
      </c>
      <c r="G114" s="34">
        <v>712</v>
      </c>
      <c r="H114" s="12">
        <v>631</v>
      </c>
      <c r="I114" s="12">
        <v>623</v>
      </c>
      <c r="J114" s="26"/>
      <c r="K114" s="12">
        <f t="shared" si="18"/>
        <v>737.4</v>
      </c>
      <c r="L114" s="12"/>
      <c r="M114" s="12">
        <f t="shared" si="19"/>
        <v>627</v>
      </c>
      <c r="N114" s="22">
        <v>17</v>
      </c>
      <c r="O114" s="48">
        <f t="shared" si="20"/>
        <v>-11.200000000000045</v>
      </c>
      <c r="P114" s="130">
        <f t="shared" si="21"/>
        <v>765.8</v>
      </c>
      <c r="Q114" s="229"/>
      <c r="R114" s="220"/>
      <c r="S114" s="220"/>
      <c r="T114" s="220"/>
      <c r="U114" s="220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2:31" x14ac:dyDescent="0.2">
      <c r="B115" s="15">
        <v>18</v>
      </c>
      <c r="C115" s="12">
        <v>753</v>
      </c>
      <c r="D115" s="12">
        <v>711</v>
      </c>
      <c r="E115" s="12">
        <v>739</v>
      </c>
      <c r="F115" s="12">
        <v>785</v>
      </c>
      <c r="G115" s="34">
        <v>706</v>
      </c>
      <c r="H115" s="12">
        <v>658</v>
      </c>
      <c r="I115" s="12">
        <v>640</v>
      </c>
      <c r="J115" s="26"/>
      <c r="K115" s="12">
        <f t="shared" si="18"/>
        <v>738.8</v>
      </c>
      <c r="L115" s="12"/>
      <c r="M115" s="12">
        <f t="shared" si="19"/>
        <v>649</v>
      </c>
      <c r="N115" s="22">
        <v>18</v>
      </c>
      <c r="O115" s="43">
        <f t="shared" si="20"/>
        <v>1.3999999999999773</v>
      </c>
      <c r="P115" s="130">
        <f t="shared" si="21"/>
        <v>767.19999999999993</v>
      </c>
      <c r="Q115" s="229"/>
      <c r="R115" s="220"/>
      <c r="S115" s="220"/>
      <c r="T115" s="220"/>
      <c r="U115" s="220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2:31" x14ac:dyDescent="0.2">
      <c r="B116" s="15">
        <v>19</v>
      </c>
      <c r="C116" s="12">
        <v>824</v>
      </c>
      <c r="D116" s="12">
        <v>799</v>
      </c>
      <c r="E116" s="12">
        <v>812</v>
      </c>
      <c r="F116" s="12">
        <v>842</v>
      </c>
      <c r="G116" s="34">
        <v>803</v>
      </c>
      <c r="H116" s="12">
        <v>725</v>
      </c>
      <c r="I116" s="12">
        <v>721</v>
      </c>
      <c r="J116" s="26"/>
      <c r="K116" s="12">
        <f t="shared" si="18"/>
        <v>816</v>
      </c>
      <c r="L116" s="12"/>
      <c r="M116" s="12">
        <f t="shared" si="19"/>
        <v>723</v>
      </c>
      <c r="N116" s="22">
        <v>19</v>
      </c>
      <c r="O116" s="43">
        <f t="shared" si="20"/>
        <v>77.200000000000045</v>
      </c>
      <c r="P116" s="130">
        <f t="shared" si="21"/>
        <v>844.4</v>
      </c>
      <c r="Q116" s="229"/>
      <c r="R116" s="220"/>
      <c r="S116" s="220"/>
      <c r="T116" s="220"/>
      <c r="U116" s="220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2:31" x14ac:dyDescent="0.2">
      <c r="B117" s="16">
        <v>20</v>
      </c>
      <c r="C117" s="13">
        <v>823</v>
      </c>
      <c r="D117" s="13">
        <v>796</v>
      </c>
      <c r="E117" s="13">
        <v>817</v>
      </c>
      <c r="F117" s="13">
        <v>836</v>
      </c>
      <c r="G117" s="121">
        <v>787</v>
      </c>
      <c r="H117" s="13">
        <v>741</v>
      </c>
      <c r="I117" s="13">
        <v>728</v>
      </c>
      <c r="J117" s="27"/>
      <c r="K117" s="13">
        <f t="shared" si="18"/>
        <v>811.8</v>
      </c>
      <c r="L117" s="13"/>
      <c r="M117" s="13">
        <f t="shared" si="19"/>
        <v>734.5</v>
      </c>
      <c r="N117" s="23">
        <v>20</v>
      </c>
      <c r="O117" s="49">
        <f>K117-K116</f>
        <v>-4.2000000000000455</v>
      </c>
      <c r="P117" s="130">
        <f t="shared" si="21"/>
        <v>840.19999999999993</v>
      </c>
      <c r="Q117" s="229"/>
      <c r="R117" s="220"/>
      <c r="S117" s="220"/>
      <c r="T117" s="220"/>
      <c r="U117" s="220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2:31" x14ac:dyDescent="0.2">
      <c r="B118" s="15">
        <v>21</v>
      </c>
      <c r="C118" s="12">
        <v>794</v>
      </c>
      <c r="D118" s="12">
        <v>790</v>
      </c>
      <c r="E118" s="12">
        <v>800</v>
      </c>
      <c r="F118" s="12">
        <v>816</v>
      </c>
      <c r="G118" s="34">
        <v>783</v>
      </c>
      <c r="H118" s="12">
        <v>719</v>
      </c>
      <c r="I118" s="12">
        <v>727</v>
      </c>
      <c r="J118" s="26"/>
      <c r="K118" s="12">
        <f t="shared" si="18"/>
        <v>796.6</v>
      </c>
      <c r="L118" s="12"/>
      <c r="M118" s="12">
        <f t="shared" si="19"/>
        <v>723</v>
      </c>
      <c r="N118" s="22">
        <v>21</v>
      </c>
      <c r="O118" s="48">
        <f t="shared" si="20"/>
        <v>-15.199999999999932</v>
      </c>
      <c r="P118" s="228"/>
      <c r="Q118" s="229"/>
      <c r="R118" s="220"/>
      <c r="S118" s="220"/>
      <c r="T118" s="220"/>
      <c r="U118" s="220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2:31" x14ac:dyDescent="0.2">
      <c r="B119" s="15">
        <v>22</v>
      </c>
      <c r="C119" s="12">
        <v>737</v>
      </c>
      <c r="D119" s="12">
        <v>747</v>
      </c>
      <c r="E119" s="12">
        <v>744</v>
      </c>
      <c r="F119" s="12">
        <v>778</v>
      </c>
      <c r="G119" s="34">
        <v>727</v>
      </c>
      <c r="H119" s="12">
        <v>686</v>
      </c>
      <c r="I119" s="12">
        <v>695</v>
      </c>
      <c r="J119" s="26"/>
      <c r="K119" s="12">
        <f t="shared" si="18"/>
        <v>746.6</v>
      </c>
      <c r="L119" s="12"/>
      <c r="M119" s="12">
        <f t="shared" si="19"/>
        <v>690.5</v>
      </c>
      <c r="N119" s="22">
        <v>22</v>
      </c>
      <c r="O119" s="43">
        <f t="shared" si="20"/>
        <v>-50</v>
      </c>
      <c r="P119" s="228"/>
      <c r="Q119" s="229"/>
      <c r="R119" s="220"/>
      <c r="S119" s="220"/>
      <c r="T119" s="220"/>
      <c r="U119" s="220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2:31" x14ac:dyDescent="0.2">
      <c r="B120" s="15">
        <v>23</v>
      </c>
      <c r="C120" s="12">
        <v>680</v>
      </c>
      <c r="D120" s="12">
        <v>671</v>
      </c>
      <c r="E120" s="12">
        <v>690</v>
      </c>
      <c r="F120" s="12">
        <v>705</v>
      </c>
      <c r="G120" s="34">
        <v>680</v>
      </c>
      <c r="H120" s="12">
        <v>656</v>
      </c>
      <c r="I120" s="12">
        <v>651</v>
      </c>
      <c r="J120" s="26"/>
      <c r="K120" s="12">
        <f t="shared" si="18"/>
        <v>685.2</v>
      </c>
      <c r="L120" s="12"/>
      <c r="M120" s="12">
        <f t="shared" si="19"/>
        <v>653.5</v>
      </c>
      <c r="N120" s="22">
        <v>23</v>
      </c>
      <c r="O120" s="43">
        <f t="shared" si="20"/>
        <v>-61.399999999999977</v>
      </c>
      <c r="P120" s="228"/>
      <c r="Q120" s="220"/>
      <c r="R120" s="230"/>
      <c r="S120" s="230"/>
      <c r="T120" s="230"/>
      <c r="U120" s="220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2:31" x14ac:dyDescent="0.2">
      <c r="B121" s="16">
        <v>24</v>
      </c>
      <c r="C121" s="12">
        <v>606</v>
      </c>
      <c r="D121" s="12">
        <v>601</v>
      </c>
      <c r="E121" s="12">
        <v>609</v>
      </c>
      <c r="F121" s="12">
        <v>627</v>
      </c>
      <c r="G121" s="34">
        <v>620</v>
      </c>
      <c r="H121" s="12">
        <v>602</v>
      </c>
      <c r="I121" s="12">
        <v>602</v>
      </c>
      <c r="J121" s="27"/>
      <c r="K121" s="12">
        <f t="shared" si="18"/>
        <v>612.6</v>
      </c>
      <c r="L121" s="13"/>
      <c r="M121" s="12">
        <f t="shared" si="19"/>
        <v>602</v>
      </c>
      <c r="N121" s="23">
        <v>24</v>
      </c>
      <c r="O121" s="49">
        <f t="shared" si="20"/>
        <v>-72.600000000000023</v>
      </c>
      <c r="P121" s="228"/>
      <c r="Q121" s="220"/>
      <c r="R121" s="220"/>
      <c r="S121" s="220"/>
      <c r="T121" s="220"/>
      <c r="U121" s="220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2:31" ht="13.5" thickBot="1" x14ac:dyDescent="0.25">
      <c r="B122" s="17" t="s">
        <v>54</v>
      </c>
      <c r="C122" s="25">
        <f t="shared" ref="C122:I122" si="22">SUM(C98:C121)</f>
        <v>16538</v>
      </c>
      <c r="D122" s="25">
        <f t="shared" si="22"/>
        <v>16427</v>
      </c>
      <c r="E122" s="25">
        <f t="shared" si="22"/>
        <v>16732</v>
      </c>
      <c r="F122" s="25">
        <f t="shared" si="22"/>
        <v>17255</v>
      </c>
      <c r="G122" s="25">
        <f t="shared" si="22"/>
        <v>16879</v>
      </c>
      <c r="H122" s="25">
        <f t="shared" si="22"/>
        <v>15380</v>
      </c>
      <c r="I122" s="25">
        <f t="shared" si="22"/>
        <v>14848</v>
      </c>
      <c r="J122" s="25"/>
      <c r="K122" s="25">
        <f>SUM(K98:K121)</f>
        <v>16766.2</v>
      </c>
      <c r="L122" s="25"/>
      <c r="M122" s="25">
        <f>SUM(M98:M121)</f>
        <v>15114</v>
      </c>
      <c r="N122" s="24"/>
      <c r="O122" s="44"/>
      <c r="P122" s="37"/>
      <c r="Q122" s="231"/>
      <c r="R122" s="220"/>
      <c r="S122" s="220"/>
      <c r="T122" s="220"/>
      <c r="U122" s="220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2:31" ht="13.5" thickTop="1" x14ac:dyDescent="0.2">
      <c r="B123" t="s">
        <v>66</v>
      </c>
      <c r="C123">
        <v>52</v>
      </c>
      <c r="D123">
        <v>47</v>
      </c>
      <c r="E123">
        <v>48</v>
      </c>
      <c r="F123">
        <v>52</v>
      </c>
      <c r="G123">
        <v>57</v>
      </c>
      <c r="H123">
        <v>52</v>
      </c>
      <c r="I123">
        <v>51</v>
      </c>
      <c r="K123" s="110">
        <f>AVERAGE(C123:H123)</f>
        <v>51.333333333333336</v>
      </c>
      <c r="M123">
        <f>AVERAGE(H123:I123)</f>
        <v>51.5</v>
      </c>
      <c r="P123" s="37"/>
      <c r="Q123" s="37"/>
      <c r="R123" s="37"/>
      <c r="S123" s="37"/>
      <c r="T123" s="37"/>
      <c r="U123" s="220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2:31" x14ac:dyDescent="0.2">
      <c r="B124" s="109" t="s">
        <v>67</v>
      </c>
      <c r="C124">
        <v>26</v>
      </c>
      <c r="D124">
        <v>22</v>
      </c>
      <c r="E124">
        <v>20</v>
      </c>
      <c r="F124">
        <v>23</v>
      </c>
      <c r="G124">
        <v>25</v>
      </c>
      <c r="H124">
        <v>23</v>
      </c>
      <c r="I124">
        <v>24</v>
      </c>
      <c r="K124" s="110">
        <f>AVERAGE(C124:H124)</f>
        <v>23.166666666666668</v>
      </c>
      <c r="M124" s="110">
        <f>AVERAGE(H124:I124)</f>
        <v>23.5</v>
      </c>
      <c r="P124" s="37"/>
      <c r="Q124" s="37"/>
      <c r="R124" s="37"/>
      <c r="S124" s="37"/>
      <c r="T124" s="37"/>
      <c r="U124" s="220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2:31" x14ac:dyDescent="0.2">
      <c r="C125" s="33"/>
      <c r="D125" s="33"/>
      <c r="P125" s="37"/>
      <c r="Q125" s="37"/>
      <c r="R125" s="37"/>
      <c r="S125" s="37"/>
      <c r="T125" s="37"/>
      <c r="U125" s="220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2:31" ht="15.75" x14ac:dyDescent="0.25">
      <c r="D126" s="33"/>
      <c r="G126" s="11" t="s">
        <v>60</v>
      </c>
      <c r="P126" s="37"/>
      <c r="Q126" s="37"/>
      <c r="R126" s="37"/>
      <c r="S126" s="41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</row>
    <row r="127" spans="2:31" x14ac:dyDescent="0.2">
      <c r="C127">
        <f>I96+1</f>
        <v>28</v>
      </c>
      <c r="D127">
        <v>29</v>
      </c>
      <c r="E127">
        <v>1</v>
      </c>
      <c r="F127">
        <f>E127+1</f>
        <v>2</v>
      </c>
      <c r="G127">
        <f>F127+1</f>
        <v>3</v>
      </c>
      <c r="H127">
        <f>G127+1</f>
        <v>4</v>
      </c>
      <c r="I127">
        <f>H127+1</f>
        <v>5</v>
      </c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</row>
    <row r="128" spans="2:31" x14ac:dyDescent="0.2">
      <c r="B128" s="14" t="s">
        <v>53</v>
      </c>
      <c r="C128" s="18" t="s">
        <v>46</v>
      </c>
      <c r="D128" s="18" t="s">
        <v>47</v>
      </c>
      <c r="E128" s="18" t="s">
        <v>48</v>
      </c>
      <c r="F128" s="18" t="s">
        <v>49</v>
      </c>
      <c r="G128" s="18" t="s">
        <v>50</v>
      </c>
      <c r="H128" s="18" t="s">
        <v>51</v>
      </c>
      <c r="I128" s="18" t="s">
        <v>52</v>
      </c>
      <c r="J128" s="19"/>
      <c r="K128" s="306" t="s">
        <v>149</v>
      </c>
      <c r="L128" s="20"/>
      <c r="M128" s="306" t="s">
        <v>150</v>
      </c>
      <c r="N128" s="21" t="s">
        <v>53</v>
      </c>
      <c r="O128" s="42" t="s">
        <v>63</v>
      </c>
      <c r="P128" s="37"/>
      <c r="Q128" s="35"/>
      <c r="R128" s="36"/>
      <c r="S128" s="36"/>
      <c r="T128" s="36"/>
      <c r="U128" s="36"/>
      <c r="V128" s="36"/>
      <c r="W128" s="36"/>
      <c r="X128" s="36"/>
      <c r="Y128" s="37"/>
      <c r="Z128" s="38"/>
      <c r="AA128" s="39"/>
      <c r="AB128" s="38"/>
      <c r="AC128" s="35"/>
      <c r="AD128" s="36"/>
      <c r="AE128" s="37"/>
    </row>
    <row r="129" spans="2:31" x14ac:dyDescent="0.2">
      <c r="B129" s="31">
        <v>1</v>
      </c>
      <c r="C129" s="29">
        <v>555</v>
      </c>
      <c r="D129" s="29">
        <v>579</v>
      </c>
      <c r="E129" s="29">
        <v>564</v>
      </c>
      <c r="F129" s="29">
        <v>580</v>
      </c>
      <c r="G129" s="29">
        <v>590</v>
      </c>
      <c r="H129" s="29">
        <v>565</v>
      </c>
      <c r="I129" s="29">
        <v>760</v>
      </c>
      <c r="J129" s="30"/>
      <c r="K129" s="29">
        <f>AVERAGE(C129:G129)</f>
        <v>573.6</v>
      </c>
      <c r="L129" s="29"/>
      <c r="M129" s="29">
        <f>AVERAGE(H129:I129)</f>
        <v>662.5</v>
      </c>
      <c r="N129" s="32">
        <v>1</v>
      </c>
      <c r="O129" s="48">
        <f>K129-K152</f>
        <v>-22.600000000000023</v>
      </c>
      <c r="P129" s="37"/>
      <c r="Q129" s="40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40"/>
      <c r="AD129" s="234"/>
      <c r="AE129" s="37"/>
    </row>
    <row r="130" spans="2:31" x14ac:dyDescent="0.2">
      <c r="B130" s="15">
        <v>2</v>
      </c>
      <c r="C130" s="12">
        <v>550</v>
      </c>
      <c r="D130" s="12">
        <v>534</v>
      </c>
      <c r="E130" s="12">
        <v>537</v>
      </c>
      <c r="F130" s="12">
        <v>535</v>
      </c>
      <c r="G130" s="12">
        <v>534</v>
      </c>
      <c r="H130" s="12">
        <v>532</v>
      </c>
      <c r="I130" s="12">
        <v>651</v>
      </c>
      <c r="J130" s="26"/>
      <c r="K130" s="12">
        <f t="shared" ref="K130:K152" si="23">AVERAGE(C130:G130)</f>
        <v>538</v>
      </c>
      <c r="L130" s="12"/>
      <c r="M130" s="12">
        <f t="shared" ref="M130:M152" si="24">AVERAGE(H130:I130)</f>
        <v>591.5</v>
      </c>
      <c r="N130" s="22">
        <v>2</v>
      </c>
      <c r="O130" s="43">
        <f>K130-K129</f>
        <v>-35.600000000000023</v>
      </c>
      <c r="P130" s="37"/>
      <c r="Q130" s="40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40"/>
      <c r="AD130" s="234"/>
      <c r="AE130" s="37"/>
    </row>
    <row r="131" spans="2:31" x14ac:dyDescent="0.2">
      <c r="B131" s="15">
        <v>3</v>
      </c>
      <c r="C131" s="12">
        <v>532</v>
      </c>
      <c r="D131" s="12">
        <v>537</v>
      </c>
      <c r="E131" s="12">
        <v>531</v>
      </c>
      <c r="F131" s="12">
        <v>516</v>
      </c>
      <c r="G131" s="12">
        <v>517</v>
      </c>
      <c r="H131" s="12">
        <v>506</v>
      </c>
      <c r="I131" s="12">
        <v>690</v>
      </c>
      <c r="J131" s="26"/>
      <c r="K131" s="12">
        <f t="shared" si="23"/>
        <v>526.6</v>
      </c>
      <c r="L131" s="12"/>
      <c r="M131" s="12">
        <f t="shared" si="24"/>
        <v>598</v>
      </c>
      <c r="N131" s="22">
        <v>3</v>
      </c>
      <c r="O131" s="43">
        <f t="shared" ref="O131:O152" si="25">K131-K130</f>
        <v>-11.399999999999977</v>
      </c>
      <c r="P131" s="37"/>
      <c r="Q131" s="40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40"/>
      <c r="AD131" s="234"/>
      <c r="AE131" s="37"/>
    </row>
    <row r="132" spans="2:31" x14ac:dyDescent="0.2">
      <c r="B132" s="16">
        <v>4</v>
      </c>
      <c r="C132" s="13">
        <v>535</v>
      </c>
      <c r="D132" s="13">
        <v>531</v>
      </c>
      <c r="E132" s="13">
        <v>528</v>
      </c>
      <c r="F132" s="13">
        <v>524</v>
      </c>
      <c r="G132" s="13">
        <v>509</v>
      </c>
      <c r="H132" s="13">
        <v>486</v>
      </c>
      <c r="I132" s="13">
        <v>672</v>
      </c>
      <c r="J132" s="27"/>
      <c r="K132" s="13">
        <f t="shared" si="23"/>
        <v>525.4</v>
      </c>
      <c r="L132" s="13"/>
      <c r="M132" s="13">
        <f t="shared" si="24"/>
        <v>579</v>
      </c>
      <c r="N132" s="23">
        <v>4</v>
      </c>
      <c r="O132" s="49">
        <f t="shared" si="25"/>
        <v>-1.2000000000000455</v>
      </c>
      <c r="P132" s="37"/>
      <c r="Q132" s="40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40"/>
      <c r="AD132" s="234"/>
      <c r="AE132" s="37"/>
    </row>
    <row r="133" spans="2:31" x14ac:dyDescent="0.2">
      <c r="B133" s="31">
        <v>5</v>
      </c>
      <c r="C133" s="29">
        <v>533</v>
      </c>
      <c r="D133" s="29">
        <v>542</v>
      </c>
      <c r="E133" s="29">
        <v>539</v>
      </c>
      <c r="F133" s="29">
        <v>525</v>
      </c>
      <c r="G133" s="12">
        <v>510</v>
      </c>
      <c r="H133" s="12">
        <v>488</v>
      </c>
      <c r="I133" s="12">
        <v>659</v>
      </c>
      <c r="J133" s="30"/>
      <c r="K133" s="29">
        <f t="shared" si="23"/>
        <v>529.79999999999995</v>
      </c>
      <c r="L133" s="29"/>
      <c r="M133" s="29">
        <f t="shared" si="24"/>
        <v>573.5</v>
      </c>
      <c r="N133" s="32">
        <v>5</v>
      </c>
      <c r="O133" s="48">
        <f t="shared" si="25"/>
        <v>4.3999999999999773</v>
      </c>
      <c r="P133" s="37"/>
      <c r="Q133" s="40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40"/>
      <c r="AD133" s="234"/>
      <c r="AE133" s="37"/>
    </row>
    <row r="134" spans="2:31" x14ac:dyDescent="0.2">
      <c r="B134" s="15">
        <v>6</v>
      </c>
      <c r="C134" s="12">
        <v>575</v>
      </c>
      <c r="D134" s="12">
        <v>590</v>
      </c>
      <c r="E134" s="12">
        <v>584</v>
      </c>
      <c r="F134" s="12">
        <v>559</v>
      </c>
      <c r="G134" s="12">
        <v>525</v>
      </c>
      <c r="H134" s="12">
        <v>487</v>
      </c>
      <c r="I134" s="12">
        <v>660</v>
      </c>
      <c r="J134" s="26"/>
      <c r="K134" s="12">
        <f t="shared" si="23"/>
        <v>566.6</v>
      </c>
      <c r="L134" s="12"/>
      <c r="M134" s="12">
        <f t="shared" si="24"/>
        <v>573.5</v>
      </c>
      <c r="N134" s="22">
        <v>6</v>
      </c>
      <c r="O134" s="43">
        <f t="shared" si="25"/>
        <v>36.800000000000068</v>
      </c>
      <c r="P134" s="35">
        <v>671</v>
      </c>
      <c r="Q134" s="40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40"/>
      <c r="AD134" s="234"/>
      <c r="AE134" s="37"/>
    </row>
    <row r="135" spans="2:31" x14ac:dyDescent="0.2">
      <c r="B135" s="15">
        <v>7</v>
      </c>
      <c r="C135" s="12">
        <v>667</v>
      </c>
      <c r="D135" s="12">
        <v>700</v>
      </c>
      <c r="E135" s="12">
        <v>668</v>
      </c>
      <c r="F135" s="12">
        <v>614</v>
      </c>
      <c r="G135" s="12">
        <v>554</v>
      </c>
      <c r="H135" s="12">
        <v>489</v>
      </c>
      <c r="I135" s="12">
        <v>760</v>
      </c>
      <c r="J135" s="26"/>
      <c r="K135" s="12">
        <f t="shared" si="23"/>
        <v>640.6</v>
      </c>
      <c r="L135" s="12"/>
      <c r="M135" s="12">
        <f t="shared" si="24"/>
        <v>624.5</v>
      </c>
      <c r="N135" s="22">
        <v>7</v>
      </c>
      <c r="O135" s="43">
        <f t="shared" si="25"/>
        <v>74</v>
      </c>
      <c r="P135" s="235">
        <f>P134+O135</f>
        <v>745</v>
      </c>
      <c r="Q135" s="40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40"/>
      <c r="AD135" s="234"/>
      <c r="AE135" s="37"/>
    </row>
    <row r="136" spans="2:31" x14ac:dyDescent="0.2">
      <c r="B136" s="16">
        <v>8</v>
      </c>
      <c r="C136" s="13">
        <v>754</v>
      </c>
      <c r="D136" s="13">
        <v>731</v>
      </c>
      <c r="E136" s="13">
        <v>723</v>
      </c>
      <c r="F136" s="13">
        <v>638</v>
      </c>
      <c r="G136" s="13">
        <v>569</v>
      </c>
      <c r="H136" s="13">
        <v>487</v>
      </c>
      <c r="I136" s="13">
        <v>747</v>
      </c>
      <c r="J136" s="27"/>
      <c r="K136" s="13">
        <f t="shared" si="23"/>
        <v>683</v>
      </c>
      <c r="L136" s="13"/>
      <c r="M136" s="13">
        <f t="shared" si="24"/>
        <v>617</v>
      </c>
      <c r="N136" s="23">
        <v>8</v>
      </c>
      <c r="O136" s="49">
        <f t="shared" si="25"/>
        <v>42.399999999999977</v>
      </c>
      <c r="P136" s="235">
        <f>P135+O136</f>
        <v>787.4</v>
      </c>
      <c r="Q136" s="40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40"/>
      <c r="AD136" s="234"/>
      <c r="AE136" s="37"/>
    </row>
    <row r="137" spans="2:31" x14ac:dyDescent="0.2">
      <c r="B137" s="15">
        <v>9</v>
      </c>
      <c r="C137" s="12">
        <v>761</v>
      </c>
      <c r="D137" s="12">
        <v>757</v>
      </c>
      <c r="E137" s="12">
        <v>734</v>
      </c>
      <c r="F137" s="12">
        <v>677</v>
      </c>
      <c r="G137" s="12">
        <v>606</v>
      </c>
      <c r="H137" s="12">
        <v>495</v>
      </c>
      <c r="I137" s="12">
        <v>827</v>
      </c>
      <c r="J137" s="26"/>
      <c r="K137" s="12">
        <f t="shared" si="23"/>
        <v>707</v>
      </c>
      <c r="L137" s="12"/>
      <c r="M137" s="12">
        <f t="shared" si="24"/>
        <v>661</v>
      </c>
      <c r="N137" s="22">
        <v>9</v>
      </c>
      <c r="O137" s="48">
        <f t="shared" si="25"/>
        <v>24</v>
      </c>
      <c r="P137" s="235">
        <f>P136+O137</f>
        <v>811.4</v>
      </c>
      <c r="Q137" s="40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40"/>
      <c r="AD137" s="234"/>
      <c r="AE137" s="37"/>
    </row>
    <row r="138" spans="2:31" x14ac:dyDescent="0.2">
      <c r="B138" s="15">
        <v>10</v>
      </c>
      <c r="C138" s="12">
        <v>742</v>
      </c>
      <c r="D138" s="12">
        <v>778</v>
      </c>
      <c r="E138" s="12">
        <v>743</v>
      </c>
      <c r="F138" s="12">
        <v>698</v>
      </c>
      <c r="G138" s="12">
        <v>627</v>
      </c>
      <c r="H138" s="12">
        <v>512</v>
      </c>
      <c r="I138" s="12">
        <v>831</v>
      </c>
      <c r="J138" s="26"/>
      <c r="K138" s="12">
        <f t="shared" si="23"/>
        <v>717.6</v>
      </c>
      <c r="L138" s="12"/>
      <c r="M138" s="12">
        <f t="shared" si="24"/>
        <v>671.5</v>
      </c>
      <c r="N138" s="22">
        <v>10</v>
      </c>
      <c r="O138" s="43">
        <f t="shared" si="25"/>
        <v>10.600000000000023</v>
      </c>
      <c r="P138" s="235">
        <f t="shared" ref="P138:P150" si="26">P137+O138</f>
        <v>822</v>
      </c>
      <c r="Q138" s="40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40"/>
      <c r="AD138" s="234"/>
      <c r="AE138" s="37"/>
    </row>
    <row r="139" spans="2:31" x14ac:dyDescent="0.2">
      <c r="B139" s="15">
        <v>11</v>
      </c>
      <c r="C139" s="12">
        <v>787</v>
      </c>
      <c r="D139" s="12">
        <v>784</v>
      </c>
      <c r="E139" s="12">
        <v>749</v>
      </c>
      <c r="F139" s="12">
        <v>705</v>
      </c>
      <c r="G139" s="12">
        <v>640</v>
      </c>
      <c r="H139" s="12">
        <v>532</v>
      </c>
      <c r="I139" s="12">
        <v>819</v>
      </c>
      <c r="J139" s="26"/>
      <c r="K139" s="12">
        <f t="shared" si="23"/>
        <v>733</v>
      </c>
      <c r="L139" s="12"/>
      <c r="M139" s="12">
        <f t="shared" si="24"/>
        <v>675.5</v>
      </c>
      <c r="N139" s="22">
        <v>11</v>
      </c>
      <c r="O139" s="43">
        <f t="shared" si="25"/>
        <v>15.399999999999977</v>
      </c>
      <c r="P139" s="235">
        <f t="shared" si="26"/>
        <v>837.4</v>
      </c>
      <c r="Q139" s="40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40"/>
      <c r="AD139" s="234"/>
      <c r="AE139" s="37"/>
    </row>
    <row r="140" spans="2:31" x14ac:dyDescent="0.2">
      <c r="B140" s="16">
        <v>12</v>
      </c>
      <c r="C140" s="13">
        <v>796</v>
      </c>
      <c r="D140" s="13">
        <v>772</v>
      </c>
      <c r="E140" s="13">
        <v>750</v>
      </c>
      <c r="F140" s="13">
        <v>705</v>
      </c>
      <c r="G140" s="13">
        <v>629</v>
      </c>
      <c r="H140" s="13">
        <v>546</v>
      </c>
      <c r="I140" s="13">
        <v>820</v>
      </c>
      <c r="J140" s="27"/>
      <c r="K140" s="13">
        <f t="shared" si="23"/>
        <v>730.4</v>
      </c>
      <c r="L140" s="13"/>
      <c r="M140" s="13">
        <f t="shared" si="24"/>
        <v>683</v>
      </c>
      <c r="N140" s="23">
        <v>12</v>
      </c>
      <c r="O140" s="49">
        <f t="shared" si="25"/>
        <v>-2.6000000000000227</v>
      </c>
      <c r="P140" s="235">
        <f t="shared" si="26"/>
        <v>834.8</v>
      </c>
      <c r="Q140" s="40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40"/>
      <c r="AD140" s="234"/>
      <c r="AE140" s="37"/>
    </row>
    <row r="141" spans="2:31" x14ac:dyDescent="0.2">
      <c r="B141" s="15">
        <v>13</v>
      </c>
      <c r="C141" s="12">
        <v>792</v>
      </c>
      <c r="D141" s="12">
        <v>775</v>
      </c>
      <c r="E141" s="12">
        <v>752</v>
      </c>
      <c r="F141" s="12">
        <v>688</v>
      </c>
      <c r="G141" s="12">
        <v>619</v>
      </c>
      <c r="H141" s="12">
        <v>535</v>
      </c>
      <c r="I141" s="12">
        <v>783</v>
      </c>
      <c r="J141" s="26"/>
      <c r="K141" s="12">
        <f t="shared" si="23"/>
        <v>725.2</v>
      </c>
      <c r="L141" s="12"/>
      <c r="M141" s="12">
        <f t="shared" si="24"/>
        <v>659</v>
      </c>
      <c r="N141" s="22">
        <v>13</v>
      </c>
      <c r="O141" s="48">
        <f t="shared" si="25"/>
        <v>-5.1999999999999318</v>
      </c>
      <c r="P141" s="235">
        <f t="shared" si="26"/>
        <v>829.6</v>
      </c>
      <c r="Q141" s="40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40"/>
      <c r="AD141" s="234"/>
      <c r="AE141" s="37"/>
    </row>
    <row r="142" spans="2:31" x14ac:dyDescent="0.2">
      <c r="B142" s="15">
        <v>14</v>
      </c>
      <c r="C142" s="12">
        <v>797</v>
      </c>
      <c r="D142" s="12">
        <v>770</v>
      </c>
      <c r="E142" s="12">
        <v>754</v>
      </c>
      <c r="F142" s="12">
        <v>711</v>
      </c>
      <c r="G142" s="12">
        <v>608</v>
      </c>
      <c r="H142" s="12">
        <v>531</v>
      </c>
      <c r="I142" s="12">
        <v>761</v>
      </c>
      <c r="J142" s="26"/>
      <c r="K142" s="12">
        <f t="shared" si="23"/>
        <v>728</v>
      </c>
      <c r="L142" s="12"/>
      <c r="M142" s="12">
        <f t="shared" si="24"/>
        <v>646</v>
      </c>
      <c r="N142" s="22">
        <v>14</v>
      </c>
      <c r="O142" s="43">
        <f t="shared" si="25"/>
        <v>2.7999999999999545</v>
      </c>
      <c r="P142" s="235">
        <f t="shared" si="26"/>
        <v>832.4</v>
      </c>
      <c r="Q142" s="40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40"/>
      <c r="AD142" s="234"/>
      <c r="AE142" s="37"/>
    </row>
    <row r="143" spans="2:31" x14ac:dyDescent="0.2">
      <c r="B143" s="15">
        <v>15</v>
      </c>
      <c r="C143" s="12">
        <v>789</v>
      </c>
      <c r="D143" s="12">
        <v>765</v>
      </c>
      <c r="E143" s="12">
        <v>758</v>
      </c>
      <c r="F143" s="12">
        <v>699</v>
      </c>
      <c r="G143" s="12">
        <v>597</v>
      </c>
      <c r="H143" s="12">
        <v>523</v>
      </c>
      <c r="I143" s="12">
        <v>734</v>
      </c>
      <c r="J143" s="26"/>
      <c r="K143" s="12">
        <f t="shared" si="23"/>
        <v>721.6</v>
      </c>
      <c r="L143" s="12"/>
      <c r="M143" s="12">
        <f t="shared" si="24"/>
        <v>628.5</v>
      </c>
      <c r="N143" s="22">
        <v>15</v>
      </c>
      <c r="O143" s="43">
        <f t="shared" si="25"/>
        <v>-6.3999999999999773</v>
      </c>
      <c r="P143" s="235">
        <f t="shared" si="26"/>
        <v>826</v>
      </c>
      <c r="Q143" s="40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40"/>
      <c r="AD143" s="234"/>
      <c r="AE143" s="37"/>
    </row>
    <row r="144" spans="2:31" x14ac:dyDescent="0.2">
      <c r="B144" s="16">
        <v>16</v>
      </c>
      <c r="C144" s="13">
        <v>755</v>
      </c>
      <c r="D144" s="13">
        <v>762</v>
      </c>
      <c r="E144" s="13">
        <v>740</v>
      </c>
      <c r="F144" s="13">
        <v>685</v>
      </c>
      <c r="G144" s="13">
        <v>593</v>
      </c>
      <c r="H144" s="13">
        <v>513</v>
      </c>
      <c r="I144" s="13">
        <v>741</v>
      </c>
      <c r="J144" s="27"/>
      <c r="K144" s="13">
        <f t="shared" si="23"/>
        <v>707</v>
      </c>
      <c r="L144" s="13"/>
      <c r="M144" s="13">
        <f t="shared" si="24"/>
        <v>627</v>
      </c>
      <c r="N144" s="23">
        <v>16</v>
      </c>
      <c r="O144" s="49">
        <f t="shared" si="25"/>
        <v>-14.600000000000023</v>
      </c>
      <c r="P144" s="235">
        <f t="shared" si="26"/>
        <v>811.4</v>
      </c>
      <c r="Q144" s="40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40"/>
      <c r="AD144" s="234"/>
      <c r="AE144" s="37"/>
    </row>
    <row r="145" spans="1:31" x14ac:dyDescent="0.2">
      <c r="B145" s="15">
        <v>17</v>
      </c>
      <c r="C145" s="12">
        <v>760</v>
      </c>
      <c r="D145" s="12">
        <v>747</v>
      </c>
      <c r="E145" s="12">
        <v>731</v>
      </c>
      <c r="F145" s="12">
        <v>679</v>
      </c>
      <c r="G145" s="12">
        <v>597</v>
      </c>
      <c r="H145" s="12">
        <v>530</v>
      </c>
      <c r="I145" s="12">
        <v>762</v>
      </c>
      <c r="J145" s="26"/>
      <c r="K145" s="12">
        <f t="shared" si="23"/>
        <v>702.8</v>
      </c>
      <c r="L145" s="12"/>
      <c r="M145" s="12">
        <f t="shared" si="24"/>
        <v>646</v>
      </c>
      <c r="N145" s="22">
        <v>17</v>
      </c>
      <c r="O145" s="48">
        <f t="shared" si="25"/>
        <v>-4.2000000000000455</v>
      </c>
      <c r="P145" s="235">
        <f t="shared" si="26"/>
        <v>807.19999999999993</v>
      </c>
      <c r="Q145" s="40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40"/>
      <c r="AD145" s="234"/>
      <c r="AE145" s="37"/>
    </row>
    <row r="146" spans="1:31" x14ac:dyDescent="0.2">
      <c r="B146" s="15">
        <v>18</v>
      </c>
      <c r="C146" s="12">
        <v>750</v>
      </c>
      <c r="D146" s="12">
        <v>765</v>
      </c>
      <c r="E146" s="12">
        <v>740</v>
      </c>
      <c r="F146" s="12">
        <v>760</v>
      </c>
      <c r="G146" s="12">
        <v>678</v>
      </c>
      <c r="H146" s="12">
        <v>601</v>
      </c>
      <c r="I146" s="12">
        <v>887</v>
      </c>
      <c r="J146" s="26"/>
      <c r="K146" s="12">
        <f t="shared" si="23"/>
        <v>738.6</v>
      </c>
      <c r="L146" s="12"/>
      <c r="M146" s="12">
        <f t="shared" si="24"/>
        <v>744</v>
      </c>
      <c r="N146" s="22">
        <v>18</v>
      </c>
      <c r="O146" s="43">
        <f t="shared" si="25"/>
        <v>35.800000000000068</v>
      </c>
      <c r="P146" s="235">
        <f t="shared" si="26"/>
        <v>843</v>
      </c>
      <c r="Q146" s="40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40"/>
      <c r="AD146" s="234"/>
      <c r="AE146" s="37"/>
    </row>
    <row r="147" spans="1:31" x14ac:dyDescent="0.2">
      <c r="B147" s="15">
        <v>19</v>
      </c>
      <c r="C147" s="12">
        <v>827</v>
      </c>
      <c r="D147" s="12">
        <v>824</v>
      </c>
      <c r="E147" s="12">
        <v>804</v>
      </c>
      <c r="F147" s="12">
        <v>814</v>
      </c>
      <c r="G147" s="12">
        <v>740</v>
      </c>
      <c r="H147" s="12">
        <v>660</v>
      </c>
      <c r="I147" s="12">
        <v>928</v>
      </c>
      <c r="J147" s="26"/>
      <c r="K147" s="12">
        <f t="shared" si="23"/>
        <v>801.8</v>
      </c>
      <c r="L147" s="12"/>
      <c r="M147" s="12">
        <f t="shared" si="24"/>
        <v>794</v>
      </c>
      <c r="N147" s="22">
        <v>19</v>
      </c>
      <c r="O147" s="43">
        <f t="shared" si="25"/>
        <v>63.199999999999932</v>
      </c>
      <c r="P147" s="235">
        <f t="shared" si="26"/>
        <v>906.19999999999993</v>
      </c>
      <c r="Q147" s="40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40"/>
      <c r="AD147" s="234"/>
      <c r="AE147" s="37"/>
    </row>
    <row r="148" spans="1:31" x14ac:dyDescent="0.2">
      <c r="B148" s="16">
        <v>20</v>
      </c>
      <c r="C148" s="13">
        <v>820</v>
      </c>
      <c r="D148" s="13">
        <v>816</v>
      </c>
      <c r="E148" s="13">
        <v>802</v>
      </c>
      <c r="F148" s="13">
        <v>809</v>
      </c>
      <c r="G148" s="13">
        <v>721</v>
      </c>
      <c r="H148" s="13">
        <v>664</v>
      </c>
      <c r="I148" s="13">
        <v>932</v>
      </c>
      <c r="J148" s="27"/>
      <c r="K148" s="13">
        <f t="shared" si="23"/>
        <v>793.6</v>
      </c>
      <c r="L148" s="13"/>
      <c r="M148" s="13">
        <f t="shared" si="24"/>
        <v>798</v>
      </c>
      <c r="N148" s="23">
        <v>20</v>
      </c>
      <c r="O148" s="49">
        <f t="shared" si="25"/>
        <v>-8.1999999999999318</v>
      </c>
      <c r="P148" s="235">
        <f t="shared" si="26"/>
        <v>898</v>
      </c>
      <c r="Q148" s="40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40"/>
      <c r="AD148" s="234"/>
      <c r="AE148" s="37"/>
    </row>
    <row r="149" spans="1:31" x14ac:dyDescent="0.2">
      <c r="B149" s="15">
        <v>21</v>
      </c>
      <c r="C149" s="12">
        <v>813</v>
      </c>
      <c r="D149" s="12">
        <v>805</v>
      </c>
      <c r="E149" s="12">
        <v>782</v>
      </c>
      <c r="F149" s="12">
        <v>798</v>
      </c>
      <c r="G149" s="12">
        <v>686</v>
      </c>
      <c r="H149" s="12">
        <v>652</v>
      </c>
      <c r="I149" s="12">
        <v>893</v>
      </c>
      <c r="J149" s="26"/>
      <c r="K149" s="12">
        <f t="shared" si="23"/>
        <v>776.8</v>
      </c>
      <c r="L149" s="12"/>
      <c r="M149" s="12">
        <f t="shared" si="24"/>
        <v>772.5</v>
      </c>
      <c r="N149" s="22">
        <v>21</v>
      </c>
      <c r="O149" s="48">
        <f t="shared" si="25"/>
        <v>-16.800000000000068</v>
      </c>
      <c r="P149" s="235">
        <f t="shared" si="26"/>
        <v>881.19999999999993</v>
      </c>
      <c r="Q149" s="40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40"/>
      <c r="AD149" s="234"/>
      <c r="AE149" s="37"/>
    </row>
    <row r="150" spans="1:31" x14ac:dyDescent="0.2">
      <c r="B150" s="15">
        <v>22</v>
      </c>
      <c r="C150" s="12">
        <v>744</v>
      </c>
      <c r="D150" s="12">
        <v>761</v>
      </c>
      <c r="E150" s="12">
        <v>737</v>
      </c>
      <c r="F150" s="12">
        <v>771</v>
      </c>
      <c r="G150" s="12">
        <v>654</v>
      </c>
      <c r="H150" s="12">
        <v>639</v>
      </c>
      <c r="I150" s="12">
        <v>860</v>
      </c>
      <c r="J150" s="26"/>
      <c r="K150" s="12">
        <f t="shared" si="23"/>
        <v>733.4</v>
      </c>
      <c r="L150" s="12"/>
      <c r="M150" s="12">
        <f t="shared" si="24"/>
        <v>749.5</v>
      </c>
      <c r="N150" s="22">
        <v>22</v>
      </c>
      <c r="O150" s="43">
        <f t="shared" si="25"/>
        <v>-43.399999999999977</v>
      </c>
      <c r="P150" s="235">
        <f t="shared" si="26"/>
        <v>837.8</v>
      </c>
      <c r="Q150" s="40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40"/>
      <c r="AD150" s="234"/>
      <c r="AE150" s="37"/>
    </row>
    <row r="151" spans="1:31" x14ac:dyDescent="0.2">
      <c r="B151" s="15">
        <v>23</v>
      </c>
      <c r="C151" s="12">
        <v>679</v>
      </c>
      <c r="D151" s="12">
        <v>663</v>
      </c>
      <c r="E151" s="12">
        <v>669</v>
      </c>
      <c r="F151" s="12">
        <v>681</v>
      </c>
      <c r="G151" s="12">
        <v>622</v>
      </c>
      <c r="H151" s="12">
        <v>614</v>
      </c>
      <c r="I151" s="12">
        <v>833</v>
      </c>
      <c r="J151" s="26"/>
      <c r="K151" s="12">
        <f t="shared" si="23"/>
        <v>662.8</v>
      </c>
      <c r="L151" s="12"/>
      <c r="M151" s="12">
        <f t="shared" si="24"/>
        <v>723.5</v>
      </c>
      <c r="N151" s="22">
        <v>23</v>
      </c>
      <c r="O151" s="43">
        <f t="shared" si="25"/>
        <v>-70.600000000000023</v>
      </c>
      <c r="P151" s="235"/>
      <c r="Q151" s="40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40"/>
      <c r="AD151" s="234"/>
      <c r="AE151" s="37"/>
    </row>
    <row r="152" spans="1:31" x14ac:dyDescent="0.2">
      <c r="B152" s="16">
        <v>24</v>
      </c>
      <c r="C152" s="12">
        <v>618</v>
      </c>
      <c r="D152" s="12">
        <v>604</v>
      </c>
      <c r="E152" s="12">
        <v>573</v>
      </c>
      <c r="F152" s="12">
        <v>600</v>
      </c>
      <c r="G152" s="13">
        <v>586</v>
      </c>
      <c r="H152" s="13">
        <v>564</v>
      </c>
      <c r="I152" s="13">
        <v>748</v>
      </c>
      <c r="J152" s="27"/>
      <c r="K152" s="12">
        <f t="shared" si="23"/>
        <v>596.20000000000005</v>
      </c>
      <c r="L152" s="13"/>
      <c r="M152" s="12">
        <f t="shared" si="24"/>
        <v>656</v>
      </c>
      <c r="N152" s="23">
        <v>24</v>
      </c>
      <c r="O152" s="49">
        <f t="shared" si="25"/>
        <v>-66.599999999999909</v>
      </c>
      <c r="P152" s="235"/>
      <c r="Q152" s="40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40"/>
      <c r="AD152" s="234"/>
      <c r="AE152" s="37"/>
    </row>
    <row r="153" spans="1:31" ht="13.5" thickBot="1" x14ac:dyDescent="0.25">
      <c r="B153" s="17" t="s">
        <v>54</v>
      </c>
      <c r="C153" s="25">
        <f t="shared" ref="C153:I153" si="27">SUM(C129:C152)</f>
        <v>16931</v>
      </c>
      <c r="D153" s="25">
        <f t="shared" si="27"/>
        <v>16892</v>
      </c>
      <c r="E153" s="25">
        <f t="shared" si="27"/>
        <v>16492</v>
      </c>
      <c r="F153" s="25">
        <f t="shared" si="27"/>
        <v>15971</v>
      </c>
      <c r="G153" s="25">
        <f t="shared" si="27"/>
        <v>14511</v>
      </c>
      <c r="H153" s="25">
        <f t="shared" si="27"/>
        <v>13151</v>
      </c>
      <c r="I153" s="25">
        <f t="shared" si="27"/>
        <v>18758</v>
      </c>
      <c r="J153" s="25"/>
      <c r="K153" s="25">
        <f>SUM(K129:K152)</f>
        <v>16159.399999999998</v>
      </c>
      <c r="L153" s="25"/>
      <c r="M153" s="25">
        <f>SUM(M129:M152)</f>
        <v>15954.5</v>
      </c>
      <c r="N153" s="24"/>
      <c r="O153" s="44"/>
      <c r="P153" s="37"/>
      <c r="Q153" s="35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37"/>
      <c r="AD153" s="236"/>
      <c r="AE153" s="37"/>
    </row>
    <row r="154" spans="1:31" ht="13.5" thickTop="1" x14ac:dyDescent="0.2">
      <c r="B154" t="s">
        <v>66</v>
      </c>
      <c r="C154">
        <v>59</v>
      </c>
      <c r="D154">
        <v>60</v>
      </c>
      <c r="E154">
        <v>63</v>
      </c>
      <c r="F154">
        <v>69</v>
      </c>
      <c r="G154">
        <v>67</v>
      </c>
      <c r="H154">
        <v>67</v>
      </c>
      <c r="I154">
        <v>60</v>
      </c>
      <c r="K154" s="110">
        <f>AVERAGE(C154:H154)</f>
        <v>64.166666666666671</v>
      </c>
      <c r="M154">
        <f>AVERAGE(H154:I154)</f>
        <v>63.5</v>
      </c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237"/>
      <c r="AA154" s="37"/>
      <c r="AB154" s="37"/>
      <c r="AC154" s="37"/>
      <c r="AD154" s="37"/>
      <c r="AE154" s="37"/>
    </row>
    <row r="155" spans="1:31" x14ac:dyDescent="0.2">
      <c r="B155" s="109" t="s">
        <v>67</v>
      </c>
      <c r="C155">
        <v>30</v>
      </c>
      <c r="D155">
        <v>31</v>
      </c>
      <c r="E155">
        <v>39</v>
      </c>
      <c r="F155">
        <v>37</v>
      </c>
      <c r="G155">
        <v>36</v>
      </c>
      <c r="H155">
        <v>43</v>
      </c>
      <c r="I155">
        <v>35</v>
      </c>
      <c r="K155" s="110">
        <f>AVERAGE(C155:H155)</f>
        <v>36</v>
      </c>
      <c r="M155" s="110">
        <f>AVERAGE(H155:I155)</f>
        <v>39</v>
      </c>
      <c r="P155" s="37"/>
      <c r="Q155" s="238"/>
      <c r="R155" s="37"/>
      <c r="S155" s="37"/>
      <c r="T155" s="37"/>
      <c r="U155" s="37"/>
      <c r="V155" s="37"/>
      <c r="W155" s="37"/>
      <c r="X155" s="37"/>
      <c r="Y155" s="37"/>
      <c r="Z155" s="237"/>
      <c r="AA155" s="37"/>
      <c r="AB155" s="237"/>
      <c r="AC155" s="37"/>
      <c r="AD155" s="37"/>
      <c r="AE155" s="37"/>
    </row>
    <row r="156" spans="1:31" x14ac:dyDescent="0.2">
      <c r="B156" s="109"/>
      <c r="K156" s="110"/>
      <c r="M156" s="110"/>
      <c r="P156" s="37"/>
      <c r="Q156" s="238"/>
      <c r="R156" s="37"/>
      <c r="S156" s="37"/>
      <c r="T156" s="37"/>
      <c r="U156" s="37"/>
      <c r="V156" s="37"/>
      <c r="W156" s="37"/>
      <c r="X156" s="37"/>
      <c r="Y156" s="37"/>
      <c r="Z156" s="237"/>
      <c r="AA156" s="37"/>
      <c r="AB156" s="237"/>
      <c r="AC156" s="37"/>
      <c r="AD156" s="37"/>
      <c r="AE156" s="37"/>
    </row>
    <row r="157" spans="1:31" x14ac:dyDescent="0.2">
      <c r="B157" t="s">
        <v>64</v>
      </c>
      <c r="C157">
        <v>1</v>
      </c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</row>
    <row r="158" spans="1:31" x14ac:dyDescent="0.2"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</row>
    <row r="159" spans="1:31" ht="15.75" x14ac:dyDescent="0.25">
      <c r="A159" s="10"/>
      <c r="B159" s="122">
        <f>A1</f>
        <v>36557</v>
      </c>
      <c r="C159" s="10"/>
      <c r="D159" s="10"/>
      <c r="E159" s="10"/>
      <c r="F159" s="10"/>
      <c r="G159" s="11" t="s">
        <v>59</v>
      </c>
      <c r="H159" s="10"/>
      <c r="I159" s="10"/>
      <c r="J159" s="10"/>
      <c r="K159" s="10"/>
      <c r="L159" s="10"/>
      <c r="M159" s="10"/>
      <c r="N159" s="10"/>
      <c r="P159" s="232"/>
      <c r="Q159" s="232"/>
      <c r="R159" s="232"/>
      <c r="S159" s="232"/>
      <c r="T159" s="232"/>
      <c r="U159" s="232"/>
      <c r="V159" s="233"/>
      <c r="W159" s="232"/>
      <c r="X159" s="232"/>
      <c r="Y159" s="232"/>
      <c r="Z159" s="232"/>
      <c r="AA159" s="232"/>
      <c r="AB159" s="232"/>
      <c r="AC159" s="232"/>
      <c r="AD159" s="37"/>
      <c r="AE159" s="37"/>
    </row>
    <row r="160" spans="1:31" x14ac:dyDescent="0.2">
      <c r="F160" t="s">
        <v>61</v>
      </c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</row>
    <row r="161" spans="2:31" x14ac:dyDescent="0.2"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</row>
    <row r="162" spans="2:31" x14ac:dyDescent="0.2">
      <c r="B162" s="14" t="s">
        <v>53</v>
      </c>
      <c r="C162" s="18" t="s">
        <v>46</v>
      </c>
      <c r="D162" s="18" t="s">
        <v>47</v>
      </c>
      <c r="E162" s="18" t="s">
        <v>48</v>
      </c>
      <c r="F162" s="18" t="s">
        <v>49</v>
      </c>
      <c r="G162" s="18" t="s">
        <v>50</v>
      </c>
      <c r="H162" s="18" t="s">
        <v>51</v>
      </c>
      <c r="I162" s="18" t="s">
        <v>52</v>
      </c>
      <c r="J162" s="19"/>
      <c r="K162" s="306" t="s">
        <v>149</v>
      </c>
      <c r="L162" s="20"/>
      <c r="M162" s="306" t="s">
        <v>150</v>
      </c>
      <c r="N162" s="21" t="s">
        <v>53</v>
      </c>
      <c r="O162" s="42" t="s">
        <v>63</v>
      </c>
      <c r="P162" s="37"/>
      <c r="Q162" s="35"/>
      <c r="R162" s="36"/>
      <c r="S162" s="36"/>
      <c r="T162" s="36"/>
      <c r="U162" s="36"/>
      <c r="V162" s="36"/>
      <c r="W162" s="36"/>
      <c r="X162" s="36"/>
      <c r="Y162" s="37"/>
      <c r="Z162" s="38"/>
      <c r="AA162" s="39"/>
      <c r="AB162" s="38"/>
      <c r="AC162" s="35"/>
      <c r="AD162" s="36"/>
      <c r="AE162" s="37"/>
    </row>
    <row r="163" spans="2:31" x14ac:dyDescent="0.2">
      <c r="B163" s="31">
        <v>1</v>
      </c>
      <c r="C163" s="29">
        <f t="shared" ref="C163:I172" si="28">AVERAGE(C5,C98,C67,C36,C129)*$C$157</f>
        <v>561.6</v>
      </c>
      <c r="D163" s="29">
        <f t="shared" si="28"/>
        <v>567.6</v>
      </c>
      <c r="E163" s="29">
        <f t="shared" si="28"/>
        <v>585.6</v>
      </c>
      <c r="F163" s="29">
        <f t="shared" si="28"/>
        <v>578.6</v>
      </c>
      <c r="G163" s="29">
        <f t="shared" si="28"/>
        <v>583.4</v>
      </c>
      <c r="H163" s="29">
        <f t="shared" si="28"/>
        <v>582.20000000000005</v>
      </c>
      <c r="I163" s="29">
        <f t="shared" si="28"/>
        <v>602.79999999999995</v>
      </c>
      <c r="J163" s="30"/>
      <c r="K163" s="29">
        <f>AVERAGE(C163:G163)</f>
        <v>575.36</v>
      </c>
      <c r="L163" s="29"/>
      <c r="M163" s="29">
        <f t="shared" ref="M163:M186" si="29">AVERAGE(M5,M98,M67,M36)</f>
        <v>575</v>
      </c>
      <c r="N163" s="32">
        <v>1</v>
      </c>
      <c r="O163" s="48">
        <f>K163-K186</f>
        <v>-36.360000000000014</v>
      </c>
      <c r="P163" s="37"/>
      <c r="Q163" s="40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40"/>
      <c r="AD163" s="234"/>
      <c r="AE163" s="37"/>
    </row>
    <row r="164" spans="2:31" x14ac:dyDescent="0.2">
      <c r="B164" s="15">
        <v>2</v>
      </c>
      <c r="C164" s="12">
        <f t="shared" si="28"/>
        <v>540.4</v>
      </c>
      <c r="D164" s="12">
        <f t="shared" si="28"/>
        <v>542.4</v>
      </c>
      <c r="E164" s="12">
        <f t="shared" si="28"/>
        <v>560.79999999999995</v>
      </c>
      <c r="F164" s="12">
        <f t="shared" si="28"/>
        <v>555.4</v>
      </c>
      <c r="G164" s="12">
        <f t="shared" si="28"/>
        <v>562</v>
      </c>
      <c r="H164" s="12">
        <f t="shared" si="28"/>
        <v>561.79999999999995</v>
      </c>
      <c r="I164" s="12">
        <f t="shared" si="28"/>
        <v>562.4</v>
      </c>
      <c r="J164" s="26"/>
      <c r="K164" s="12">
        <f t="shared" ref="K164:K186" si="30">AVERAGE(C164:G164)</f>
        <v>552.20000000000005</v>
      </c>
      <c r="L164" s="12"/>
      <c r="M164" s="12">
        <f t="shared" si="29"/>
        <v>554.75</v>
      </c>
      <c r="N164" s="22">
        <v>2</v>
      </c>
      <c r="O164" s="43">
        <f>K164-K163</f>
        <v>-23.159999999999968</v>
      </c>
      <c r="P164" s="37"/>
      <c r="Q164" s="40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40"/>
      <c r="AD164" s="234"/>
      <c r="AE164" s="37"/>
    </row>
    <row r="165" spans="2:31" x14ac:dyDescent="0.2">
      <c r="B165" s="15">
        <v>3</v>
      </c>
      <c r="C165" s="12">
        <f t="shared" si="28"/>
        <v>528.4</v>
      </c>
      <c r="D165" s="12">
        <f t="shared" si="28"/>
        <v>535.79999999999995</v>
      </c>
      <c r="E165" s="12">
        <f t="shared" si="28"/>
        <v>558.6</v>
      </c>
      <c r="F165" s="12">
        <f t="shared" si="28"/>
        <v>543.6</v>
      </c>
      <c r="G165" s="12">
        <f t="shared" si="28"/>
        <v>550.4</v>
      </c>
      <c r="H165" s="12">
        <f t="shared" si="28"/>
        <v>545.4</v>
      </c>
      <c r="I165" s="12">
        <f t="shared" si="28"/>
        <v>563.6</v>
      </c>
      <c r="J165" s="26"/>
      <c r="K165" s="12">
        <f t="shared" si="30"/>
        <v>543.3599999999999</v>
      </c>
      <c r="L165" s="12"/>
      <c r="M165" s="12">
        <f t="shared" si="29"/>
        <v>543.625</v>
      </c>
      <c r="N165" s="22">
        <v>3</v>
      </c>
      <c r="O165" s="43">
        <f t="shared" ref="O165:O186" si="31">K165-K164</f>
        <v>-8.8400000000001455</v>
      </c>
      <c r="P165" s="37"/>
      <c r="Q165" s="40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40"/>
      <c r="AD165" s="234"/>
      <c r="AE165" s="37"/>
    </row>
    <row r="166" spans="2:31" x14ac:dyDescent="0.2">
      <c r="B166" s="16">
        <v>4</v>
      </c>
      <c r="C166" s="13">
        <f t="shared" si="28"/>
        <v>530.79999999999995</v>
      </c>
      <c r="D166" s="13">
        <f t="shared" si="28"/>
        <v>527.20000000000005</v>
      </c>
      <c r="E166" s="13">
        <f t="shared" si="28"/>
        <v>547.79999999999995</v>
      </c>
      <c r="F166" s="13">
        <f t="shared" si="28"/>
        <v>542.6</v>
      </c>
      <c r="G166" s="13">
        <f t="shared" si="28"/>
        <v>544</v>
      </c>
      <c r="H166" s="13">
        <f t="shared" si="28"/>
        <v>532.79999999999995</v>
      </c>
      <c r="I166" s="13">
        <f t="shared" si="28"/>
        <v>554</v>
      </c>
      <c r="J166" s="27"/>
      <c r="K166" s="13">
        <f t="shared" si="30"/>
        <v>538.48</v>
      </c>
      <c r="L166" s="13"/>
      <c r="M166" s="13">
        <f t="shared" si="29"/>
        <v>534.5</v>
      </c>
      <c r="N166" s="23">
        <v>4</v>
      </c>
      <c r="O166" s="49">
        <f t="shared" si="31"/>
        <v>-4.8799999999998818</v>
      </c>
      <c r="P166" s="37"/>
      <c r="Q166" s="40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40"/>
      <c r="AD166" s="234"/>
      <c r="AE166" s="37"/>
    </row>
    <row r="167" spans="2:31" x14ac:dyDescent="0.2">
      <c r="B167" s="31">
        <v>5</v>
      </c>
      <c r="C167" s="29">
        <f t="shared" si="28"/>
        <v>538</v>
      </c>
      <c r="D167" s="29">
        <f t="shared" si="28"/>
        <v>541.4</v>
      </c>
      <c r="E167" s="29">
        <f t="shared" si="28"/>
        <v>567.4</v>
      </c>
      <c r="F167" s="29">
        <f t="shared" si="28"/>
        <v>551</v>
      </c>
      <c r="G167" s="29">
        <f t="shared" si="28"/>
        <v>558.4</v>
      </c>
      <c r="H167" s="29">
        <f t="shared" si="28"/>
        <v>546.20000000000005</v>
      </c>
      <c r="I167" s="29">
        <f t="shared" si="28"/>
        <v>555</v>
      </c>
      <c r="J167" s="30"/>
      <c r="K167" s="29">
        <f t="shared" si="30"/>
        <v>551.24</v>
      </c>
      <c r="L167" s="29"/>
      <c r="M167" s="29">
        <f t="shared" si="29"/>
        <v>544.875</v>
      </c>
      <c r="N167" s="32">
        <v>5</v>
      </c>
      <c r="O167" s="48">
        <f t="shared" si="31"/>
        <v>12.759999999999991</v>
      </c>
      <c r="P167" s="37"/>
      <c r="Q167" s="40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40"/>
      <c r="AD167" s="234"/>
      <c r="AE167" s="37"/>
    </row>
    <row r="168" spans="2:31" x14ac:dyDescent="0.2">
      <c r="B168" s="15">
        <v>6</v>
      </c>
      <c r="C168" s="12">
        <f t="shared" si="28"/>
        <v>585.6</v>
      </c>
      <c r="D168" s="12">
        <f t="shared" si="28"/>
        <v>587.6</v>
      </c>
      <c r="E168" s="12">
        <f t="shared" si="28"/>
        <v>621.6</v>
      </c>
      <c r="F168" s="12">
        <f t="shared" si="28"/>
        <v>604.79999999999995</v>
      </c>
      <c r="G168" s="12">
        <f t="shared" si="28"/>
        <v>603.4</v>
      </c>
      <c r="H168" s="12">
        <f t="shared" si="28"/>
        <v>569</v>
      </c>
      <c r="I168" s="12">
        <f t="shared" si="28"/>
        <v>553.4</v>
      </c>
      <c r="J168" s="26"/>
      <c r="K168" s="12">
        <f t="shared" si="30"/>
        <v>600.60000000000014</v>
      </c>
      <c r="L168" s="12"/>
      <c r="M168" s="12">
        <f t="shared" si="29"/>
        <v>558.125</v>
      </c>
      <c r="N168" s="22">
        <v>6</v>
      </c>
      <c r="O168" s="43">
        <f t="shared" si="31"/>
        <v>49.360000000000127</v>
      </c>
      <c r="P168" s="37">
        <v>722</v>
      </c>
      <c r="Q168" s="40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40"/>
      <c r="AD168" s="234"/>
      <c r="AE168" s="37"/>
    </row>
    <row r="169" spans="2:31" x14ac:dyDescent="0.2">
      <c r="B169" s="15">
        <v>7</v>
      </c>
      <c r="C169" s="12">
        <f t="shared" si="28"/>
        <v>692.2</v>
      </c>
      <c r="D169" s="12">
        <f t="shared" si="28"/>
        <v>679.2</v>
      </c>
      <c r="E169" s="12">
        <f t="shared" si="28"/>
        <v>709.2</v>
      </c>
      <c r="F169" s="12">
        <f t="shared" si="28"/>
        <v>695.4</v>
      </c>
      <c r="G169" s="12">
        <f t="shared" si="28"/>
        <v>682.8</v>
      </c>
      <c r="H169" s="12">
        <f t="shared" si="28"/>
        <v>607</v>
      </c>
      <c r="I169" s="12">
        <f t="shared" si="28"/>
        <v>600.4</v>
      </c>
      <c r="J169" s="26"/>
      <c r="K169" s="12">
        <f t="shared" si="30"/>
        <v>691.76</v>
      </c>
      <c r="L169" s="12"/>
      <c r="M169" s="12">
        <f t="shared" si="29"/>
        <v>598.5</v>
      </c>
      <c r="N169" s="22">
        <v>7</v>
      </c>
      <c r="O169" s="43">
        <f t="shared" si="31"/>
        <v>91.159999999999854</v>
      </c>
      <c r="P169" s="228">
        <f>P168+O169</f>
        <v>813.15999999999985</v>
      </c>
      <c r="Q169" s="40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40"/>
      <c r="AD169" s="234"/>
      <c r="AE169" s="37"/>
    </row>
    <row r="170" spans="2:31" x14ac:dyDescent="0.2">
      <c r="B170" s="16">
        <v>8</v>
      </c>
      <c r="C170" s="13">
        <f t="shared" si="28"/>
        <v>742.8</v>
      </c>
      <c r="D170" s="13">
        <f t="shared" si="28"/>
        <v>719.6</v>
      </c>
      <c r="E170" s="13">
        <f t="shared" si="28"/>
        <v>762</v>
      </c>
      <c r="F170" s="13">
        <f t="shared" si="28"/>
        <v>728.6</v>
      </c>
      <c r="G170" s="13">
        <f t="shared" si="28"/>
        <v>707.6</v>
      </c>
      <c r="H170" s="13">
        <f t="shared" si="28"/>
        <v>613.20000000000005</v>
      </c>
      <c r="I170" s="13">
        <f t="shared" si="28"/>
        <v>602.79999999999995</v>
      </c>
      <c r="J170" s="27"/>
      <c r="K170" s="13">
        <f t="shared" si="30"/>
        <v>732.12</v>
      </c>
      <c r="L170" s="13"/>
      <c r="M170" s="13">
        <f t="shared" si="29"/>
        <v>605.75</v>
      </c>
      <c r="N170" s="23">
        <v>8</v>
      </c>
      <c r="O170" s="49">
        <f t="shared" si="31"/>
        <v>40.360000000000014</v>
      </c>
      <c r="P170" s="228">
        <f>P169+O170</f>
        <v>853.51999999999987</v>
      </c>
      <c r="Q170" s="40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40"/>
      <c r="AD170" s="234"/>
      <c r="AE170" s="37"/>
    </row>
    <row r="171" spans="2:31" x14ac:dyDescent="0.2">
      <c r="B171" s="15">
        <v>9</v>
      </c>
      <c r="C171" s="29">
        <f t="shared" si="28"/>
        <v>747.2</v>
      </c>
      <c r="D171" s="29">
        <f t="shared" si="28"/>
        <v>742.2</v>
      </c>
      <c r="E171" s="29">
        <f t="shared" si="28"/>
        <v>766.2</v>
      </c>
      <c r="F171" s="29">
        <f t="shared" si="28"/>
        <v>743.4</v>
      </c>
      <c r="G171" s="29">
        <f t="shared" si="28"/>
        <v>724.6</v>
      </c>
      <c r="H171" s="29">
        <f t="shared" si="28"/>
        <v>643.20000000000005</v>
      </c>
      <c r="I171" s="29">
        <f t="shared" si="28"/>
        <v>638.6</v>
      </c>
      <c r="J171" s="26"/>
      <c r="K171" s="12">
        <f t="shared" si="30"/>
        <v>744.72</v>
      </c>
      <c r="L171" s="12"/>
      <c r="M171" s="12">
        <f t="shared" si="29"/>
        <v>635.875</v>
      </c>
      <c r="N171" s="22">
        <v>9</v>
      </c>
      <c r="O171" s="48">
        <f t="shared" si="31"/>
        <v>12.600000000000023</v>
      </c>
      <c r="P171" s="228">
        <f>P170+O171</f>
        <v>866.11999999999989</v>
      </c>
      <c r="Q171" s="40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40"/>
      <c r="AD171" s="234"/>
      <c r="AE171" s="37"/>
    </row>
    <row r="172" spans="2:31" x14ac:dyDescent="0.2">
      <c r="B172" s="15">
        <v>10</v>
      </c>
      <c r="C172" s="12">
        <f t="shared" si="28"/>
        <v>761.8</v>
      </c>
      <c r="D172" s="12">
        <f t="shared" si="28"/>
        <v>758.6</v>
      </c>
      <c r="E172" s="12">
        <f t="shared" si="28"/>
        <v>765.4</v>
      </c>
      <c r="F172" s="12">
        <f t="shared" si="28"/>
        <v>758.2</v>
      </c>
      <c r="G172" s="12">
        <f t="shared" si="28"/>
        <v>738.8</v>
      </c>
      <c r="H172" s="12">
        <f t="shared" si="28"/>
        <v>663.6</v>
      </c>
      <c r="I172" s="12">
        <f t="shared" si="28"/>
        <v>659.8</v>
      </c>
      <c r="J172" s="26"/>
      <c r="K172" s="12">
        <f t="shared" si="30"/>
        <v>756.56000000000006</v>
      </c>
      <c r="L172" s="12"/>
      <c r="M172" s="12">
        <f t="shared" si="29"/>
        <v>659.25</v>
      </c>
      <c r="N172" s="22">
        <v>10</v>
      </c>
      <c r="O172" s="43">
        <f t="shared" si="31"/>
        <v>11.840000000000032</v>
      </c>
      <c r="P172" s="228">
        <f t="shared" ref="P172:P183" si="32">P171+O172</f>
        <v>877.95999999999992</v>
      </c>
      <c r="Q172" s="40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40"/>
      <c r="AD172" s="234"/>
      <c r="AE172" s="37"/>
    </row>
    <row r="173" spans="2:31" x14ac:dyDescent="0.2">
      <c r="B173" s="15">
        <v>11</v>
      </c>
      <c r="C173" s="12">
        <f t="shared" ref="C173:I182" si="33">AVERAGE(C15,C108,C77,C46,C139)*$C$157</f>
        <v>778</v>
      </c>
      <c r="D173" s="12">
        <f t="shared" si="33"/>
        <v>769.2</v>
      </c>
      <c r="E173" s="12">
        <f t="shared" si="33"/>
        <v>773.4</v>
      </c>
      <c r="F173" s="12">
        <f t="shared" si="33"/>
        <v>768.8</v>
      </c>
      <c r="G173" s="12">
        <f t="shared" si="33"/>
        <v>749</v>
      </c>
      <c r="H173" s="12">
        <f t="shared" si="33"/>
        <v>672.2</v>
      </c>
      <c r="I173" s="12">
        <f t="shared" si="33"/>
        <v>668.4</v>
      </c>
      <c r="J173" s="26"/>
      <c r="K173" s="12">
        <f t="shared" si="30"/>
        <v>767.68</v>
      </c>
      <c r="L173" s="12"/>
      <c r="M173" s="12">
        <f t="shared" si="29"/>
        <v>669</v>
      </c>
      <c r="N173" s="22">
        <v>11</v>
      </c>
      <c r="O173" s="43">
        <f t="shared" si="31"/>
        <v>11.119999999999891</v>
      </c>
      <c r="P173" s="228">
        <f t="shared" si="32"/>
        <v>889.07999999999981</v>
      </c>
      <c r="Q173" s="40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40"/>
      <c r="AD173" s="234"/>
      <c r="AE173" s="37"/>
    </row>
    <row r="174" spans="2:31" x14ac:dyDescent="0.2">
      <c r="B174" s="16">
        <v>12</v>
      </c>
      <c r="C174" s="13">
        <f t="shared" si="33"/>
        <v>784.2</v>
      </c>
      <c r="D174" s="13">
        <f t="shared" si="33"/>
        <v>763</v>
      </c>
      <c r="E174" s="13">
        <f t="shared" si="33"/>
        <v>766</v>
      </c>
      <c r="F174" s="13">
        <f t="shared" si="33"/>
        <v>761.6</v>
      </c>
      <c r="G174" s="13">
        <f t="shared" si="33"/>
        <v>746.4</v>
      </c>
      <c r="H174" s="13">
        <f t="shared" si="33"/>
        <v>673.8</v>
      </c>
      <c r="I174" s="13">
        <f t="shared" si="33"/>
        <v>663.6</v>
      </c>
      <c r="J174" s="27"/>
      <c r="K174" s="13">
        <f t="shared" si="30"/>
        <v>764.24</v>
      </c>
      <c r="L174" s="13"/>
      <c r="M174" s="13">
        <f t="shared" si="29"/>
        <v>665.125</v>
      </c>
      <c r="N174" s="23">
        <v>12</v>
      </c>
      <c r="O174" s="49">
        <f t="shared" si="31"/>
        <v>-3.4399999999999409</v>
      </c>
      <c r="P174" s="228">
        <f t="shared" si="32"/>
        <v>885.63999999999987</v>
      </c>
      <c r="Q174" s="40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40"/>
      <c r="AD174" s="234"/>
      <c r="AE174" s="37"/>
    </row>
    <row r="175" spans="2:31" x14ac:dyDescent="0.2">
      <c r="B175" s="15">
        <v>13</v>
      </c>
      <c r="C175" s="29">
        <f t="shared" si="33"/>
        <v>769.2</v>
      </c>
      <c r="D175" s="29">
        <f t="shared" si="33"/>
        <v>755.6</v>
      </c>
      <c r="E175" s="29">
        <f t="shared" si="33"/>
        <v>761.4</v>
      </c>
      <c r="F175" s="29">
        <f t="shared" si="33"/>
        <v>749</v>
      </c>
      <c r="G175" s="29">
        <f t="shared" si="33"/>
        <v>729.4</v>
      </c>
      <c r="H175" s="29">
        <f t="shared" si="33"/>
        <v>664.4</v>
      </c>
      <c r="I175" s="29">
        <f t="shared" si="33"/>
        <v>655</v>
      </c>
      <c r="J175" s="26"/>
      <c r="K175" s="12">
        <f t="shared" si="30"/>
        <v>752.92000000000007</v>
      </c>
      <c r="L175" s="12"/>
      <c r="M175" s="12">
        <f t="shared" si="29"/>
        <v>659.875</v>
      </c>
      <c r="N175" s="22">
        <v>13</v>
      </c>
      <c r="O175" s="48">
        <f t="shared" si="31"/>
        <v>-11.319999999999936</v>
      </c>
      <c r="P175" s="228">
        <f t="shared" si="32"/>
        <v>874.31999999999994</v>
      </c>
      <c r="Q175" s="40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40"/>
      <c r="AD175" s="234"/>
      <c r="AE175" s="37"/>
    </row>
    <row r="176" spans="2:31" x14ac:dyDescent="0.2">
      <c r="B176" s="15">
        <v>14</v>
      </c>
      <c r="C176" s="12">
        <f t="shared" si="33"/>
        <v>775.8</v>
      </c>
      <c r="D176" s="12">
        <f t="shared" si="33"/>
        <v>752.6</v>
      </c>
      <c r="E176" s="12">
        <f t="shared" si="33"/>
        <v>766</v>
      </c>
      <c r="F176" s="12">
        <f t="shared" si="33"/>
        <v>757.8</v>
      </c>
      <c r="G176" s="12">
        <f t="shared" si="33"/>
        <v>729.4</v>
      </c>
      <c r="H176" s="12">
        <f t="shared" si="33"/>
        <v>651</v>
      </c>
      <c r="I176" s="12">
        <f t="shared" si="33"/>
        <v>645.4</v>
      </c>
      <c r="J176" s="26"/>
      <c r="K176" s="12">
        <f t="shared" si="30"/>
        <v>756.31999999999994</v>
      </c>
      <c r="L176" s="12"/>
      <c r="M176" s="12">
        <f t="shared" si="29"/>
        <v>648.75</v>
      </c>
      <c r="N176" s="22">
        <v>14</v>
      </c>
      <c r="O176" s="43">
        <f t="shared" si="31"/>
        <v>3.3999999999998636</v>
      </c>
      <c r="P176" s="228">
        <f t="shared" si="32"/>
        <v>877.7199999999998</v>
      </c>
      <c r="Q176" s="40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40"/>
      <c r="AD176" s="234"/>
      <c r="AE176" s="37"/>
    </row>
    <row r="177" spans="2:31" x14ac:dyDescent="0.2">
      <c r="B177" s="15">
        <v>15</v>
      </c>
      <c r="C177" s="12">
        <f t="shared" si="33"/>
        <v>775.8</v>
      </c>
      <c r="D177" s="12">
        <f t="shared" si="33"/>
        <v>747.4</v>
      </c>
      <c r="E177" s="12">
        <f t="shared" si="33"/>
        <v>762.2</v>
      </c>
      <c r="F177" s="12">
        <f t="shared" si="33"/>
        <v>751.6</v>
      </c>
      <c r="G177" s="12">
        <f t="shared" si="33"/>
        <v>718.8</v>
      </c>
      <c r="H177" s="12">
        <f t="shared" si="33"/>
        <v>641.79999999999995</v>
      </c>
      <c r="I177" s="12">
        <f t="shared" si="33"/>
        <v>633.20000000000005</v>
      </c>
      <c r="J177" s="26"/>
      <c r="K177" s="12">
        <f t="shared" si="30"/>
        <v>751.15999999999985</v>
      </c>
      <c r="L177" s="12"/>
      <c r="M177" s="12">
        <f t="shared" si="29"/>
        <v>639.75</v>
      </c>
      <c r="N177" s="22">
        <v>15</v>
      </c>
      <c r="O177" s="43">
        <f t="shared" si="31"/>
        <v>-5.1600000000000819</v>
      </c>
      <c r="P177" s="228">
        <f t="shared" si="32"/>
        <v>872.55999999999972</v>
      </c>
      <c r="Q177" s="40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40"/>
      <c r="AD177" s="234"/>
      <c r="AE177" s="37"/>
    </row>
    <row r="178" spans="2:31" x14ac:dyDescent="0.2">
      <c r="B178" s="16">
        <v>16</v>
      </c>
      <c r="C178" s="13">
        <f t="shared" si="33"/>
        <v>760.6</v>
      </c>
      <c r="D178" s="13">
        <f t="shared" si="33"/>
        <v>739.2</v>
      </c>
      <c r="E178" s="13">
        <f t="shared" si="33"/>
        <v>752.8</v>
      </c>
      <c r="F178" s="13">
        <f t="shared" si="33"/>
        <v>741.2</v>
      </c>
      <c r="G178" s="13">
        <f t="shared" si="33"/>
        <v>705.6</v>
      </c>
      <c r="H178" s="13">
        <f t="shared" si="33"/>
        <v>631.4</v>
      </c>
      <c r="I178" s="13">
        <f t="shared" si="33"/>
        <v>638.6</v>
      </c>
      <c r="J178" s="27"/>
      <c r="K178" s="13">
        <f t="shared" si="30"/>
        <v>739.88</v>
      </c>
      <c r="L178" s="13"/>
      <c r="M178" s="13">
        <f t="shared" si="29"/>
        <v>637</v>
      </c>
      <c r="N178" s="23">
        <v>16</v>
      </c>
      <c r="O178" s="49">
        <f t="shared" si="31"/>
        <v>-11.279999999999859</v>
      </c>
      <c r="P178" s="228">
        <f t="shared" si="32"/>
        <v>861.27999999999986</v>
      </c>
      <c r="Q178" s="40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40"/>
      <c r="AD178" s="234"/>
      <c r="AE178" s="37"/>
    </row>
    <row r="179" spans="2:31" x14ac:dyDescent="0.2">
      <c r="B179" s="15">
        <v>17</v>
      </c>
      <c r="C179" s="29">
        <f t="shared" si="33"/>
        <v>751.2</v>
      </c>
      <c r="D179" s="29">
        <f t="shared" si="33"/>
        <v>732</v>
      </c>
      <c r="E179" s="29">
        <f t="shared" si="33"/>
        <v>746</v>
      </c>
      <c r="F179" s="29">
        <f t="shared" si="33"/>
        <v>734</v>
      </c>
      <c r="G179" s="29">
        <f t="shared" si="33"/>
        <v>687.4</v>
      </c>
      <c r="H179" s="29">
        <f t="shared" si="33"/>
        <v>630.4</v>
      </c>
      <c r="I179" s="29">
        <f t="shared" si="33"/>
        <v>643</v>
      </c>
      <c r="J179" s="26"/>
      <c r="K179" s="12">
        <f t="shared" si="30"/>
        <v>730.12</v>
      </c>
      <c r="L179" s="12"/>
      <c r="M179" s="12">
        <f t="shared" si="29"/>
        <v>634.375</v>
      </c>
      <c r="N179" s="22">
        <v>17</v>
      </c>
      <c r="O179" s="48">
        <f t="shared" si="31"/>
        <v>-9.7599999999999909</v>
      </c>
      <c r="P179" s="228">
        <f t="shared" si="32"/>
        <v>851.51999999999987</v>
      </c>
      <c r="Q179" s="40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40"/>
      <c r="AD179" s="234"/>
      <c r="AE179" s="37"/>
    </row>
    <row r="180" spans="2:31" x14ac:dyDescent="0.2">
      <c r="B180" s="15">
        <v>18</v>
      </c>
      <c r="C180" s="12">
        <f t="shared" si="33"/>
        <v>755.2</v>
      </c>
      <c r="D180" s="12">
        <f t="shared" si="33"/>
        <v>761.4</v>
      </c>
      <c r="E180" s="12">
        <f t="shared" si="33"/>
        <v>762.8</v>
      </c>
      <c r="F180" s="12">
        <f t="shared" si="33"/>
        <v>752.6</v>
      </c>
      <c r="G180" s="12">
        <f t="shared" si="33"/>
        <v>707.4</v>
      </c>
      <c r="H180" s="12">
        <f t="shared" si="33"/>
        <v>659.2</v>
      </c>
      <c r="I180" s="12">
        <f t="shared" si="33"/>
        <v>689</v>
      </c>
      <c r="J180" s="26"/>
      <c r="K180" s="12">
        <f t="shared" si="30"/>
        <v>747.87999999999988</v>
      </c>
      <c r="L180" s="12"/>
      <c r="M180" s="12">
        <f t="shared" si="29"/>
        <v>656.625</v>
      </c>
      <c r="N180" s="22">
        <v>18</v>
      </c>
      <c r="O180" s="43">
        <f t="shared" si="31"/>
        <v>17.759999999999877</v>
      </c>
      <c r="P180" s="228">
        <f t="shared" si="32"/>
        <v>869.27999999999975</v>
      </c>
      <c r="Q180" s="40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40"/>
      <c r="AD180" s="234"/>
      <c r="AE180" s="37"/>
    </row>
    <row r="181" spans="2:31" x14ac:dyDescent="0.2">
      <c r="B181" s="15">
        <v>19</v>
      </c>
      <c r="C181" s="12">
        <f t="shared" si="33"/>
        <v>825.2</v>
      </c>
      <c r="D181" s="12">
        <f t="shared" si="33"/>
        <v>820</v>
      </c>
      <c r="E181" s="12">
        <f t="shared" si="33"/>
        <v>828.8</v>
      </c>
      <c r="F181" s="12">
        <f t="shared" si="33"/>
        <v>824.4</v>
      </c>
      <c r="G181" s="12">
        <f t="shared" si="33"/>
        <v>780.6</v>
      </c>
      <c r="H181" s="12">
        <f t="shared" si="33"/>
        <v>724.8</v>
      </c>
      <c r="I181" s="12">
        <f t="shared" si="33"/>
        <v>766.4</v>
      </c>
      <c r="J181" s="26"/>
      <c r="K181" s="12">
        <f t="shared" si="30"/>
        <v>815.8</v>
      </c>
      <c r="L181" s="12"/>
      <c r="M181" s="12">
        <f t="shared" si="29"/>
        <v>733.5</v>
      </c>
      <c r="N181" s="22">
        <v>19</v>
      </c>
      <c r="O181" s="43">
        <f t="shared" si="31"/>
        <v>67.920000000000073</v>
      </c>
      <c r="P181" s="228">
        <f t="shared" si="32"/>
        <v>937.19999999999982</v>
      </c>
      <c r="Q181" s="40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40"/>
      <c r="AD181" s="234"/>
      <c r="AE181" s="37"/>
    </row>
    <row r="182" spans="2:31" x14ac:dyDescent="0.2">
      <c r="B182" s="16">
        <v>20</v>
      </c>
      <c r="C182" s="13">
        <f t="shared" si="33"/>
        <v>822.4</v>
      </c>
      <c r="D182" s="13">
        <f t="shared" si="33"/>
        <v>808.6</v>
      </c>
      <c r="E182" s="13">
        <f t="shared" si="33"/>
        <v>818.4</v>
      </c>
      <c r="F182" s="13">
        <f t="shared" si="33"/>
        <v>816.8</v>
      </c>
      <c r="G182" s="13">
        <f t="shared" si="33"/>
        <v>760.2</v>
      </c>
      <c r="H182" s="13">
        <f t="shared" si="33"/>
        <v>722.2</v>
      </c>
      <c r="I182" s="13">
        <f t="shared" si="33"/>
        <v>771</v>
      </c>
      <c r="J182" s="27"/>
      <c r="K182" s="13">
        <f t="shared" si="30"/>
        <v>805.28</v>
      </c>
      <c r="L182" s="13"/>
      <c r="M182" s="13">
        <f t="shared" si="29"/>
        <v>733.75</v>
      </c>
      <c r="N182" s="23">
        <v>20</v>
      </c>
      <c r="O182" s="49">
        <f t="shared" si="31"/>
        <v>-10.519999999999982</v>
      </c>
      <c r="P182" s="228">
        <f t="shared" si="32"/>
        <v>926.67999999999984</v>
      </c>
      <c r="Q182" s="40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40"/>
      <c r="AD182" s="234"/>
      <c r="AE182" s="37"/>
    </row>
    <row r="183" spans="2:31" x14ac:dyDescent="0.2">
      <c r="B183" s="15">
        <v>21</v>
      </c>
      <c r="C183" s="29">
        <f t="shared" ref="C183:I186" si="34">AVERAGE(C25,C118,C87,C56,C149)*$C$157</f>
        <v>805.4</v>
      </c>
      <c r="D183" s="29">
        <f t="shared" si="34"/>
        <v>796.8</v>
      </c>
      <c r="E183" s="29">
        <f t="shared" si="34"/>
        <v>799.2</v>
      </c>
      <c r="F183" s="29">
        <f t="shared" si="34"/>
        <v>804</v>
      </c>
      <c r="G183" s="29">
        <f t="shared" si="34"/>
        <v>746.8</v>
      </c>
      <c r="H183" s="29">
        <f t="shared" si="34"/>
        <v>707.2</v>
      </c>
      <c r="I183" s="29">
        <f t="shared" si="34"/>
        <v>754.4</v>
      </c>
      <c r="J183" s="26"/>
      <c r="K183" s="12">
        <f t="shared" si="30"/>
        <v>790.43999999999994</v>
      </c>
      <c r="L183" s="12"/>
      <c r="M183" s="12">
        <f t="shared" si="29"/>
        <v>720.375</v>
      </c>
      <c r="N183" s="22">
        <v>21</v>
      </c>
      <c r="O183" s="48">
        <f t="shared" si="31"/>
        <v>-14.840000000000032</v>
      </c>
      <c r="P183" s="228">
        <f t="shared" si="32"/>
        <v>911.8399999999998</v>
      </c>
      <c r="Q183" s="40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40"/>
      <c r="AD183" s="234"/>
      <c r="AE183" s="37"/>
    </row>
    <row r="184" spans="2:31" x14ac:dyDescent="0.2">
      <c r="B184" s="15">
        <v>22</v>
      </c>
      <c r="C184" s="12">
        <f t="shared" si="34"/>
        <v>744.4</v>
      </c>
      <c r="D184" s="12">
        <f t="shared" si="34"/>
        <v>763.6</v>
      </c>
      <c r="E184" s="12">
        <f t="shared" si="34"/>
        <v>750.8</v>
      </c>
      <c r="F184" s="12">
        <f t="shared" si="34"/>
        <v>755.8</v>
      </c>
      <c r="G184" s="12">
        <f t="shared" si="34"/>
        <v>707.8</v>
      </c>
      <c r="H184" s="12">
        <f t="shared" si="34"/>
        <v>681.6</v>
      </c>
      <c r="I184" s="12">
        <f t="shared" si="34"/>
        <v>731.2</v>
      </c>
      <c r="J184" s="26"/>
      <c r="K184" s="12">
        <f t="shared" si="30"/>
        <v>744.48000000000013</v>
      </c>
      <c r="L184" s="12"/>
      <c r="M184" s="12">
        <f t="shared" si="29"/>
        <v>695.625</v>
      </c>
      <c r="N184" s="22">
        <v>22</v>
      </c>
      <c r="O184" s="43">
        <f t="shared" si="31"/>
        <v>-45.959999999999809</v>
      </c>
      <c r="P184" s="37"/>
      <c r="Q184" s="40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40"/>
      <c r="AD184" s="234"/>
      <c r="AE184" s="37"/>
    </row>
    <row r="185" spans="2:31" x14ac:dyDescent="0.2">
      <c r="B185" s="15">
        <v>23</v>
      </c>
      <c r="C185" s="12">
        <f t="shared" si="34"/>
        <v>691.2</v>
      </c>
      <c r="D185" s="12">
        <f t="shared" si="34"/>
        <v>672.6</v>
      </c>
      <c r="E185" s="12">
        <f t="shared" si="34"/>
        <v>682</v>
      </c>
      <c r="F185" s="12">
        <f t="shared" si="34"/>
        <v>685.6</v>
      </c>
      <c r="G185" s="12">
        <f t="shared" si="34"/>
        <v>658.6</v>
      </c>
      <c r="H185" s="12">
        <f t="shared" si="34"/>
        <v>643.4</v>
      </c>
      <c r="I185" s="12">
        <f t="shared" si="34"/>
        <v>681.8</v>
      </c>
      <c r="J185" s="26"/>
      <c r="K185" s="12">
        <f t="shared" si="30"/>
        <v>678</v>
      </c>
      <c r="L185" s="12"/>
      <c r="M185" s="12">
        <f t="shared" si="29"/>
        <v>647.375</v>
      </c>
      <c r="N185" s="22">
        <v>23</v>
      </c>
      <c r="O185" s="43">
        <f t="shared" si="31"/>
        <v>-66.480000000000132</v>
      </c>
      <c r="P185" s="37"/>
      <c r="Q185" s="40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40"/>
      <c r="AD185" s="234"/>
      <c r="AE185" s="37"/>
    </row>
    <row r="186" spans="2:31" x14ac:dyDescent="0.2">
      <c r="B186" s="16">
        <v>24</v>
      </c>
      <c r="C186" s="13">
        <f t="shared" si="34"/>
        <v>617.6</v>
      </c>
      <c r="D186" s="13">
        <f t="shared" si="34"/>
        <v>611.6</v>
      </c>
      <c r="E186" s="13">
        <f t="shared" si="34"/>
        <v>609.6</v>
      </c>
      <c r="F186" s="13">
        <f t="shared" si="34"/>
        <v>610.20000000000005</v>
      </c>
      <c r="G186" s="13">
        <f t="shared" si="34"/>
        <v>609.6</v>
      </c>
      <c r="H186" s="13">
        <f t="shared" si="34"/>
        <v>587.20000000000005</v>
      </c>
      <c r="I186" s="13">
        <f t="shared" si="34"/>
        <v>623.6</v>
      </c>
      <c r="J186" s="27"/>
      <c r="K186" s="12">
        <f t="shared" si="30"/>
        <v>611.72</v>
      </c>
      <c r="L186" s="13"/>
      <c r="M186" s="12">
        <f t="shared" si="29"/>
        <v>592.75</v>
      </c>
      <c r="N186" s="23">
        <v>24</v>
      </c>
      <c r="O186" s="49">
        <f t="shared" si="31"/>
        <v>-66.279999999999973</v>
      </c>
      <c r="P186" s="37"/>
      <c r="Q186" s="40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40"/>
      <c r="AD186" s="234"/>
      <c r="AE186" s="37"/>
    </row>
    <row r="187" spans="2:31" ht="13.5" thickBot="1" x14ac:dyDescent="0.25">
      <c r="B187" s="17" t="s">
        <v>54</v>
      </c>
      <c r="C187" s="25">
        <f t="shared" ref="C187:I187" si="35">SUM(C163:C186)</f>
        <v>16885</v>
      </c>
      <c r="D187" s="25">
        <f t="shared" si="35"/>
        <v>16695.2</v>
      </c>
      <c r="E187" s="25">
        <f t="shared" si="35"/>
        <v>17023.999999999996</v>
      </c>
      <c r="F187" s="25">
        <f t="shared" si="35"/>
        <v>16815</v>
      </c>
      <c r="G187" s="25">
        <f t="shared" si="35"/>
        <v>16292.4</v>
      </c>
      <c r="H187" s="25">
        <f t="shared" si="35"/>
        <v>15155</v>
      </c>
      <c r="I187" s="25">
        <f t="shared" si="35"/>
        <v>15457.400000000001</v>
      </c>
      <c r="J187" s="25"/>
      <c r="K187" s="25">
        <f>SUM(K163:K186)</f>
        <v>16742.32</v>
      </c>
      <c r="L187" s="25"/>
      <c r="M187" s="25">
        <f>SUM(M163:M186)</f>
        <v>15144.125</v>
      </c>
      <c r="N187" s="24"/>
      <c r="O187" s="44"/>
      <c r="P187" s="37"/>
      <c r="Q187" s="35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37"/>
      <c r="AD187" s="236"/>
      <c r="AE187" s="37"/>
    </row>
    <row r="188" spans="2:31" ht="13.5" thickTop="1" x14ac:dyDescent="0.2">
      <c r="B188" t="s">
        <v>71</v>
      </c>
      <c r="C188" s="9">
        <f t="shared" ref="C188:I189" si="36">AVERAGE(C154,C123,C92,C61,C30)</f>
        <v>58.6</v>
      </c>
      <c r="D188" s="9">
        <f t="shared" si="36"/>
        <v>55.6</v>
      </c>
      <c r="E188" s="9">
        <f t="shared" si="36"/>
        <v>56.6</v>
      </c>
      <c r="F188" s="9">
        <f t="shared" si="36"/>
        <v>60</v>
      </c>
      <c r="G188" s="9">
        <f t="shared" si="36"/>
        <v>62.2</v>
      </c>
      <c r="H188" s="9">
        <f t="shared" si="36"/>
        <v>59.2</v>
      </c>
      <c r="I188" s="9">
        <f t="shared" si="36"/>
        <v>57.8</v>
      </c>
      <c r="K188" s="110" t="s">
        <v>75</v>
      </c>
      <c r="M188" t="s">
        <v>71</v>
      </c>
      <c r="N188" s="109" t="s">
        <v>72</v>
      </c>
      <c r="O188" s="9">
        <f>AVERAGE(C188:I188)</f>
        <v>58.571428571428569</v>
      </c>
      <c r="P188" s="37"/>
      <c r="Q188" s="37"/>
      <c r="R188" s="239"/>
      <c r="S188" s="239"/>
      <c r="T188" s="239"/>
      <c r="U188" s="239"/>
      <c r="V188" s="239"/>
      <c r="W188" s="239"/>
      <c r="X188" s="239"/>
      <c r="Y188" s="37"/>
      <c r="Z188" s="237"/>
      <c r="AA188" s="37"/>
      <c r="AB188" s="37"/>
      <c r="AC188" s="238"/>
      <c r="AD188" s="239"/>
      <c r="AE188" s="37"/>
    </row>
    <row r="189" spans="2:31" x14ac:dyDescent="0.2">
      <c r="B189" s="110" t="s">
        <v>74</v>
      </c>
      <c r="C189" s="9">
        <f t="shared" si="36"/>
        <v>31.2</v>
      </c>
      <c r="D189" s="9">
        <f t="shared" si="36"/>
        <v>29</v>
      </c>
      <c r="E189" s="9">
        <f t="shared" si="36"/>
        <v>28.6</v>
      </c>
      <c r="F189" s="9">
        <f t="shared" si="36"/>
        <v>30</v>
      </c>
      <c r="G189" s="9">
        <f t="shared" si="36"/>
        <v>30.6</v>
      </c>
      <c r="H189" s="9">
        <f t="shared" si="36"/>
        <v>30.4</v>
      </c>
      <c r="I189" s="9">
        <f t="shared" si="36"/>
        <v>29</v>
      </c>
      <c r="K189" s="110"/>
      <c r="M189" s="110" t="s">
        <v>74</v>
      </c>
      <c r="N189" s="109" t="s">
        <v>73</v>
      </c>
      <c r="O189" s="9">
        <f>AVERAGE(C189:I189)</f>
        <v>29.828571428571429</v>
      </c>
      <c r="P189" s="37"/>
      <c r="Q189" s="237"/>
      <c r="R189" s="239"/>
      <c r="S189" s="239"/>
      <c r="T189" s="239"/>
      <c r="U189" s="239"/>
      <c r="V189" s="239"/>
      <c r="W189" s="239"/>
      <c r="X189" s="239"/>
      <c r="Y189" s="37"/>
      <c r="Z189" s="237"/>
      <c r="AA189" s="37"/>
      <c r="AB189" s="237"/>
      <c r="AC189" s="238"/>
      <c r="AD189" s="239"/>
      <c r="AE189" s="37"/>
    </row>
    <row r="190" spans="2:31" x14ac:dyDescent="0.2"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</row>
    <row r="191" spans="2:31" x14ac:dyDescent="0.2">
      <c r="C191" s="33"/>
      <c r="D191" s="33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</row>
    <row r="193" spans="1:14" ht="15.75" x14ac:dyDescent="0.25">
      <c r="A193" s="10"/>
      <c r="B193" s="28"/>
      <c r="C193" s="28"/>
      <c r="D193" s="28"/>
      <c r="E193" s="28"/>
      <c r="F193" s="10"/>
      <c r="G193" s="11"/>
      <c r="H193" s="10"/>
      <c r="I193" s="10"/>
      <c r="J193" s="10"/>
      <c r="K193" s="10"/>
      <c r="L193" s="10"/>
      <c r="M193" s="10"/>
      <c r="N193" s="10"/>
    </row>
    <row r="196" spans="1:14" x14ac:dyDescent="0.2">
      <c r="B196" s="35"/>
      <c r="C196" s="36"/>
      <c r="D196" s="36"/>
      <c r="E196" s="36"/>
      <c r="F196" s="36"/>
      <c r="G196" s="36"/>
      <c r="H196" s="36"/>
      <c r="I196" s="36"/>
      <c r="J196" s="37"/>
      <c r="K196" s="38"/>
      <c r="L196" s="39"/>
      <c r="M196" s="38"/>
      <c r="N196" s="35"/>
    </row>
    <row r="197" spans="1:14" x14ac:dyDescent="0.2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1:14" x14ac:dyDescent="0.2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1:14" x14ac:dyDescent="0.2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1:14" x14ac:dyDescent="0.2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1:14" x14ac:dyDescent="0.2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1:14" x14ac:dyDescent="0.2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1:14" x14ac:dyDescent="0.2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1:14" x14ac:dyDescent="0.2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1:14" x14ac:dyDescent="0.2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1:14" x14ac:dyDescent="0.2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1:14" x14ac:dyDescent="0.2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1:14" x14ac:dyDescent="0.2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2:14" x14ac:dyDescent="0.2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2:14" x14ac:dyDescent="0.2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2:14" x14ac:dyDescent="0.2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2:14" x14ac:dyDescent="0.2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2:14" x14ac:dyDescent="0.2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2:14" x14ac:dyDescent="0.2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2:14" x14ac:dyDescent="0.2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2:14" x14ac:dyDescent="0.2">
      <c r="B216" s="40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0"/>
    </row>
    <row r="217" spans="2:14" x14ac:dyDescent="0.2">
      <c r="B217" s="40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0"/>
    </row>
    <row r="218" spans="2:14" x14ac:dyDescent="0.2">
      <c r="B218" s="40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0"/>
    </row>
    <row r="219" spans="2:14" x14ac:dyDescent="0.2">
      <c r="B219" s="40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0"/>
    </row>
    <row r="220" spans="2:14" x14ac:dyDescent="0.2">
      <c r="B220" s="40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0"/>
    </row>
    <row r="221" spans="2:14" x14ac:dyDescent="0.2">
      <c r="B221" s="35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2:14" x14ac:dyDescent="0.2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2:14" x14ac:dyDescent="0.2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</sheetData>
  <pageMargins left="0.56000000000000005" right="0.53" top="0.74" bottom="0.86" header="0.5" footer="0.5"/>
  <pageSetup scale="78" orientation="portrait" r:id="rId1"/>
  <headerFooter alignWithMargins="0">
    <oddFooter>&amp;LRoger Hawkins&amp;C&amp;D&amp;R&amp;F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topLeftCell="A108" workbookViewId="0">
      <selection activeCell="E117" sqref="E117"/>
    </sheetView>
  </sheetViews>
  <sheetFormatPr defaultRowHeight="12.75" x14ac:dyDescent="0.2"/>
  <cols>
    <col min="5" max="5" width="11" customWidth="1"/>
    <col min="10" max="10" width="3.140625" customWidth="1"/>
    <col min="12" max="12" width="3.7109375" customWidth="1"/>
    <col min="13" max="13" width="11.7109375" customWidth="1"/>
  </cols>
  <sheetData>
    <row r="1" spans="1:16" ht="15.75" x14ac:dyDescent="0.25">
      <c r="A1" s="321">
        <v>36192</v>
      </c>
      <c r="B1" s="10"/>
      <c r="C1" s="10"/>
      <c r="D1" s="10"/>
      <c r="E1" s="10"/>
      <c r="F1" s="10"/>
      <c r="G1" s="11" t="s">
        <v>55</v>
      </c>
      <c r="H1" s="10"/>
      <c r="I1" s="10"/>
      <c r="J1" s="10"/>
      <c r="K1" s="10"/>
      <c r="L1" s="10"/>
      <c r="M1" s="10"/>
      <c r="N1" s="10"/>
      <c r="O1" s="10"/>
      <c r="P1" s="37"/>
    </row>
    <row r="2" spans="1:16" x14ac:dyDescent="0.2">
      <c r="P2" s="37"/>
    </row>
    <row r="3" spans="1:16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P3" s="37"/>
    </row>
    <row r="4" spans="1:16" x14ac:dyDescent="0.2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322" t="s">
        <v>152</v>
      </c>
      <c r="L4" s="20"/>
      <c r="M4" s="322" t="s">
        <v>153</v>
      </c>
      <c r="N4" s="21" t="s">
        <v>53</v>
      </c>
      <c r="O4" s="42" t="s">
        <v>63</v>
      </c>
      <c r="P4" s="37"/>
    </row>
    <row r="5" spans="1:16" x14ac:dyDescent="0.2">
      <c r="B5" s="31">
        <v>1</v>
      </c>
      <c r="C5" s="29">
        <v>547</v>
      </c>
      <c r="D5" s="29">
        <v>603</v>
      </c>
      <c r="E5" s="29">
        <v>608</v>
      </c>
      <c r="F5" s="29">
        <v>590</v>
      </c>
      <c r="G5" s="29">
        <v>593</v>
      </c>
      <c r="H5" s="29">
        <v>532</v>
      </c>
      <c r="I5" s="29">
        <v>544</v>
      </c>
      <c r="J5" s="30"/>
      <c r="K5" s="29">
        <f>AVERAGE(C5:G5)</f>
        <v>588.20000000000005</v>
      </c>
      <c r="L5" s="29"/>
      <c r="M5" s="29">
        <f>AVERAGE(H5:I5)</f>
        <v>538</v>
      </c>
      <c r="N5" s="32">
        <v>1</v>
      </c>
      <c r="O5" s="48">
        <f>K5-K28</f>
        <v>-37</v>
      </c>
      <c r="P5" s="37"/>
    </row>
    <row r="6" spans="1:16" x14ac:dyDescent="0.2">
      <c r="B6" s="15">
        <v>2</v>
      </c>
      <c r="C6" s="12">
        <v>544</v>
      </c>
      <c r="D6" s="12">
        <v>577</v>
      </c>
      <c r="E6" s="12">
        <v>567</v>
      </c>
      <c r="F6" s="12">
        <v>568</v>
      </c>
      <c r="G6" s="12">
        <v>559</v>
      </c>
      <c r="H6" s="12">
        <v>516</v>
      </c>
      <c r="I6" s="12">
        <v>529</v>
      </c>
      <c r="J6" s="26"/>
      <c r="K6" s="12">
        <f t="shared" ref="K6:K28" si="0">AVERAGE(C6:G6)</f>
        <v>563</v>
      </c>
      <c r="L6" s="12"/>
      <c r="M6" s="12">
        <f t="shared" ref="M6:M28" si="1">AVERAGE(H6:I6)</f>
        <v>522.5</v>
      </c>
      <c r="N6" s="22">
        <v>2</v>
      </c>
      <c r="O6" s="43">
        <f>K6-K5</f>
        <v>-25.200000000000045</v>
      </c>
      <c r="P6" s="37"/>
    </row>
    <row r="7" spans="1:16" x14ac:dyDescent="0.2">
      <c r="B7" s="15">
        <v>3</v>
      </c>
      <c r="C7" s="12">
        <v>529</v>
      </c>
      <c r="D7" s="12">
        <v>580</v>
      </c>
      <c r="E7" s="12">
        <v>581</v>
      </c>
      <c r="F7" s="12">
        <v>562</v>
      </c>
      <c r="G7" s="12">
        <v>552</v>
      </c>
      <c r="H7" s="12">
        <v>506</v>
      </c>
      <c r="I7" s="12">
        <v>524</v>
      </c>
      <c r="J7" s="26"/>
      <c r="K7" s="12">
        <f t="shared" si="0"/>
        <v>560.79999999999995</v>
      </c>
      <c r="L7" s="12"/>
      <c r="M7" s="12">
        <f t="shared" si="1"/>
        <v>515</v>
      </c>
      <c r="N7" s="22">
        <v>3</v>
      </c>
      <c r="O7" s="43">
        <f t="shared" ref="O7:O28" si="2">K7-K6</f>
        <v>-2.2000000000000455</v>
      </c>
      <c r="P7" s="37"/>
    </row>
    <row r="8" spans="1:16" x14ac:dyDescent="0.2">
      <c r="B8" s="16">
        <v>4</v>
      </c>
      <c r="C8" s="13">
        <v>543</v>
      </c>
      <c r="D8" s="13">
        <v>584</v>
      </c>
      <c r="E8" s="13">
        <v>578</v>
      </c>
      <c r="F8" s="13">
        <v>573</v>
      </c>
      <c r="G8" s="13">
        <v>561</v>
      </c>
      <c r="H8" s="13">
        <v>501</v>
      </c>
      <c r="I8" s="13">
        <v>511</v>
      </c>
      <c r="J8" s="27"/>
      <c r="K8" s="13">
        <f t="shared" si="0"/>
        <v>567.79999999999995</v>
      </c>
      <c r="L8" s="13"/>
      <c r="M8" s="13">
        <f t="shared" si="1"/>
        <v>506</v>
      </c>
      <c r="N8" s="23">
        <v>4</v>
      </c>
      <c r="O8" s="49">
        <f t="shared" si="2"/>
        <v>7</v>
      </c>
      <c r="P8" s="37"/>
    </row>
    <row r="9" spans="1:16" x14ac:dyDescent="0.2">
      <c r="B9" s="31">
        <v>5</v>
      </c>
      <c r="C9" s="29">
        <v>555</v>
      </c>
      <c r="D9" s="29">
        <v>593</v>
      </c>
      <c r="E9" s="29">
        <v>582</v>
      </c>
      <c r="F9" s="29">
        <v>586</v>
      </c>
      <c r="G9" s="29">
        <v>564</v>
      </c>
      <c r="H9" s="29">
        <v>509</v>
      </c>
      <c r="I9" s="29">
        <v>502</v>
      </c>
      <c r="J9" s="30"/>
      <c r="K9" s="29">
        <f t="shared" si="0"/>
        <v>576</v>
      </c>
      <c r="L9" s="29"/>
      <c r="M9" s="29">
        <f t="shared" si="1"/>
        <v>505.5</v>
      </c>
      <c r="N9" s="32">
        <v>5</v>
      </c>
      <c r="O9" s="45">
        <f t="shared" si="2"/>
        <v>8.2000000000000455</v>
      </c>
      <c r="P9" s="37"/>
    </row>
    <row r="10" spans="1:16" x14ac:dyDescent="0.2">
      <c r="B10" s="15">
        <v>6</v>
      </c>
      <c r="C10" s="12">
        <v>611</v>
      </c>
      <c r="D10" s="12">
        <v>647</v>
      </c>
      <c r="E10" s="12">
        <v>634</v>
      </c>
      <c r="F10" s="12">
        <v>640</v>
      </c>
      <c r="G10" s="12">
        <v>600</v>
      </c>
      <c r="H10" s="12">
        <v>522</v>
      </c>
      <c r="I10" s="12">
        <v>510</v>
      </c>
      <c r="J10" s="26"/>
      <c r="K10" s="12">
        <f t="shared" si="0"/>
        <v>626.4</v>
      </c>
      <c r="L10" s="12"/>
      <c r="M10" s="12">
        <f t="shared" si="1"/>
        <v>516</v>
      </c>
      <c r="N10" s="22">
        <v>6</v>
      </c>
      <c r="O10" s="46">
        <f t="shared" si="2"/>
        <v>50.399999999999977</v>
      </c>
      <c r="P10" s="37"/>
    </row>
    <row r="11" spans="1:16" x14ac:dyDescent="0.2">
      <c r="B11" s="15">
        <v>7</v>
      </c>
      <c r="C11" s="12">
        <v>718</v>
      </c>
      <c r="D11" s="12">
        <v>752</v>
      </c>
      <c r="E11" s="12">
        <v>766</v>
      </c>
      <c r="F11" s="12">
        <v>739</v>
      </c>
      <c r="G11" s="12">
        <v>714</v>
      </c>
      <c r="H11" s="12">
        <v>561</v>
      </c>
      <c r="I11" s="12">
        <v>553</v>
      </c>
      <c r="J11" s="26"/>
      <c r="K11" s="12">
        <f t="shared" si="0"/>
        <v>737.8</v>
      </c>
      <c r="L11" s="12"/>
      <c r="M11" s="12">
        <f t="shared" si="1"/>
        <v>557</v>
      </c>
      <c r="N11" s="22">
        <v>7</v>
      </c>
      <c r="O11" s="46">
        <f t="shared" si="2"/>
        <v>111.39999999999998</v>
      </c>
      <c r="P11" s="37"/>
    </row>
    <row r="12" spans="1:16" x14ac:dyDescent="0.2">
      <c r="B12" s="16">
        <v>8</v>
      </c>
      <c r="C12" s="13">
        <v>772</v>
      </c>
      <c r="D12" s="13">
        <v>805</v>
      </c>
      <c r="E12" s="13">
        <v>784</v>
      </c>
      <c r="F12" s="13">
        <v>766</v>
      </c>
      <c r="G12" s="13">
        <v>755</v>
      </c>
      <c r="H12" s="13">
        <v>571</v>
      </c>
      <c r="I12" s="13">
        <v>571</v>
      </c>
      <c r="J12" s="27"/>
      <c r="K12" s="13">
        <f t="shared" si="0"/>
        <v>776.4</v>
      </c>
      <c r="L12" s="13"/>
      <c r="M12" s="13">
        <f t="shared" si="1"/>
        <v>571</v>
      </c>
      <c r="N12" s="23">
        <v>8</v>
      </c>
      <c r="O12" s="47">
        <f t="shared" si="2"/>
        <v>38.600000000000023</v>
      </c>
      <c r="P12" s="37"/>
    </row>
    <row r="13" spans="1:16" x14ac:dyDescent="0.2">
      <c r="B13" s="15">
        <v>9</v>
      </c>
      <c r="C13" s="12">
        <v>783</v>
      </c>
      <c r="D13" s="12">
        <v>809</v>
      </c>
      <c r="E13" s="12">
        <v>802</v>
      </c>
      <c r="F13" s="12">
        <v>768</v>
      </c>
      <c r="G13" s="12">
        <v>756</v>
      </c>
      <c r="H13" s="12">
        <v>598</v>
      </c>
      <c r="I13" s="12">
        <v>612</v>
      </c>
      <c r="J13" s="26"/>
      <c r="K13" s="12">
        <f t="shared" si="0"/>
        <v>783.6</v>
      </c>
      <c r="L13" s="12"/>
      <c r="M13" s="12">
        <f t="shared" si="1"/>
        <v>605</v>
      </c>
      <c r="N13" s="22">
        <v>9</v>
      </c>
      <c r="O13" s="48">
        <f t="shared" si="2"/>
        <v>7.2000000000000455</v>
      </c>
      <c r="P13" s="37"/>
    </row>
    <row r="14" spans="1:16" x14ac:dyDescent="0.2">
      <c r="B14" s="15">
        <v>10</v>
      </c>
      <c r="C14" s="12">
        <v>795</v>
      </c>
      <c r="D14" s="12">
        <v>807</v>
      </c>
      <c r="E14" s="12">
        <v>792</v>
      </c>
      <c r="F14" s="12">
        <v>771</v>
      </c>
      <c r="G14" s="12">
        <v>775</v>
      </c>
      <c r="H14" s="12">
        <v>622</v>
      </c>
      <c r="I14" s="12">
        <v>614</v>
      </c>
      <c r="J14" s="26"/>
      <c r="K14" s="12">
        <f t="shared" si="0"/>
        <v>788</v>
      </c>
      <c r="L14" s="12"/>
      <c r="M14" s="12">
        <f t="shared" si="1"/>
        <v>618</v>
      </c>
      <c r="N14" s="22">
        <v>10</v>
      </c>
      <c r="O14" s="43">
        <f t="shared" si="2"/>
        <v>4.3999999999999773</v>
      </c>
      <c r="P14" s="37"/>
    </row>
    <row r="15" spans="1:16" x14ac:dyDescent="0.2">
      <c r="B15" s="15">
        <v>11</v>
      </c>
      <c r="C15" s="12">
        <v>811</v>
      </c>
      <c r="D15" s="12">
        <v>805</v>
      </c>
      <c r="E15" s="12">
        <v>791</v>
      </c>
      <c r="F15" s="12">
        <v>773</v>
      </c>
      <c r="G15" s="12">
        <v>780</v>
      </c>
      <c r="H15" s="12">
        <v>635</v>
      </c>
      <c r="I15" s="12">
        <v>635</v>
      </c>
      <c r="J15" s="26"/>
      <c r="K15" s="12">
        <f t="shared" si="0"/>
        <v>792</v>
      </c>
      <c r="L15" s="12"/>
      <c r="M15" s="12">
        <f t="shared" si="1"/>
        <v>635</v>
      </c>
      <c r="N15" s="22">
        <v>11</v>
      </c>
      <c r="O15" s="43">
        <f t="shared" si="2"/>
        <v>4</v>
      </c>
      <c r="P15" s="37"/>
    </row>
    <row r="16" spans="1:16" x14ac:dyDescent="0.2">
      <c r="B16" s="16">
        <v>12</v>
      </c>
      <c r="C16" s="13">
        <v>801</v>
      </c>
      <c r="D16" s="13">
        <v>795</v>
      </c>
      <c r="E16" s="13">
        <v>790</v>
      </c>
      <c r="F16" s="13">
        <v>764</v>
      </c>
      <c r="G16" s="13">
        <v>783</v>
      </c>
      <c r="H16" s="13">
        <v>631</v>
      </c>
      <c r="I16" s="13">
        <v>621</v>
      </c>
      <c r="J16" s="27"/>
      <c r="K16" s="13">
        <f t="shared" si="0"/>
        <v>786.6</v>
      </c>
      <c r="L16" s="13"/>
      <c r="M16" s="13">
        <f t="shared" si="1"/>
        <v>626</v>
      </c>
      <c r="N16" s="23">
        <v>12</v>
      </c>
      <c r="O16" s="49">
        <f t="shared" si="2"/>
        <v>-5.3999999999999773</v>
      </c>
      <c r="P16" s="37"/>
    </row>
    <row r="17" spans="2:16" x14ac:dyDescent="0.2">
      <c r="B17" s="15">
        <v>13</v>
      </c>
      <c r="C17" s="12">
        <v>783</v>
      </c>
      <c r="D17" s="12">
        <v>782</v>
      </c>
      <c r="E17" s="12">
        <v>778</v>
      </c>
      <c r="F17" s="12">
        <v>758</v>
      </c>
      <c r="G17" s="12">
        <v>772</v>
      </c>
      <c r="H17" s="12">
        <v>642</v>
      </c>
      <c r="I17" s="12">
        <v>626</v>
      </c>
      <c r="J17" s="26"/>
      <c r="K17" s="12">
        <f t="shared" si="0"/>
        <v>774.6</v>
      </c>
      <c r="L17" s="12"/>
      <c r="M17" s="12">
        <f t="shared" si="1"/>
        <v>634</v>
      </c>
      <c r="N17" s="22">
        <v>13</v>
      </c>
      <c r="O17" s="48">
        <f t="shared" si="2"/>
        <v>-12</v>
      </c>
      <c r="P17" s="37"/>
    </row>
    <row r="18" spans="2:16" x14ac:dyDescent="0.2">
      <c r="B18" s="15">
        <v>14</v>
      </c>
      <c r="C18" s="12">
        <v>778</v>
      </c>
      <c r="D18" s="12">
        <v>780</v>
      </c>
      <c r="E18" s="12">
        <v>774</v>
      </c>
      <c r="F18" s="12">
        <v>753</v>
      </c>
      <c r="G18" s="12">
        <v>766</v>
      </c>
      <c r="H18" s="12">
        <v>612</v>
      </c>
      <c r="I18" s="12">
        <v>629</v>
      </c>
      <c r="J18" s="26"/>
      <c r="K18" s="12">
        <f t="shared" si="0"/>
        <v>770.2</v>
      </c>
      <c r="L18" s="12"/>
      <c r="M18" s="12">
        <f t="shared" si="1"/>
        <v>620.5</v>
      </c>
      <c r="N18" s="22">
        <v>14</v>
      </c>
      <c r="O18" s="43">
        <f t="shared" si="2"/>
        <v>-4.3999999999999773</v>
      </c>
      <c r="P18" s="37"/>
    </row>
    <row r="19" spans="2:16" x14ac:dyDescent="0.2">
      <c r="B19" s="15">
        <v>15</v>
      </c>
      <c r="C19" s="12">
        <v>775</v>
      </c>
      <c r="D19" s="12">
        <v>758</v>
      </c>
      <c r="E19" s="12">
        <v>768</v>
      </c>
      <c r="F19" s="12">
        <v>743</v>
      </c>
      <c r="G19" s="12">
        <v>759</v>
      </c>
      <c r="H19" s="12">
        <v>650</v>
      </c>
      <c r="I19" s="12">
        <v>602</v>
      </c>
      <c r="J19" s="26"/>
      <c r="K19" s="12">
        <f t="shared" si="0"/>
        <v>760.6</v>
      </c>
      <c r="L19" s="12"/>
      <c r="M19" s="12">
        <f t="shared" si="1"/>
        <v>626</v>
      </c>
      <c r="N19" s="22">
        <v>15</v>
      </c>
      <c r="O19" s="43">
        <f t="shared" si="2"/>
        <v>-9.6000000000000227</v>
      </c>
      <c r="P19" s="37"/>
    </row>
    <row r="20" spans="2:16" x14ac:dyDescent="0.2">
      <c r="B20" s="16">
        <v>16</v>
      </c>
      <c r="C20" s="13">
        <v>744</v>
      </c>
      <c r="D20" s="13">
        <v>756</v>
      </c>
      <c r="E20" s="13">
        <v>746</v>
      </c>
      <c r="F20" s="13">
        <v>734</v>
      </c>
      <c r="G20" s="13">
        <v>744</v>
      </c>
      <c r="H20" s="13">
        <v>610</v>
      </c>
      <c r="I20" s="13">
        <v>621</v>
      </c>
      <c r="J20" s="27"/>
      <c r="K20" s="13">
        <f t="shared" si="0"/>
        <v>744.8</v>
      </c>
      <c r="L20" s="13"/>
      <c r="M20" s="13">
        <f t="shared" si="1"/>
        <v>615.5</v>
      </c>
      <c r="N20" s="23">
        <v>16</v>
      </c>
      <c r="O20" s="49">
        <f t="shared" si="2"/>
        <v>-15.800000000000068</v>
      </c>
      <c r="P20" s="37"/>
    </row>
    <row r="21" spans="2:16" x14ac:dyDescent="0.2">
      <c r="B21" s="15">
        <v>17</v>
      </c>
      <c r="C21" s="12">
        <v>734</v>
      </c>
      <c r="D21" s="12">
        <v>739</v>
      </c>
      <c r="E21" s="12">
        <v>730</v>
      </c>
      <c r="F21" s="12">
        <v>722</v>
      </c>
      <c r="G21" s="12">
        <v>740</v>
      </c>
      <c r="H21" s="12">
        <v>612</v>
      </c>
      <c r="I21" s="12">
        <v>602</v>
      </c>
      <c r="J21" s="26"/>
      <c r="K21" s="12">
        <f t="shared" si="0"/>
        <v>733</v>
      </c>
      <c r="L21" s="12"/>
      <c r="M21" s="12">
        <f t="shared" si="1"/>
        <v>607</v>
      </c>
      <c r="N21" s="22">
        <v>17</v>
      </c>
      <c r="O21" s="48">
        <f t="shared" si="2"/>
        <v>-11.799999999999955</v>
      </c>
      <c r="P21" s="37"/>
    </row>
    <row r="22" spans="2:16" x14ac:dyDescent="0.2">
      <c r="B22" s="15">
        <v>18</v>
      </c>
      <c r="C22" s="12">
        <v>750</v>
      </c>
      <c r="D22" s="12">
        <v>741</v>
      </c>
      <c r="E22" s="12">
        <v>745</v>
      </c>
      <c r="F22" s="12">
        <v>764</v>
      </c>
      <c r="G22" s="12">
        <v>787</v>
      </c>
      <c r="H22" s="12">
        <v>643</v>
      </c>
      <c r="I22" s="12">
        <v>670</v>
      </c>
      <c r="J22" s="26"/>
      <c r="K22" s="12">
        <f t="shared" si="0"/>
        <v>757.4</v>
      </c>
      <c r="L22" s="12"/>
      <c r="M22" s="12">
        <f t="shared" si="1"/>
        <v>656.5</v>
      </c>
      <c r="N22" s="22">
        <v>18</v>
      </c>
      <c r="O22" s="43">
        <f t="shared" si="2"/>
        <v>24.399999999999977</v>
      </c>
      <c r="P22" s="37"/>
    </row>
    <row r="23" spans="2:16" x14ac:dyDescent="0.2">
      <c r="B23" s="15">
        <v>19</v>
      </c>
      <c r="C23" s="12">
        <v>833</v>
      </c>
      <c r="D23" s="12">
        <v>837</v>
      </c>
      <c r="E23" s="12">
        <v>824</v>
      </c>
      <c r="F23" s="12">
        <v>815</v>
      </c>
      <c r="G23" s="12">
        <v>789</v>
      </c>
      <c r="H23" s="12">
        <v>739</v>
      </c>
      <c r="I23" s="12">
        <v>730</v>
      </c>
      <c r="J23" s="26"/>
      <c r="K23" s="12">
        <f t="shared" si="0"/>
        <v>819.6</v>
      </c>
      <c r="L23" s="12"/>
      <c r="M23" s="12">
        <f t="shared" si="1"/>
        <v>734.5</v>
      </c>
      <c r="N23" s="22">
        <v>19</v>
      </c>
      <c r="O23" s="43">
        <f t="shared" si="2"/>
        <v>62.200000000000045</v>
      </c>
      <c r="P23" s="37"/>
    </row>
    <row r="24" spans="2:16" x14ac:dyDescent="0.2">
      <c r="B24" s="16">
        <v>20</v>
      </c>
      <c r="C24" s="13">
        <v>843</v>
      </c>
      <c r="D24" s="13">
        <v>825</v>
      </c>
      <c r="E24" s="13">
        <v>833</v>
      </c>
      <c r="F24" s="13">
        <v>808</v>
      </c>
      <c r="G24" s="13">
        <v>767</v>
      </c>
      <c r="H24" s="13">
        <v>731</v>
      </c>
      <c r="I24" s="13">
        <v>710</v>
      </c>
      <c r="J24" s="27"/>
      <c r="K24" s="13">
        <f t="shared" si="0"/>
        <v>815.2</v>
      </c>
      <c r="L24" s="13"/>
      <c r="M24" s="13">
        <f t="shared" si="1"/>
        <v>720.5</v>
      </c>
      <c r="N24" s="23">
        <v>20</v>
      </c>
      <c r="O24" s="49">
        <f t="shared" si="2"/>
        <v>-4.3999999999999773</v>
      </c>
      <c r="P24" s="37"/>
    </row>
    <row r="25" spans="2:16" x14ac:dyDescent="0.2">
      <c r="B25" s="15">
        <v>21</v>
      </c>
      <c r="C25" s="12">
        <v>822</v>
      </c>
      <c r="D25" s="12">
        <v>818</v>
      </c>
      <c r="E25" s="12">
        <v>820</v>
      </c>
      <c r="F25" s="12">
        <v>789</v>
      </c>
      <c r="G25" s="12">
        <v>755</v>
      </c>
      <c r="H25" s="12">
        <v>716</v>
      </c>
      <c r="I25" s="12">
        <v>707</v>
      </c>
      <c r="J25" s="26"/>
      <c r="K25" s="12">
        <f t="shared" si="0"/>
        <v>800.8</v>
      </c>
      <c r="L25" s="12"/>
      <c r="M25" s="12">
        <f t="shared" si="1"/>
        <v>711.5</v>
      </c>
      <c r="N25" s="22">
        <v>21</v>
      </c>
      <c r="O25" s="48">
        <f t="shared" si="2"/>
        <v>-14.400000000000091</v>
      </c>
      <c r="P25" s="37"/>
    </row>
    <row r="26" spans="2:16" x14ac:dyDescent="0.2">
      <c r="B26" s="15">
        <v>22</v>
      </c>
      <c r="C26" s="12">
        <v>770</v>
      </c>
      <c r="D26" s="12">
        <v>776</v>
      </c>
      <c r="E26" s="12">
        <v>770</v>
      </c>
      <c r="F26" s="12">
        <v>772</v>
      </c>
      <c r="G26" s="12">
        <v>726</v>
      </c>
      <c r="H26" s="12">
        <v>694</v>
      </c>
      <c r="I26" s="12">
        <v>674</v>
      </c>
      <c r="J26" s="26"/>
      <c r="K26" s="12">
        <f t="shared" si="0"/>
        <v>762.8</v>
      </c>
      <c r="L26" s="12"/>
      <c r="M26" s="12">
        <f t="shared" si="1"/>
        <v>684</v>
      </c>
      <c r="N26" s="22">
        <v>22</v>
      </c>
      <c r="O26" s="43">
        <f t="shared" si="2"/>
        <v>-38</v>
      </c>
      <c r="P26" s="37"/>
    </row>
    <row r="27" spans="2:16" x14ac:dyDescent="0.2">
      <c r="B27" s="15">
        <v>23</v>
      </c>
      <c r="C27" s="12">
        <v>698</v>
      </c>
      <c r="D27" s="12">
        <v>737</v>
      </c>
      <c r="E27" s="12">
        <v>705</v>
      </c>
      <c r="F27" s="12">
        <v>697</v>
      </c>
      <c r="G27" s="12">
        <v>688</v>
      </c>
      <c r="H27" s="12">
        <v>641</v>
      </c>
      <c r="I27" s="12">
        <v>643</v>
      </c>
      <c r="J27" s="26"/>
      <c r="K27" s="12">
        <f t="shared" si="0"/>
        <v>705</v>
      </c>
      <c r="L27" s="12"/>
      <c r="M27" s="12">
        <f t="shared" si="1"/>
        <v>642</v>
      </c>
      <c r="N27" s="22">
        <v>23</v>
      </c>
      <c r="O27" s="43">
        <f t="shared" si="2"/>
        <v>-57.799999999999955</v>
      </c>
      <c r="P27" s="37"/>
    </row>
    <row r="28" spans="2:16" x14ac:dyDescent="0.2">
      <c r="B28" s="16">
        <v>24</v>
      </c>
      <c r="C28" s="12">
        <v>638</v>
      </c>
      <c r="D28" s="12">
        <v>635</v>
      </c>
      <c r="E28" s="12">
        <v>630</v>
      </c>
      <c r="F28" s="12">
        <v>623</v>
      </c>
      <c r="G28" s="12">
        <v>600</v>
      </c>
      <c r="H28" s="12">
        <v>608</v>
      </c>
      <c r="I28" s="12">
        <v>574</v>
      </c>
      <c r="J28" s="27"/>
      <c r="K28" s="12">
        <f t="shared" si="0"/>
        <v>625.20000000000005</v>
      </c>
      <c r="L28" s="13"/>
      <c r="M28" s="12">
        <f t="shared" si="1"/>
        <v>591</v>
      </c>
      <c r="N28" s="23">
        <v>24</v>
      </c>
      <c r="O28" s="49">
        <f t="shared" si="2"/>
        <v>-79.799999999999955</v>
      </c>
      <c r="P28" s="37"/>
    </row>
    <row r="29" spans="2:16" ht="13.5" thickBot="1" x14ac:dyDescent="0.25">
      <c r="B29" s="17" t="s">
        <v>54</v>
      </c>
      <c r="C29" s="25">
        <f>SUM(C5:C28)</f>
        <v>17177</v>
      </c>
      <c r="D29" s="25">
        <f t="shared" ref="D29:M29" si="3">SUM(D5:D28)</f>
        <v>17541</v>
      </c>
      <c r="E29" s="25">
        <f t="shared" si="3"/>
        <v>17398</v>
      </c>
      <c r="F29" s="25">
        <f t="shared" si="3"/>
        <v>17078</v>
      </c>
      <c r="G29" s="25">
        <f t="shared" si="3"/>
        <v>16885</v>
      </c>
      <c r="H29" s="25">
        <f t="shared" si="3"/>
        <v>14602</v>
      </c>
      <c r="I29" s="25">
        <f t="shared" si="3"/>
        <v>14514</v>
      </c>
      <c r="J29" s="25"/>
      <c r="K29" s="25">
        <f t="shared" si="3"/>
        <v>17215.8</v>
      </c>
      <c r="L29" s="25"/>
      <c r="M29" s="25">
        <f t="shared" si="3"/>
        <v>14558</v>
      </c>
      <c r="N29" s="24"/>
      <c r="O29" s="44"/>
      <c r="P29" s="37"/>
    </row>
    <row r="30" spans="2:16" ht="13.5" thickTop="1" x14ac:dyDescent="0.2">
      <c r="B30" t="s">
        <v>66</v>
      </c>
      <c r="C30">
        <v>80</v>
      </c>
      <c r="D30">
        <v>78</v>
      </c>
      <c r="E30">
        <v>74</v>
      </c>
      <c r="F30">
        <v>80</v>
      </c>
      <c r="G30">
        <v>78</v>
      </c>
      <c r="H30">
        <v>73</v>
      </c>
      <c r="I30">
        <v>65</v>
      </c>
      <c r="K30" s="110">
        <f>AVERAGE(C30:H30)</f>
        <v>77.166666666666671</v>
      </c>
      <c r="M30">
        <f>AVERAGE(H30:I30)</f>
        <v>69</v>
      </c>
      <c r="P30" s="37"/>
    </row>
    <row r="31" spans="2:16" x14ac:dyDescent="0.2">
      <c r="B31" s="109" t="s">
        <v>67</v>
      </c>
      <c r="C31">
        <v>50</v>
      </c>
      <c r="D31">
        <v>50</v>
      </c>
      <c r="E31">
        <v>48</v>
      </c>
      <c r="F31">
        <v>50</v>
      </c>
      <c r="G31">
        <v>50</v>
      </c>
      <c r="H31">
        <v>50</v>
      </c>
      <c r="I31">
        <v>45</v>
      </c>
      <c r="K31" s="110">
        <f>AVERAGE(C31:H31)</f>
        <v>49.666666666666664</v>
      </c>
      <c r="M31" s="110">
        <f>AVERAGE(H31:I31)</f>
        <v>47.5</v>
      </c>
      <c r="P31" s="37"/>
    </row>
    <row r="32" spans="2:16" x14ac:dyDescent="0.2">
      <c r="P32" s="37"/>
    </row>
    <row r="33" spans="1:16" x14ac:dyDescent="0.2">
      <c r="P33" s="37"/>
    </row>
    <row r="34" spans="1:16" x14ac:dyDescent="0.2">
      <c r="P34" s="37"/>
    </row>
    <row r="35" spans="1:16" x14ac:dyDescent="0.2">
      <c r="P35" s="37"/>
    </row>
    <row r="36" spans="1:16" ht="15.75" x14ac:dyDescent="0.25">
      <c r="A36" s="10"/>
      <c r="B36" s="10"/>
      <c r="C36" s="10"/>
      <c r="D36" s="10"/>
      <c r="E36" s="10"/>
      <c r="F36" s="10"/>
      <c r="G36" s="11" t="s">
        <v>56</v>
      </c>
      <c r="H36" s="10"/>
      <c r="I36" s="10"/>
      <c r="J36" s="10"/>
      <c r="K36" s="10"/>
      <c r="L36" s="10"/>
      <c r="M36" s="10"/>
      <c r="N36" s="10"/>
      <c r="P36" s="37"/>
    </row>
    <row r="37" spans="1:16" x14ac:dyDescent="0.2">
      <c r="P37" s="37"/>
    </row>
    <row r="38" spans="1:16" x14ac:dyDescent="0.2">
      <c r="C38">
        <v>8</v>
      </c>
      <c r="D38">
        <v>9</v>
      </c>
      <c r="E38">
        <v>10</v>
      </c>
      <c r="F38">
        <v>11</v>
      </c>
      <c r="G38">
        <v>12</v>
      </c>
      <c r="H38">
        <v>13</v>
      </c>
      <c r="I38">
        <v>14</v>
      </c>
      <c r="P38" s="37"/>
    </row>
    <row r="39" spans="1:16" x14ac:dyDescent="0.2">
      <c r="B39" s="14" t="s">
        <v>53</v>
      </c>
      <c r="C39" s="18" t="s">
        <v>46</v>
      </c>
      <c r="D39" s="18" t="s">
        <v>47</v>
      </c>
      <c r="E39" s="18" t="s">
        <v>48</v>
      </c>
      <c r="F39" s="18" t="s">
        <v>49</v>
      </c>
      <c r="G39" s="18" t="s">
        <v>50</v>
      </c>
      <c r="H39" s="18" t="s">
        <v>51</v>
      </c>
      <c r="I39" s="18" t="s">
        <v>52</v>
      </c>
      <c r="J39" s="19"/>
      <c r="K39" s="322" t="s">
        <v>152</v>
      </c>
      <c r="L39" s="20"/>
      <c r="M39" s="322" t="s">
        <v>153</v>
      </c>
      <c r="N39" s="21" t="s">
        <v>53</v>
      </c>
      <c r="O39" s="42" t="s">
        <v>63</v>
      </c>
      <c r="P39" s="37"/>
    </row>
    <row r="40" spans="1:16" x14ac:dyDescent="0.2">
      <c r="B40" s="31">
        <v>1</v>
      </c>
      <c r="C40" s="29">
        <v>577</v>
      </c>
      <c r="D40" s="29">
        <v>606</v>
      </c>
      <c r="E40" s="29">
        <v>595</v>
      </c>
      <c r="F40" s="29">
        <v>603</v>
      </c>
      <c r="G40" s="29">
        <v>591</v>
      </c>
      <c r="H40" s="29">
        <v>592</v>
      </c>
      <c r="I40" s="29">
        <v>580</v>
      </c>
      <c r="J40" s="30"/>
      <c r="K40" s="29">
        <f>AVERAGE(C40:G40)</f>
        <v>594.4</v>
      </c>
      <c r="L40" s="29"/>
      <c r="M40" s="29">
        <f>AVERAGE(H40:I40)</f>
        <v>586</v>
      </c>
      <c r="N40" s="32">
        <v>1</v>
      </c>
      <c r="O40" s="48">
        <f>K40-K63</f>
        <v>-33</v>
      </c>
      <c r="P40" s="37"/>
    </row>
    <row r="41" spans="1:16" x14ac:dyDescent="0.2">
      <c r="B41" s="15">
        <v>2</v>
      </c>
      <c r="C41" s="12">
        <v>563</v>
      </c>
      <c r="D41" s="12">
        <v>582</v>
      </c>
      <c r="E41" s="12">
        <v>567</v>
      </c>
      <c r="F41" s="12">
        <v>560</v>
      </c>
      <c r="G41" s="12">
        <v>586</v>
      </c>
      <c r="H41" s="12">
        <v>566</v>
      </c>
      <c r="I41" s="12">
        <v>551</v>
      </c>
      <c r="J41" s="26"/>
      <c r="K41" s="12">
        <f t="shared" ref="K41:K63" si="4">AVERAGE(C41:G41)</f>
        <v>571.6</v>
      </c>
      <c r="L41" s="12"/>
      <c r="M41" s="12">
        <f t="shared" ref="M41:M63" si="5">AVERAGE(H41:I41)</f>
        <v>558.5</v>
      </c>
      <c r="N41" s="22">
        <v>2</v>
      </c>
      <c r="O41" s="43">
        <f>K41-K40</f>
        <v>-22.799999999999955</v>
      </c>
      <c r="P41" s="37"/>
    </row>
    <row r="42" spans="1:16" x14ac:dyDescent="0.2">
      <c r="B42" s="15">
        <v>3</v>
      </c>
      <c r="C42" s="12">
        <v>560</v>
      </c>
      <c r="D42" s="12">
        <v>576</v>
      </c>
      <c r="E42" s="12">
        <v>561</v>
      </c>
      <c r="F42" s="12">
        <v>559</v>
      </c>
      <c r="G42" s="12">
        <v>567</v>
      </c>
      <c r="H42" s="12">
        <v>570</v>
      </c>
      <c r="I42" s="12">
        <v>555</v>
      </c>
      <c r="J42" s="26"/>
      <c r="K42" s="12">
        <f t="shared" si="4"/>
        <v>564.6</v>
      </c>
      <c r="L42" s="12"/>
      <c r="M42" s="12">
        <f t="shared" si="5"/>
        <v>562.5</v>
      </c>
      <c r="N42" s="22">
        <v>3</v>
      </c>
      <c r="O42" s="43">
        <f t="shared" ref="O42:O63" si="6">K42-K41</f>
        <v>-7</v>
      </c>
      <c r="P42" s="37"/>
    </row>
    <row r="43" spans="1:16" x14ac:dyDescent="0.2">
      <c r="B43" s="16">
        <v>4</v>
      </c>
      <c r="C43" s="13">
        <v>558</v>
      </c>
      <c r="D43" s="13">
        <v>575</v>
      </c>
      <c r="E43" s="13">
        <v>562</v>
      </c>
      <c r="F43" s="13">
        <v>568</v>
      </c>
      <c r="G43" s="13">
        <v>576</v>
      </c>
      <c r="H43" s="13">
        <v>554</v>
      </c>
      <c r="I43" s="13">
        <v>539</v>
      </c>
      <c r="J43" s="27"/>
      <c r="K43" s="13">
        <f t="shared" si="4"/>
        <v>567.79999999999995</v>
      </c>
      <c r="L43" s="13"/>
      <c r="M43" s="13">
        <f t="shared" si="5"/>
        <v>546.5</v>
      </c>
      <c r="N43" s="23">
        <v>4</v>
      </c>
      <c r="O43" s="49">
        <f t="shared" si="6"/>
        <v>3.1999999999999318</v>
      </c>
      <c r="P43" s="37"/>
    </row>
    <row r="44" spans="1:16" x14ac:dyDescent="0.2">
      <c r="B44" s="31">
        <v>5</v>
      </c>
      <c r="C44" s="29">
        <v>566</v>
      </c>
      <c r="D44" s="29">
        <v>600</v>
      </c>
      <c r="E44" s="29">
        <v>583</v>
      </c>
      <c r="F44" s="29">
        <v>586</v>
      </c>
      <c r="G44" s="29">
        <v>593</v>
      </c>
      <c r="H44" s="29">
        <v>561</v>
      </c>
      <c r="I44" s="29">
        <v>540</v>
      </c>
      <c r="J44" s="30"/>
      <c r="K44" s="29">
        <f t="shared" si="4"/>
        <v>585.6</v>
      </c>
      <c r="L44" s="29"/>
      <c r="M44" s="29">
        <f t="shared" si="5"/>
        <v>550.5</v>
      </c>
      <c r="N44" s="32">
        <v>5</v>
      </c>
      <c r="O44" s="45">
        <f t="shared" si="6"/>
        <v>17.800000000000068</v>
      </c>
      <c r="P44" s="37"/>
    </row>
    <row r="45" spans="1:16" x14ac:dyDescent="0.2">
      <c r="B45" s="15">
        <v>6</v>
      </c>
      <c r="C45" s="12">
        <v>615</v>
      </c>
      <c r="D45" s="12">
        <v>654</v>
      </c>
      <c r="E45" s="12">
        <v>630</v>
      </c>
      <c r="F45" s="12">
        <v>616</v>
      </c>
      <c r="G45" s="12">
        <v>650</v>
      </c>
      <c r="H45" s="12">
        <v>586</v>
      </c>
      <c r="I45" s="12">
        <v>541</v>
      </c>
      <c r="J45" s="26"/>
      <c r="K45" s="12">
        <f t="shared" si="4"/>
        <v>633</v>
      </c>
      <c r="L45" s="12"/>
      <c r="M45" s="12">
        <f t="shared" si="5"/>
        <v>563.5</v>
      </c>
      <c r="N45" s="22">
        <v>6</v>
      </c>
      <c r="O45" s="46">
        <f t="shared" si="6"/>
        <v>47.399999999999977</v>
      </c>
      <c r="P45" s="37"/>
    </row>
    <row r="46" spans="1:16" x14ac:dyDescent="0.2">
      <c r="B46" s="15">
        <v>7</v>
      </c>
      <c r="C46" s="12">
        <v>711</v>
      </c>
      <c r="D46" s="12">
        <v>728</v>
      </c>
      <c r="E46" s="12">
        <v>724</v>
      </c>
      <c r="F46" s="12">
        <v>686</v>
      </c>
      <c r="G46" s="12">
        <v>748</v>
      </c>
      <c r="H46" s="12">
        <v>636</v>
      </c>
      <c r="I46" s="12">
        <v>574</v>
      </c>
      <c r="J46" s="26"/>
      <c r="K46" s="12">
        <f t="shared" si="4"/>
        <v>719.4</v>
      </c>
      <c r="L46" s="12"/>
      <c r="M46" s="12">
        <f t="shared" si="5"/>
        <v>605</v>
      </c>
      <c r="N46" s="22">
        <v>7</v>
      </c>
      <c r="O46" s="46">
        <f t="shared" si="6"/>
        <v>86.399999999999977</v>
      </c>
      <c r="P46" s="37"/>
    </row>
    <row r="47" spans="1:16" x14ac:dyDescent="0.2">
      <c r="B47" s="16">
        <v>8</v>
      </c>
      <c r="C47" s="13">
        <v>761</v>
      </c>
      <c r="D47" s="13">
        <v>772</v>
      </c>
      <c r="E47" s="13">
        <v>754</v>
      </c>
      <c r="F47" s="13">
        <v>761</v>
      </c>
      <c r="G47" s="13">
        <v>771</v>
      </c>
      <c r="H47" s="13">
        <v>645</v>
      </c>
      <c r="I47" s="13">
        <v>627</v>
      </c>
      <c r="J47" s="27"/>
      <c r="K47" s="13">
        <f t="shared" si="4"/>
        <v>763.8</v>
      </c>
      <c r="L47" s="13"/>
      <c r="M47" s="13">
        <f t="shared" si="5"/>
        <v>636</v>
      </c>
      <c r="N47" s="23">
        <v>8</v>
      </c>
      <c r="O47" s="47">
        <f t="shared" si="6"/>
        <v>44.399999999999977</v>
      </c>
      <c r="P47" s="37"/>
    </row>
    <row r="48" spans="1:16" x14ac:dyDescent="0.2">
      <c r="B48" s="15">
        <v>9</v>
      </c>
      <c r="C48" s="12">
        <v>761</v>
      </c>
      <c r="D48" s="12">
        <v>791</v>
      </c>
      <c r="E48" s="12">
        <v>769</v>
      </c>
      <c r="F48" s="12">
        <v>761</v>
      </c>
      <c r="G48" s="12">
        <v>777</v>
      </c>
      <c r="H48" s="12">
        <v>680</v>
      </c>
      <c r="I48" s="12">
        <v>592</v>
      </c>
      <c r="J48" s="26"/>
      <c r="K48" s="12">
        <f t="shared" si="4"/>
        <v>771.8</v>
      </c>
      <c r="L48" s="12"/>
      <c r="M48" s="12">
        <f t="shared" si="5"/>
        <v>636</v>
      </c>
      <c r="N48" s="22">
        <v>9</v>
      </c>
      <c r="O48" s="48">
        <f t="shared" si="6"/>
        <v>8</v>
      </c>
      <c r="P48" s="37"/>
    </row>
    <row r="49" spans="2:16" x14ac:dyDescent="0.2">
      <c r="B49" s="15">
        <v>10</v>
      </c>
      <c r="C49" s="12">
        <v>767</v>
      </c>
      <c r="D49" s="12">
        <v>804</v>
      </c>
      <c r="E49" s="12">
        <v>764</v>
      </c>
      <c r="F49" s="12">
        <v>775</v>
      </c>
      <c r="G49" s="12">
        <v>801</v>
      </c>
      <c r="H49" s="12">
        <v>672</v>
      </c>
      <c r="I49" s="12">
        <v>592</v>
      </c>
      <c r="J49" s="26"/>
      <c r="K49" s="12">
        <f t="shared" si="4"/>
        <v>782.2</v>
      </c>
      <c r="L49" s="12"/>
      <c r="M49" s="12">
        <f t="shared" si="5"/>
        <v>632</v>
      </c>
      <c r="N49" s="22">
        <v>10</v>
      </c>
      <c r="O49" s="43">
        <f t="shared" si="6"/>
        <v>10.400000000000091</v>
      </c>
      <c r="P49" s="37"/>
    </row>
    <row r="50" spans="2:16" x14ac:dyDescent="0.2">
      <c r="B50" s="15">
        <v>11</v>
      </c>
      <c r="C50" s="12">
        <v>799</v>
      </c>
      <c r="D50" s="12">
        <v>806</v>
      </c>
      <c r="E50" s="12">
        <v>771</v>
      </c>
      <c r="F50" s="12">
        <v>771</v>
      </c>
      <c r="G50" s="12">
        <v>775</v>
      </c>
      <c r="H50" s="12">
        <v>702</v>
      </c>
      <c r="I50" s="12">
        <v>625</v>
      </c>
      <c r="J50" s="26"/>
      <c r="K50" s="12">
        <f t="shared" si="4"/>
        <v>784.4</v>
      </c>
      <c r="L50" s="12"/>
      <c r="M50" s="12">
        <f t="shared" si="5"/>
        <v>663.5</v>
      </c>
      <c r="N50" s="22">
        <v>11</v>
      </c>
      <c r="O50" s="43">
        <f t="shared" si="6"/>
        <v>2.1999999999999318</v>
      </c>
      <c r="P50" s="37"/>
    </row>
    <row r="51" spans="2:16" x14ac:dyDescent="0.2">
      <c r="B51" s="16">
        <v>12</v>
      </c>
      <c r="C51" s="13">
        <v>780</v>
      </c>
      <c r="D51" s="13">
        <v>795</v>
      </c>
      <c r="E51" s="13">
        <v>754</v>
      </c>
      <c r="F51" s="13">
        <v>757</v>
      </c>
      <c r="G51" s="13">
        <v>777</v>
      </c>
      <c r="H51" s="13">
        <v>670</v>
      </c>
      <c r="I51" s="13">
        <v>601</v>
      </c>
      <c r="J51" s="27"/>
      <c r="K51" s="13">
        <f t="shared" si="4"/>
        <v>772.6</v>
      </c>
      <c r="L51" s="13"/>
      <c r="M51" s="13">
        <f t="shared" si="5"/>
        <v>635.5</v>
      </c>
      <c r="N51" s="23">
        <v>12</v>
      </c>
      <c r="O51" s="49">
        <f t="shared" si="6"/>
        <v>-11.799999999999955</v>
      </c>
      <c r="P51" s="37"/>
    </row>
    <row r="52" spans="2:16" x14ac:dyDescent="0.2">
      <c r="B52" s="15">
        <v>13</v>
      </c>
      <c r="C52" s="12">
        <v>770</v>
      </c>
      <c r="D52" s="12">
        <v>776</v>
      </c>
      <c r="E52" s="12">
        <v>730</v>
      </c>
      <c r="F52" s="12">
        <v>812</v>
      </c>
      <c r="G52" s="12">
        <v>757</v>
      </c>
      <c r="H52" s="12">
        <v>654</v>
      </c>
      <c r="I52" s="12">
        <v>624</v>
      </c>
      <c r="J52" s="26"/>
      <c r="K52" s="12">
        <f t="shared" si="4"/>
        <v>769</v>
      </c>
      <c r="L52" s="12"/>
      <c r="M52" s="12">
        <f t="shared" si="5"/>
        <v>639</v>
      </c>
      <c r="N52" s="22">
        <v>13</v>
      </c>
      <c r="O52" s="48">
        <f t="shared" si="6"/>
        <v>-3.6000000000000227</v>
      </c>
      <c r="P52" s="37"/>
    </row>
    <row r="53" spans="2:16" x14ac:dyDescent="0.2">
      <c r="B53" s="15">
        <v>14</v>
      </c>
      <c r="C53" s="12">
        <v>761</v>
      </c>
      <c r="D53" s="12">
        <v>761</v>
      </c>
      <c r="E53" s="12">
        <v>738</v>
      </c>
      <c r="F53" s="12">
        <v>750</v>
      </c>
      <c r="G53" s="12">
        <v>757</v>
      </c>
      <c r="H53" s="12">
        <v>649</v>
      </c>
      <c r="I53" s="12">
        <v>602</v>
      </c>
      <c r="J53" s="26"/>
      <c r="K53" s="12">
        <f t="shared" si="4"/>
        <v>753.4</v>
      </c>
      <c r="L53" s="12"/>
      <c r="M53" s="12">
        <f t="shared" si="5"/>
        <v>625.5</v>
      </c>
      <c r="N53" s="22">
        <v>14</v>
      </c>
      <c r="O53" s="43">
        <f t="shared" si="6"/>
        <v>-15.600000000000023</v>
      </c>
      <c r="P53" s="37"/>
    </row>
    <row r="54" spans="2:16" x14ac:dyDescent="0.2">
      <c r="B54" s="15">
        <v>15</v>
      </c>
      <c r="C54" s="12">
        <v>747</v>
      </c>
      <c r="D54" s="12">
        <v>752</v>
      </c>
      <c r="E54" s="12">
        <v>739</v>
      </c>
      <c r="F54" s="12">
        <v>723</v>
      </c>
      <c r="G54" s="12">
        <v>747</v>
      </c>
      <c r="H54" s="12">
        <v>640</v>
      </c>
      <c r="I54" s="12">
        <v>593</v>
      </c>
      <c r="J54" s="26"/>
      <c r="K54" s="12">
        <f t="shared" si="4"/>
        <v>741.6</v>
      </c>
      <c r="L54" s="12"/>
      <c r="M54" s="12">
        <f t="shared" si="5"/>
        <v>616.5</v>
      </c>
      <c r="N54" s="22">
        <v>15</v>
      </c>
      <c r="O54" s="43">
        <f t="shared" si="6"/>
        <v>-11.799999999999955</v>
      </c>
      <c r="P54" s="37"/>
    </row>
    <row r="55" spans="2:16" x14ac:dyDescent="0.2">
      <c r="B55" s="16">
        <v>16</v>
      </c>
      <c r="C55" s="13">
        <v>739</v>
      </c>
      <c r="D55" s="13">
        <v>745</v>
      </c>
      <c r="E55" s="13">
        <v>722</v>
      </c>
      <c r="F55" s="13">
        <v>718</v>
      </c>
      <c r="G55" s="13">
        <v>733</v>
      </c>
      <c r="H55" s="13">
        <v>614</v>
      </c>
      <c r="I55" s="13">
        <v>606</v>
      </c>
      <c r="J55" s="27"/>
      <c r="K55" s="13">
        <f t="shared" si="4"/>
        <v>731.4</v>
      </c>
      <c r="L55" s="13"/>
      <c r="M55" s="13">
        <f t="shared" si="5"/>
        <v>610</v>
      </c>
      <c r="N55" s="23">
        <v>16</v>
      </c>
      <c r="O55" s="49">
        <f t="shared" si="6"/>
        <v>-10.200000000000045</v>
      </c>
      <c r="P55" s="37"/>
    </row>
    <row r="56" spans="2:16" x14ac:dyDescent="0.2">
      <c r="B56" s="15">
        <v>17</v>
      </c>
      <c r="C56" s="12">
        <v>735</v>
      </c>
      <c r="D56" s="12">
        <v>736</v>
      </c>
      <c r="E56" s="12">
        <v>699</v>
      </c>
      <c r="F56" s="12">
        <v>704</v>
      </c>
      <c r="G56" s="12">
        <v>700</v>
      </c>
      <c r="H56" s="12">
        <v>627</v>
      </c>
      <c r="I56" s="12">
        <v>602</v>
      </c>
      <c r="J56" s="26"/>
      <c r="K56" s="12">
        <f t="shared" si="4"/>
        <v>714.8</v>
      </c>
      <c r="L56" s="12"/>
      <c r="M56" s="12">
        <f t="shared" si="5"/>
        <v>614.5</v>
      </c>
      <c r="N56" s="22">
        <v>17</v>
      </c>
      <c r="O56" s="48">
        <f t="shared" si="6"/>
        <v>-16.600000000000023</v>
      </c>
      <c r="P56" s="37"/>
    </row>
    <row r="57" spans="2:16" x14ac:dyDescent="0.2">
      <c r="B57" s="15">
        <v>18</v>
      </c>
      <c r="C57" s="12">
        <v>800</v>
      </c>
      <c r="D57" s="12">
        <v>800</v>
      </c>
      <c r="E57" s="12">
        <v>795</v>
      </c>
      <c r="F57" s="12">
        <v>801</v>
      </c>
      <c r="G57" s="12">
        <v>720</v>
      </c>
      <c r="H57" s="12">
        <v>616</v>
      </c>
      <c r="I57" s="12">
        <v>624</v>
      </c>
      <c r="J57" s="26"/>
      <c r="K57" s="12">
        <f t="shared" si="4"/>
        <v>783.2</v>
      </c>
      <c r="L57" s="12"/>
      <c r="M57" s="12">
        <f t="shared" si="5"/>
        <v>620</v>
      </c>
      <c r="N57" s="22">
        <v>18</v>
      </c>
      <c r="O57" s="43">
        <f t="shared" si="6"/>
        <v>68.400000000000091</v>
      </c>
      <c r="P57" s="37"/>
    </row>
    <row r="58" spans="2:16" x14ac:dyDescent="0.2">
      <c r="B58" s="15">
        <v>19</v>
      </c>
      <c r="C58" s="12">
        <v>835</v>
      </c>
      <c r="D58" s="12">
        <v>847</v>
      </c>
      <c r="E58" s="12">
        <v>811</v>
      </c>
      <c r="F58" s="12">
        <v>805</v>
      </c>
      <c r="G58" s="12">
        <v>781</v>
      </c>
      <c r="H58" s="12">
        <v>735</v>
      </c>
      <c r="I58" s="12">
        <v>705</v>
      </c>
      <c r="J58" s="26"/>
      <c r="K58" s="12">
        <f t="shared" si="4"/>
        <v>815.8</v>
      </c>
      <c r="L58" s="12"/>
      <c r="M58" s="12">
        <f t="shared" si="5"/>
        <v>720</v>
      </c>
      <c r="N58" s="22">
        <v>19</v>
      </c>
      <c r="O58" s="43">
        <f t="shared" si="6"/>
        <v>32.599999999999909</v>
      </c>
      <c r="P58" s="37"/>
    </row>
    <row r="59" spans="2:16" x14ac:dyDescent="0.2">
      <c r="B59" s="16">
        <v>20</v>
      </c>
      <c r="C59" s="13">
        <v>842</v>
      </c>
      <c r="D59" s="13">
        <v>850</v>
      </c>
      <c r="E59" s="13">
        <v>813</v>
      </c>
      <c r="F59" s="13">
        <v>789</v>
      </c>
      <c r="G59" s="13">
        <v>784</v>
      </c>
      <c r="H59" s="13">
        <v>717</v>
      </c>
      <c r="I59" s="13">
        <v>719</v>
      </c>
      <c r="J59" s="27"/>
      <c r="K59" s="13">
        <f t="shared" si="4"/>
        <v>815.6</v>
      </c>
      <c r="L59" s="13"/>
      <c r="M59" s="13">
        <f t="shared" si="5"/>
        <v>718</v>
      </c>
      <c r="N59" s="23">
        <v>20</v>
      </c>
      <c r="O59" s="49">
        <f t="shared" si="6"/>
        <v>-0.19999999999993179</v>
      </c>
      <c r="P59" s="37"/>
    </row>
    <row r="60" spans="2:16" x14ac:dyDescent="0.2">
      <c r="B60" s="15">
        <v>21</v>
      </c>
      <c r="C60" s="12">
        <v>825</v>
      </c>
      <c r="D60" s="12">
        <v>823</v>
      </c>
      <c r="E60" s="12">
        <v>795</v>
      </c>
      <c r="F60" s="12">
        <v>770</v>
      </c>
      <c r="G60" s="12">
        <v>766</v>
      </c>
      <c r="H60" s="12">
        <v>715</v>
      </c>
      <c r="I60" s="12">
        <v>711</v>
      </c>
      <c r="J60" s="26"/>
      <c r="K60" s="12">
        <f t="shared" si="4"/>
        <v>795.8</v>
      </c>
      <c r="L60" s="12"/>
      <c r="M60" s="12">
        <f t="shared" si="5"/>
        <v>713</v>
      </c>
      <c r="N60" s="22">
        <v>21</v>
      </c>
      <c r="O60" s="48">
        <f t="shared" si="6"/>
        <v>-19.800000000000068</v>
      </c>
      <c r="P60" s="37"/>
    </row>
    <row r="61" spans="2:16" x14ac:dyDescent="0.2">
      <c r="B61" s="15">
        <v>22</v>
      </c>
      <c r="C61" s="12">
        <v>782</v>
      </c>
      <c r="D61" s="12">
        <v>781</v>
      </c>
      <c r="E61" s="12">
        <v>728</v>
      </c>
      <c r="F61" s="12">
        <v>737</v>
      </c>
      <c r="G61" s="12">
        <v>745</v>
      </c>
      <c r="H61" s="12">
        <v>688</v>
      </c>
      <c r="I61" s="12">
        <v>674</v>
      </c>
      <c r="J61" s="26"/>
      <c r="K61" s="12">
        <f t="shared" si="4"/>
        <v>754.6</v>
      </c>
      <c r="L61" s="12"/>
      <c r="M61" s="12">
        <f t="shared" si="5"/>
        <v>681</v>
      </c>
      <c r="N61" s="22">
        <v>22</v>
      </c>
      <c r="O61" s="43">
        <f t="shared" si="6"/>
        <v>-41.199999999999932</v>
      </c>
      <c r="P61" s="37"/>
    </row>
    <row r="62" spans="2:16" x14ac:dyDescent="0.2">
      <c r="B62" s="15">
        <v>23</v>
      </c>
      <c r="C62" s="12">
        <v>708</v>
      </c>
      <c r="D62" s="12">
        <v>705</v>
      </c>
      <c r="E62" s="12">
        <v>669</v>
      </c>
      <c r="F62" s="12">
        <v>671</v>
      </c>
      <c r="G62" s="12">
        <v>707</v>
      </c>
      <c r="H62" s="12">
        <v>642</v>
      </c>
      <c r="I62" s="12">
        <v>632</v>
      </c>
      <c r="J62" s="26"/>
      <c r="K62" s="12">
        <f t="shared" si="4"/>
        <v>692</v>
      </c>
      <c r="L62" s="12"/>
      <c r="M62" s="12">
        <f t="shared" si="5"/>
        <v>637</v>
      </c>
      <c r="N62" s="22">
        <v>23</v>
      </c>
      <c r="O62" s="43">
        <f t="shared" si="6"/>
        <v>-62.600000000000023</v>
      </c>
      <c r="P62" s="37"/>
    </row>
    <row r="63" spans="2:16" x14ac:dyDescent="0.2">
      <c r="B63" s="16">
        <v>24</v>
      </c>
      <c r="C63" s="12">
        <v>646</v>
      </c>
      <c r="D63" s="12">
        <v>634</v>
      </c>
      <c r="E63" s="12">
        <v>611</v>
      </c>
      <c r="F63" s="12">
        <v>605</v>
      </c>
      <c r="G63" s="12">
        <v>641</v>
      </c>
      <c r="H63" s="12">
        <v>616</v>
      </c>
      <c r="I63" s="12">
        <v>584</v>
      </c>
      <c r="J63" s="27"/>
      <c r="K63" s="12">
        <f t="shared" si="4"/>
        <v>627.4</v>
      </c>
      <c r="L63" s="13"/>
      <c r="M63" s="12">
        <f t="shared" si="5"/>
        <v>600</v>
      </c>
      <c r="N63" s="23">
        <v>24</v>
      </c>
      <c r="O63" s="49">
        <f t="shared" si="6"/>
        <v>-64.600000000000023</v>
      </c>
      <c r="P63" s="37"/>
    </row>
    <row r="64" spans="2:16" ht="13.5" thickBot="1" x14ac:dyDescent="0.25">
      <c r="B64" s="17" t="s">
        <v>54</v>
      </c>
      <c r="C64" s="25">
        <f t="shared" ref="C64:I64" si="7">SUM(C40:C63)</f>
        <v>17208</v>
      </c>
      <c r="D64" s="25">
        <f t="shared" si="7"/>
        <v>17499</v>
      </c>
      <c r="E64" s="25">
        <f t="shared" si="7"/>
        <v>16884</v>
      </c>
      <c r="F64" s="25">
        <f t="shared" si="7"/>
        <v>16888</v>
      </c>
      <c r="G64" s="25">
        <f t="shared" si="7"/>
        <v>17050</v>
      </c>
      <c r="H64" s="25">
        <f t="shared" si="7"/>
        <v>15347</v>
      </c>
      <c r="I64" s="25">
        <f t="shared" si="7"/>
        <v>14593</v>
      </c>
      <c r="J64" s="25"/>
      <c r="K64" s="25">
        <f>SUM(K40:K63)</f>
        <v>17105.800000000003</v>
      </c>
      <c r="L64" s="25"/>
      <c r="M64" s="25">
        <f>SUM(M40:M63)</f>
        <v>14970</v>
      </c>
      <c r="N64" s="24"/>
      <c r="O64" s="44"/>
      <c r="P64" s="37"/>
    </row>
    <row r="65" spans="1:16" ht="13.5" thickTop="1" x14ac:dyDescent="0.2">
      <c r="B65" t="s">
        <v>66</v>
      </c>
      <c r="C65">
        <v>80</v>
      </c>
      <c r="D65">
        <v>78</v>
      </c>
      <c r="E65">
        <v>74</v>
      </c>
      <c r="F65">
        <v>80</v>
      </c>
      <c r="G65">
        <v>78</v>
      </c>
      <c r="H65">
        <v>73</v>
      </c>
      <c r="I65">
        <v>65</v>
      </c>
      <c r="K65" s="110">
        <f>AVERAGE(C65:H65)</f>
        <v>77.166666666666671</v>
      </c>
      <c r="M65">
        <f>AVERAGE(H65:I65)</f>
        <v>69</v>
      </c>
      <c r="P65" s="37"/>
    </row>
    <row r="66" spans="1:16" x14ac:dyDescent="0.2">
      <c r="B66" s="109" t="s">
        <v>67</v>
      </c>
      <c r="C66">
        <v>50</v>
      </c>
      <c r="D66">
        <v>50</v>
      </c>
      <c r="E66">
        <v>48</v>
      </c>
      <c r="F66">
        <v>50</v>
      </c>
      <c r="G66">
        <v>50</v>
      </c>
      <c r="H66">
        <v>50</v>
      </c>
      <c r="I66">
        <v>45</v>
      </c>
      <c r="K66" s="110">
        <f>AVERAGE(C66:H66)</f>
        <v>49.666666666666664</v>
      </c>
      <c r="M66" s="110">
        <f>AVERAGE(H66:I66)</f>
        <v>47.5</v>
      </c>
      <c r="P66" s="37"/>
    </row>
    <row r="67" spans="1:16" x14ac:dyDescent="0.2">
      <c r="P67" s="37"/>
    </row>
    <row r="68" spans="1:16" x14ac:dyDescent="0.2">
      <c r="D68" s="33"/>
      <c r="E68" s="33"/>
      <c r="P68" s="37"/>
    </row>
    <row r="69" spans="1:16" x14ac:dyDescent="0.2">
      <c r="P69" s="37"/>
    </row>
    <row r="70" spans="1:16" x14ac:dyDescent="0.2">
      <c r="P70" s="37"/>
    </row>
    <row r="71" spans="1:16" ht="15.75" x14ac:dyDescent="0.25">
      <c r="A71" s="10"/>
      <c r="B71" s="10"/>
      <c r="C71" s="10"/>
      <c r="D71" s="10"/>
      <c r="E71" s="10"/>
      <c r="F71" s="10"/>
      <c r="G71" s="11" t="s">
        <v>58</v>
      </c>
      <c r="H71" s="10"/>
      <c r="I71" s="10"/>
      <c r="J71" s="10"/>
      <c r="K71" s="10"/>
      <c r="L71" s="10"/>
      <c r="M71" s="10"/>
      <c r="N71" s="10"/>
      <c r="P71" s="37"/>
    </row>
    <row r="72" spans="1:16" x14ac:dyDescent="0.2">
      <c r="P72" s="37"/>
    </row>
    <row r="73" spans="1:16" x14ac:dyDescent="0.2">
      <c r="C73">
        <v>15</v>
      </c>
      <c r="D73">
        <v>16</v>
      </c>
      <c r="E73">
        <v>17</v>
      </c>
      <c r="F73">
        <v>18</v>
      </c>
      <c r="G73">
        <v>19</v>
      </c>
      <c r="H73">
        <v>20</v>
      </c>
      <c r="I73">
        <v>21</v>
      </c>
      <c r="P73" s="37"/>
    </row>
    <row r="74" spans="1:16" x14ac:dyDescent="0.2">
      <c r="B74" s="14" t="s">
        <v>53</v>
      </c>
      <c r="C74" s="18" t="s">
        <v>46</v>
      </c>
      <c r="D74" s="18" t="s">
        <v>47</v>
      </c>
      <c r="E74" s="18" t="s">
        <v>48</v>
      </c>
      <c r="F74" s="18" t="s">
        <v>49</v>
      </c>
      <c r="G74" s="18" t="s">
        <v>50</v>
      </c>
      <c r="H74" s="18" t="s">
        <v>51</v>
      </c>
      <c r="I74" s="18" t="s">
        <v>52</v>
      </c>
      <c r="J74" s="19"/>
      <c r="K74" s="322" t="s">
        <v>152</v>
      </c>
      <c r="L74" s="20"/>
      <c r="M74" s="322" t="s">
        <v>153</v>
      </c>
      <c r="N74" s="21" t="s">
        <v>53</v>
      </c>
      <c r="O74" s="42" t="s">
        <v>63</v>
      </c>
      <c r="P74" s="37"/>
    </row>
    <row r="75" spans="1:16" x14ac:dyDescent="0.2">
      <c r="B75" s="31">
        <v>1</v>
      </c>
      <c r="C75" s="29">
        <v>547</v>
      </c>
      <c r="D75" s="29">
        <v>558</v>
      </c>
      <c r="E75" s="29">
        <v>601</v>
      </c>
      <c r="F75" s="29">
        <v>549</v>
      </c>
      <c r="G75" s="29">
        <v>568</v>
      </c>
      <c r="H75" s="29">
        <v>549</v>
      </c>
      <c r="I75" s="29">
        <v>568</v>
      </c>
      <c r="J75" s="30"/>
      <c r="K75" s="29">
        <f>AVERAGE(C75:G75)</f>
        <v>564.6</v>
      </c>
      <c r="L75" s="29"/>
      <c r="M75" s="29">
        <f>AVERAGE(H75:I75)</f>
        <v>558.5</v>
      </c>
      <c r="N75" s="32">
        <v>1</v>
      </c>
      <c r="O75" s="48">
        <f>K75-K98</f>
        <v>-44.199999999999932</v>
      </c>
      <c r="P75" s="37"/>
    </row>
    <row r="76" spans="1:16" x14ac:dyDescent="0.2">
      <c r="B76" s="15">
        <v>2</v>
      </c>
      <c r="C76" s="12">
        <v>531</v>
      </c>
      <c r="D76" s="12">
        <v>554</v>
      </c>
      <c r="E76" s="12">
        <v>587</v>
      </c>
      <c r="F76" s="12">
        <v>536</v>
      </c>
      <c r="G76" s="12">
        <v>540</v>
      </c>
      <c r="H76" s="12">
        <v>534</v>
      </c>
      <c r="I76" s="12">
        <v>546</v>
      </c>
      <c r="J76" s="26"/>
      <c r="K76" s="12">
        <f t="shared" ref="K76:K98" si="8">AVERAGE(C76:G76)</f>
        <v>549.6</v>
      </c>
      <c r="L76" s="12"/>
      <c r="M76" s="12">
        <f t="shared" ref="M76:M98" si="9">AVERAGE(H76:I76)</f>
        <v>540</v>
      </c>
      <c r="N76" s="22">
        <v>2</v>
      </c>
      <c r="O76" s="43">
        <f>K76-K75</f>
        <v>-15</v>
      </c>
      <c r="P76" s="37"/>
    </row>
    <row r="77" spans="1:16" x14ac:dyDescent="0.2">
      <c r="B77" s="15">
        <v>3</v>
      </c>
      <c r="C77" s="12">
        <v>529</v>
      </c>
      <c r="D77" s="12">
        <v>534</v>
      </c>
      <c r="E77" s="12">
        <v>582</v>
      </c>
      <c r="F77" s="12">
        <v>530</v>
      </c>
      <c r="G77" s="12">
        <v>532</v>
      </c>
      <c r="H77" s="12">
        <v>527</v>
      </c>
      <c r="I77" s="12">
        <v>539</v>
      </c>
      <c r="J77" s="26"/>
      <c r="K77" s="12">
        <f t="shared" si="8"/>
        <v>541.4</v>
      </c>
      <c r="L77" s="12"/>
      <c r="M77" s="12">
        <f t="shared" si="9"/>
        <v>533</v>
      </c>
      <c r="N77" s="22">
        <v>3</v>
      </c>
      <c r="O77" s="43">
        <f t="shared" ref="O77:O98" si="10">K77-K76</f>
        <v>-8.2000000000000455</v>
      </c>
      <c r="P77" s="37"/>
    </row>
    <row r="78" spans="1:16" x14ac:dyDescent="0.2">
      <c r="B78" s="16">
        <v>4</v>
      </c>
      <c r="C78" s="13">
        <v>530</v>
      </c>
      <c r="D78" s="13">
        <v>537</v>
      </c>
      <c r="E78" s="13">
        <v>574</v>
      </c>
      <c r="F78" s="13">
        <v>527</v>
      </c>
      <c r="G78" s="13">
        <v>529</v>
      </c>
      <c r="H78" s="13">
        <v>522</v>
      </c>
      <c r="I78" s="13">
        <v>531</v>
      </c>
      <c r="J78" s="27"/>
      <c r="K78" s="13">
        <f t="shared" si="8"/>
        <v>539.4</v>
      </c>
      <c r="L78" s="13"/>
      <c r="M78" s="13">
        <f t="shared" si="9"/>
        <v>526.5</v>
      </c>
      <c r="N78" s="23">
        <v>4</v>
      </c>
      <c r="O78" s="49">
        <f t="shared" si="10"/>
        <v>-2</v>
      </c>
      <c r="P78" s="37"/>
    </row>
    <row r="79" spans="1:16" x14ac:dyDescent="0.2">
      <c r="B79" s="31">
        <v>5</v>
      </c>
      <c r="C79" s="29">
        <v>535</v>
      </c>
      <c r="D79" s="29">
        <v>559</v>
      </c>
      <c r="E79" s="29">
        <v>597</v>
      </c>
      <c r="F79" s="29">
        <v>538</v>
      </c>
      <c r="G79" s="29">
        <v>548</v>
      </c>
      <c r="H79" s="29">
        <v>519</v>
      </c>
      <c r="I79" s="29">
        <v>533</v>
      </c>
      <c r="J79" s="30"/>
      <c r="K79" s="29">
        <f t="shared" si="8"/>
        <v>555.4</v>
      </c>
      <c r="L79" s="29"/>
      <c r="M79" s="29">
        <f t="shared" si="9"/>
        <v>526</v>
      </c>
      <c r="N79" s="32">
        <v>5</v>
      </c>
      <c r="O79" s="45">
        <f t="shared" si="10"/>
        <v>16</v>
      </c>
      <c r="P79" s="37"/>
    </row>
    <row r="80" spans="1:16" x14ac:dyDescent="0.2">
      <c r="B80" s="15">
        <v>6</v>
      </c>
      <c r="C80" s="12">
        <v>567</v>
      </c>
      <c r="D80" s="12">
        <v>618</v>
      </c>
      <c r="E80" s="12">
        <v>663</v>
      </c>
      <c r="F80" s="12">
        <v>595</v>
      </c>
      <c r="G80" s="12">
        <v>603</v>
      </c>
      <c r="H80" s="12">
        <v>547</v>
      </c>
      <c r="I80" s="12">
        <v>543</v>
      </c>
      <c r="J80" s="26"/>
      <c r="K80" s="12">
        <f t="shared" si="8"/>
        <v>609.20000000000005</v>
      </c>
      <c r="L80" s="12"/>
      <c r="M80" s="12">
        <f t="shared" si="9"/>
        <v>545</v>
      </c>
      <c r="N80" s="22">
        <v>6</v>
      </c>
      <c r="O80" s="46">
        <f t="shared" si="10"/>
        <v>53.800000000000068</v>
      </c>
      <c r="P80" s="37"/>
    </row>
    <row r="81" spans="2:16" x14ac:dyDescent="0.2">
      <c r="B81" s="15">
        <v>7</v>
      </c>
      <c r="C81" s="12">
        <v>664</v>
      </c>
      <c r="D81" s="12">
        <v>688</v>
      </c>
      <c r="E81" s="12">
        <v>729</v>
      </c>
      <c r="F81" s="12">
        <v>694</v>
      </c>
      <c r="G81" s="12">
        <v>695</v>
      </c>
      <c r="H81" s="12">
        <v>567</v>
      </c>
      <c r="I81" s="12">
        <v>568</v>
      </c>
      <c r="J81" s="26"/>
      <c r="K81" s="12">
        <f t="shared" si="8"/>
        <v>694</v>
      </c>
      <c r="L81" s="12"/>
      <c r="M81" s="12">
        <f t="shared" si="9"/>
        <v>567.5</v>
      </c>
      <c r="N81" s="22">
        <v>7</v>
      </c>
      <c r="O81" s="46">
        <f t="shared" si="10"/>
        <v>84.799999999999955</v>
      </c>
      <c r="P81" s="37"/>
    </row>
    <row r="82" spans="2:16" x14ac:dyDescent="0.2">
      <c r="B82" s="16">
        <v>8</v>
      </c>
      <c r="C82" s="13">
        <v>712</v>
      </c>
      <c r="D82" s="13">
        <v>743</v>
      </c>
      <c r="E82" s="13">
        <v>804</v>
      </c>
      <c r="F82" s="13">
        <v>718</v>
      </c>
      <c r="G82" s="13">
        <v>726</v>
      </c>
      <c r="H82" s="13">
        <v>624</v>
      </c>
      <c r="I82" s="13">
        <v>551</v>
      </c>
      <c r="J82" s="27"/>
      <c r="K82" s="13">
        <f t="shared" si="8"/>
        <v>740.6</v>
      </c>
      <c r="L82" s="13"/>
      <c r="M82" s="13">
        <f t="shared" si="9"/>
        <v>587.5</v>
      </c>
      <c r="N82" s="23">
        <v>8</v>
      </c>
      <c r="O82" s="47">
        <f t="shared" si="10"/>
        <v>46.600000000000023</v>
      </c>
      <c r="P82" s="37"/>
    </row>
    <row r="83" spans="2:16" x14ac:dyDescent="0.2">
      <c r="B83" s="15">
        <v>9</v>
      </c>
      <c r="C83" s="12">
        <v>726</v>
      </c>
      <c r="D83" s="12">
        <v>744</v>
      </c>
      <c r="E83" s="12">
        <v>798</v>
      </c>
      <c r="F83" s="12">
        <v>729</v>
      </c>
      <c r="G83" s="12">
        <v>749</v>
      </c>
      <c r="H83" s="12">
        <v>630</v>
      </c>
      <c r="I83" s="12">
        <v>585</v>
      </c>
      <c r="J83" s="26"/>
      <c r="K83" s="12">
        <f t="shared" si="8"/>
        <v>749.2</v>
      </c>
      <c r="L83" s="12"/>
      <c r="M83" s="12">
        <f t="shared" si="9"/>
        <v>607.5</v>
      </c>
      <c r="N83" s="22">
        <v>9</v>
      </c>
      <c r="O83" s="48">
        <f t="shared" si="10"/>
        <v>8.6000000000000227</v>
      </c>
      <c r="P83" s="37"/>
    </row>
    <row r="84" spans="2:16" x14ac:dyDescent="0.2">
      <c r="B84" s="15">
        <v>10</v>
      </c>
      <c r="C84" s="12">
        <v>735</v>
      </c>
      <c r="D84" s="12">
        <v>767</v>
      </c>
      <c r="E84" s="12">
        <v>782</v>
      </c>
      <c r="F84" s="12">
        <v>741</v>
      </c>
      <c r="G84" s="12">
        <v>758</v>
      </c>
      <c r="H84" s="12">
        <v>653</v>
      </c>
      <c r="I84" s="12">
        <v>594</v>
      </c>
      <c r="J84" s="26"/>
      <c r="K84" s="12">
        <f t="shared" si="8"/>
        <v>756.6</v>
      </c>
      <c r="L84" s="12"/>
      <c r="M84" s="12">
        <f t="shared" si="9"/>
        <v>623.5</v>
      </c>
      <c r="N84" s="22">
        <v>10</v>
      </c>
      <c r="O84" s="43">
        <f t="shared" si="10"/>
        <v>7.3999999999999773</v>
      </c>
      <c r="P84" s="37"/>
    </row>
    <row r="85" spans="2:16" x14ac:dyDescent="0.2">
      <c r="B85" s="15">
        <v>11</v>
      </c>
      <c r="C85" s="12">
        <v>769</v>
      </c>
      <c r="D85" s="12">
        <v>769</v>
      </c>
      <c r="E85" s="12">
        <v>803</v>
      </c>
      <c r="F85" s="12">
        <v>751</v>
      </c>
      <c r="G85" s="12">
        <v>773</v>
      </c>
      <c r="H85" s="12">
        <v>655</v>
      </c>
      <c r="I85" s="12">
        <v>615</v>
      </c>
      <c r="J85" s="26"/>
      <c r="K85" s="12">
        <f t="shared" si="8"/>
        <v>773</v>
      </c>
      <c r="L85" s="12"/>
      <c r="M85" s="12">
        <f t="shared" si="9"/>
        <v>635</v>
      </c>
      <c r="N85" s="22">
        <v>11</v>
      </c>
      <c r="O85" s="43">
        <f t="shared" si="10"/>
        <v>16.399999999999977</v>
      </c>
      <c r="P85" s="37"/>
    </row>
    <row r="86" spans="2:16" x14ac:dyDescent="0.2">
      <c r="B86" s="16">
        <v>12</v>
      </c>
      <c r="C86" s="13">
        <v>768</v>
      </c>
      <c r="D86" s="13">
        <v>766</v>
      </c>
      <c r="E86" s="13">
        <v>783</v>
      </c>
      <c r="F86" s="13">
        <v>750</v>
      </c>
      <c r="G86" s="13">
        <v>758</v>
      </c>
      <c r="H86" s="13">
        <v>678</v>
      </c>
      <c r="I86" s="13">
        <v>621</v>
      </c>
      <c r="J86" s="27"/>
      <c r="K86" s="13">
        <f t="shared" si="8"/>
        <v>765</v>
      </c>
      <c r="L86" s="13"/>
      <c r="M86" s="13">
        <f t="shared" si="9"/>
        <v>649.5</v>
      </c>
      <c r="N86" s="23">
        <v>12</v>
      </c>
      <c r="O86" s="49">
        <f t="shared" si="10"/>
        <v>-8</v>
      </c>
      <c r="P86" s="37"/>
    </row>
    <row r="87" spans="2:16" x14ac:dyDescent="0.2">
      <c r="B87" s="15">
        <v>13</v>
      </c>
      <c r="C87" s="12">
        <v>739</v>
      </c>
      <c r="D87" s="12">
        <v>763</v>
      </c>
      <c r="E87" s="12">
        <v>777</v>
      </c>
      <c r="F87" s="12">
        <v>742</v>
      </c>
      <c r="G87" s="12">
        <v>752</v>
      </c>
      <c r="H87" s="12">
        <v>657</v>
      </c>
      <c r="I87" s="12">
        <v>626</v>
      </c>
      <c r="J87" s="26"/>
      <c r="K87" s="12">
        <f t="shared" si="8"/>
        <v>754.6</v>
      </c>
      <c r="L87" s="12"/>
      <c r="M87" s="12">
        <f t="shared" si="9"/>
        <v>641.5</v>
      </c>
      <c r="N87" s="22">
        <v>13</v>
      </c>
      <c r="O87" s="48">
        <f t="shared" si="10"/>
        <v>-10.399999999999977</v>
      </c>
      <c r="P87" s="37"/>
    </row>
    <row r="88" spans="2:16" x14ac:dyDescent="0.2">
      <c r="B88" s="15">
        <v>14</v>
      </c>
      <c r="C88" s="12">
        <v>745</v>
      </c>
      <c r="D88" s="12">
        <v>750</v>
      </c>
      <c r="E88" s="12">
        <v>786</v>
      </c>
      <c r="F88" s="12">
        <v>743</v>
      </c>
      <c r="G88" s="12">
        <v>747</v>
      </c>
      <c r="H88" s="12">
        <v>660</v>
      </c>
      <c r="I88" s="12">
        <v>613</v>
      </c>
      <c r="J88" s="26"/>
      <c r="K88" s="12">
        <f t="shared" si="8"/>
        <v>754.2</v>
      </c>
      <c r="L88" s="12"/>
      <c r="M88" s="12">
        <f t="shared" si="9"/>
        <v>636.5</v>
      </c>
      <c r="N88" s="22">
        <v>14</v>
      </c>
      <c r="O88" s="43">
        <f t="shared" si="10"/>
        <v>-0.39999999999997726</v>
      </c>
      <c r="P88" s="37"/>
    </row>
    <row r="89" spans="2:16" x14ac:dyDescent="0.2">
      <c r="B89" s="15">
        <v>15</v>
      </c>
      <c r="C89" s="12">
        <v>748</v>
      </c>
      <c r="D89" s="12">
        <v>739</v>
      </c>
      <c r="E89" s="12">
        <v>777</v>
      </c>
      <c r="F89" s="12">
        <v>743</v>
      </c>
      <c r="G89" s="12">
        <v>753</v>
      </c>
      <c r="H89" s="12">
        <v>645</v>
      </c>
      <c r="I89" s="12">
        <v>615</v>
      </c>
      <c r="J89" s="26"/>
      <c r="K89" s="12">
        <f t="shared" si="8"/>
        <v>752</v>
      </c>
      <c r="L89" s="12"/>
      <c r="M89" s="12">
        <f t="shared" si="9"/>
        <v>630</v>
      </c>
      <c r="N89" s="22">
        <v>15</v>
      </c>
      <c r="O89" s="43">
        <f t="shared" si="10"/>
        <v>-2.2000000000000455</v>
      </c>
      <c r="P89" s="37"/>
    </row>
    <row r="90" spans="2:16" x14ac:dyDescent="0.2">
      <c r="B90" s="16">
        <v>16</v>
      </c>
      <c r="C90" s="13">
        <v>734</v>
      </c>
      <c r="D90" s="13">
        <v>729</v>
      </c>
      <c r="E90" s="13">
        <v>756</v>
      </c>
      <c r="F90" s="13">
        <v>730</v>
      </c>
      <c r="G90" s="13">
        <v>733</v>
      </c>
      <c r="H90" s="13">
        <v>649</v>
      </c>
      <c r="I90" s="13">
        <v>604</v>
      </c>
      <c r="J90" s="27"/>
      <c r="K90" s="13">
        <f t="shared" si="8"/>
        <v>736.4</v>
      </c>
      <c r="L90" s="13"/>
      <c r="M90" s="13">
        <f t="shared" si="9"/>
        <v>626.5</v>
      </c>
      <c r="N90" s="23">
        <v>16</v>
      </c>
      <c r="O90" s="49">
        <f t="shared" si="10"/>
        <v>-15.600000000000023</v>
      </c>
      <c r="P90" s="37"/>
    </row>
    <row r="91" spans="2:16" x14ac:dyDescent="0.2">
      <c r="B91" s="15">
        <v>17</v>
      </c>
      <c r="C91" s="12">
        <v>717</v>
      </c>
      <c r="D91" s="12">
        <v>732</v>
      </c>
      <c r="E91" s="12">
        <v>758</v>
      </c>
      <c r="F91" s="12">
        <v>720</v>
      </c>
      <c r="G91" s="12">
        <v>722</v>
      </c>
      <c r="H91" s="12">
        <v>625</v>
      </c>
      <c r="I91" s="12">
        <v>615</v>
      </c>
      <c r="J91" s="26"/>
      <c r="K91" s="12">
        <f t="shared" si="8"/>
        <v>729.8</v>
      </c>
      <c r="L91" s="12"/>
      <c r="M91" s="12">
        <f t="shared" si="9"/>
        <v>620</v>
      </c>
      <c r="N91" s="22">
        <v>17</v>
      </c>
      <c r="O91" s="48">
        <f t="shared" si="10"/>
        <v>-6.6000000000000227</v>
      </c>
      <c r="P91" s="37"/>
    </row>
    <row r="92" spans="2:16" x14ac:dyDescent="0.2">
      <c r="B92" s="15">
        <v>18</v>
      </c>
      <c r="C92" s="12">
        <v>716</v>
      </c>
      <c r="D92" s="12">
        <v>740</v>
      </c>
      <c r="E92" s="12">
        <v>781</v>
      </c>
      <c r="F92" s="12">
        <v>714</v>
      </c>
      <c r="G92" s="12">
        <v>712</v>
      </c>
      <c r="H92" s="12">
        <v>641</v>
      </c>
      <c r="I92" s="12">
        <v>670</v>
      </c>
      <c r="J92" s="26"/>
      <c r="K92" s="12">
        <f t="shared" si="8"/>
        <v>732.6</v>
      </c>
      <c r="L92" s="12"/>
      <c r="M92" s="12">
        <f t="shared" si="9"/>
        <v>655.5</v>
      </c>
      <c r="N92" s="22">
        <v>18</v>
      </c>
      <c r="O92" s="43">
        <f t="shared" si="10"/>
        <v>2.8000000000000682</v>
      </c>
      <c r="P92" s="37"/>
    </row>
    <row r="93" spans="2:16" x14ac:dyDescent="0.2">
      <c r="B93" s="15">
        <v>19</v>
      </c>
      <c r="C93" s="12">
        <v>812</v>
      </c>
      <c r="D93" s="12">
        <v>822</v>
      </c>
      <c r="E93" s="12">
        <v>832</v>
      </c>
      <c r="F93" s="12">
        <v>791</v>
      </c>
      <c r="G93" s="12">
        <v>777</v>
      </c>
      <c r="H93" s="12">
        <v>734</v>
      </c>
      <c r="I93" s="12">
        <v>729</v>
      </c>
      <c r="J93" s="26"/>
      <c r="K93" s="12">
        <f t="shared" si="8"/>
        <v>806.8</v>
      </c>
      <c r="L93" s="12"/>
      <c r="M93" s="12">
        <f t="shared" si="9"/>
        <v>731.5</v>
      </c>
      <c r="N93" s="22">
        <v>19</v>
      </c>
      <c r="O93" s="43">
        <f t="shared" si="10"/>
        <v>74.199999999999932</v>
      </c>
      <c r="P93" s="37"/>
    </row>
    <row r="94" spans="2:16" x14ac:dyDescent="0.2">
      <c r="B94" s="16">
        <v>20</v>
      </c>
      <c r="C94" s="13">
        <v>802</v>
      </c>
      <c r="D94" s="13">
        <v>804</v>
      </c>
      <c r="E94" s="13">
        <v>821</v>
      </c>
      <c r="F94" s="13">
        <v>791</v>
      </c>
      <c r="G94" s="13">
        <v>778</v>
      </c>
      <c r="H94" s="13">
        <v>728</v>
      </c>
      <c r="I94" s="13">
        <v>704</v>
      </c>
      <c r="J94" s="27"/>
      <c r="K94" s="13">
        <f t="shared" si="8"/>
        <v>799.2</v>
      </c>
      <c r="L94" s="13"/>
      <c r="M94" s="13">
        <f t="shared" si="9"/>
        <v>716</v>
      </c>
      <c r="N94" s="23">
        <v>20</v>
      </c>
      <c r="O94" s="49">
        <f t="shared" si="10"/>
        <v>-7.5999999999999091</v>
      </c>
      <c r="P94" s="37"/>
    </row>
    <row r="95" spans="2:16" x14ac:dyDescent="0.2">
      <c r="B95" s="15">
        <v>21</v>
      </c>
      <c r="C95" s="12">
        <v>787</v>
      </c>
      <c r="D95" s="12">
        <v>799</v>
      </c>
      <c r="E95" s="12">
        <v>802</v>
      </c>
      <c r="F95" s="12">
        <v>763</v>
      </c>
      <c r="G95" s="12">
        <v>739</v>
      </c>
      <c r="H95" s="12">
        <v>696</v>
      </c>
      <c r="I95" s="12">
        <v>699</v>
      </c>
      <c r="J95" s="26"/>
      <c r="K95" s="12">
        <f t="shared" si="8"/>
        <v>778</v>
      </c>
      <c r="L95" s="12"/>
      <c r="M95" s="12">
        <f t="shared" si="9"/>
        <v>697.5</v>
      </c>
      <c r="N95" s="22">
        <v>21</v>
      </c>
      <c r="O95" s="48">
        <f t="shared" si="10"/>
        <v>-21.200000000000045</v>
      </c>
      <c r="P95" s="37"/>
    </row>
    <row r="96" spans="2:16" x14ac:dyDescent="0.2">
      <c r="B96" s="15">
        <v>22</v>
      </c>
      <c r="C96" s="12">
        <v>732</v>
      </c>
      <c r="D96" s="12">
        <v>739</v>
      </c>
      <c r="E96" s="12">
        <v>761</v>
      </c>
      <c r="F96" s="12">
        <v>741</v>
      </c>
      <c r="G96" s="12">
        <v>708</v>
      </c>
      <c r="H96" s="12">
        <v>678</v>
      </c>
      <c r="I96" s="12">
        <v>667</v>
      </c>
      <c r="J96" s="26"/>
      <c r="K96" s="12">
        <f t="shared" si="8"/>
        <v>736.2</v>
      </c>
      <c r="L96" s="12"/>
      <c r="M96" s="12">
        <f t="shared" si="9"/>
        <v>672.5</v>
      </c>
      <c r="N96" s="22">
        <v>22</v>
      </c>
      <c r="O96" s="43">
        <f t="shared" si="10"/>
        <v>-41.799999999999955</v>
      </c>
      <c r="P96" s="37"/>
    </row>
    <row r="97" spans="1:16" x14ac:dyDescent="0.2">
      <c r="B97" s="15">
        <v>23</v>
      </c>
      <c r="C97" s="12">
        <v>657</v>
      </c>
      <c r="D97" s="12">
        <v>681</v>
      </c>
      <c r="E97" s="12">
        <v>684</v>
      </c>
      <c r="F97" s="12">
        <v>676</v>
      </c>
      <c r="G97" s="12">
        <v>647</v>
      </c>
      <c r="H97" s="12">
        <v>637</v>
      </c>
      <c r="I97" s="12">
        <v>634</v>
      </c>
      <c r="J97" s="26"/>
      <c r="K97" s="12">
        <f t="shared" si="8"/>
        <v>669</v>
      </c>
      <c r="L97" s="12"/>
      <c r="M97" s="12">
        <f t="shared" si="9"/>
        <v>635.5</v>
      </c>
      <c r="N97" s="22">
        <v>23</v>
      </c>
      <c r="O97" s="43">
        <f t="shared" si="10"/>
        <v>-67.200000000000045</v>
      </c>
      <c r="P97" s="37"/>
    </row>
    <row r="98" spans="1:16" x14ac:dyDescent="0.2">
      <c r="B98" s="16">
        <v>24</v>
      </c>
      <c r="C98" s="12">
        <v>605</v>
      </c>
      <c r="D98" s="12">
        <v>627</v>
      </c>
      <c r="E98" s="12">
        <v>636</v>
      </c>
      <c r="F98" s="12">
        <v>589</v>
      </c>
      <c r="G98" s="12">
        <v>587</v>
      </c>
      <c r="H98" s="12">
        <v>580</v>
      </c>
      <c r="I98" s="12">
        <v>584</v>
      </c>
      <c r="J98" s="27"/>
      <c r="K98" s="12">
        <f t="shared" si="8"/>
        <v>608.79999999999995</v>
      </c>
      <c r="L98" s="13"/>
      <c r="M98" s="12">
        <f t="shared" si="9"/>
        <v>582</v>
      </c>
      <c r="N98" s="23">
        <v>24</v>
      </c>
      <c r="O98" s="49">
        <f t="shared" si="10"/>
        <v>-60.200000000000045</v>
      </c>
      <c r="P98" s="37"/>
    </row>
    <row r="99" spans="1:16" ht="13.5" thickBot="1" x14ac:dyDescent="0.25">
      <c r="B99" s="17" t="s">
        <v>54</v>
      </c>
      <c r="C99" s="25">
        <f t="shared" ref="C99:I99" si="11">SUM(C75:C98)</f>
        <v>16407</v>
      </c>
      <c r="D99" s="25">
        <f t="shared" si="11"/>
        <v>16762</v>
      </c>
      <c r="E99" s="25">
        <f t="shared" si="11"/>
        <v>17474</v>
      </c>
      <c r="F99" s="25">
        <f t="shared" si="11"/>
        <v>16401</v>
      </c>
      <c r="G99" s="25">
        <f t="shared" si="11"/>
        <v>16434</v>
      </c>
      <c r="H99" s="25">
        <f t="shared" si="11"/>
        <v>14935</v>
      </c>
      <c r="I99" s="25">
        <f t="shared" si="11"/>
        <v>14554</v>
      </c>
      <c r="J99" s="25"/>
      <c r="K99" s="25">
        <f>SUM(K75:K98)</f>
        <v>16695.600000000002</v>
      </c>
      <c r="L99" s="25"/>
      <c r="M99" s="25">
        <f>SUM(M75:M98)</f>
        <v>14744.5</v>
      </c>
      <c r="N99" s="24"/>
      <c r="O99" s="44"/>
      <c r="P99" s="37"/>
    </row>
    <row r="100" spans="1:16" ht="13.5" thickTop="1" x14ac:dyDescent="0.2">
      <c r="B100" t="s">
        <v>66</v>
      </c>
      <c r="C100">
        <v>80</v>
      </c>
      <c r="D100">
        <v>78</v>
      </c>
      <c r="E100">
        <v>74</v>
      </c>
      <c r="F100">
        <v>80</v>
      </c>
      <c r="G100">
        <v>78</v>
      </c>
      <c r="H100">
        <v>73</v>
      </c>
      <c r="I100">
        <v>65</v>
      </c>
      <c r="K100" s="110">
        <f>AVERAGE(C100:H100)</f>
        <v>77.166666666666671</v>
      </c>
      <c r="M100">
        <f>AVERAGE(H100:I100)</f>
        <v>69</v>
      </c>
      <c r="P100" s="37"/>
    </row>
    <row r="101" spans="1:16" x14ac:dyDescent="0.2">
      <c r="B101" s="109" t="s">
        <v>67</v>
      </c>
      <c r="C101">
        <v>50</v>
      </c>
      <c r="D101">
        <v>50</v>
      </c>
      <c r="E101">
        <v>48</v>
      </c>
      <c r="F101">
        <v>50</v>
      </c>
      <c r="G101">
        <v>50</v>
      </c>
      <c r="H101">
        <v>50</v>
      </c>
      <c r="I101">
        <v>45</v>
      </c>
      <c r="K101" s="110">
        <f>AVERAGE(C101:H101)</f>
        <v>49.666666666666664</v>
      </c>
      <c r="M101" s="110">
        <f>AVERAGE(H101:I101)</f>
        <v>47.5</v>
      </c>
      <c r="P101" s="37"/>
    </row>
    <row r="102" spans="1:16" x14ac:dyDescent="0.2">
      <c r="C102" s="33"/>
      <c r="D102" s="33"/>
      <c r="E102" s="33"/>
      <c r="P102" s="37"/>
    </row>
    <row r="103" spans="1:16" x14ac:dyDescent="0.2">
      <c r="P103" s="37"/>
    </row>
    <row r="104" spans="1:16" x14ac:dyDescent="0.2">
      <c r="P104" s="37"/>
    </row>
    <row r="105" spans="1:16" x14ac:dyDescent="0.2">
      <c r="P105" s="37"/>
    </row>
    <row r="106" spans="1:16" ht="15.75" x14ac:dyDescent="0.25">
      <c r="A106" s="10"/>
      <c r="B106" s="10"/>
      <c r="C106" s="10"/>
      <c r="D106" s="10"/>
      <c r="E106" s="10"/>
      <c r="F106" s="10"/>
      <c r="G106" s="11" t="s">
        <v>57</v>
      </c>
      <c r="H106" s="10"/>
      <c r="I106" s="10"/>
      <c r="J106" s="10"/>
      <c r="K106" s="10"/>
      <c r="L106" s="10"/>
      <c r="M106" s="10"/>
      <c r="N106" s="10"/>
      <c r="P106" s="37"/>
    </row>
    <row r="107" spans="1:16" x14ac:dyDescent="0.2">
      <c r="P107" s="37"/>
    </row>
    <row r="108" spans="1:16" x14ac:dyDescent="0.2">
      <c r="C108">
        <v>22</v>
      </c>
      <c r="D108">
        <v>23</v>
      </c>
      <c r="E108">
        <v>24</v>
      </c>
      <c r="F108">
        <v>25</v>
      </c>
      <c r="G108">
        <v>26</v>
      </c>
      <c r="H108">
        <v>27</v>
      </c>
      <c r="I108">
        <v>28</v>
      </c>
      <c r="P108" s="37"/>
    </row>
    <row r="109" spans="1:16" x14ac:dyDescent="0.2">
      <c r="B109" s="14" t="s">
        <v>53</v>
      </c>
      <c r="C109" s="18" t="s">
        <v>46</v>
      </c>
      <c r="D109" s="18" t="s">
        <v>47</v>
      </c>
      <c r="E109" s="18" t="s">
        <v>48</v>
      </c>
      <c r="F109" s="18" t="s">
        <v>49</v>
      </c>
      <c r="G109" s="18" t="s">
        <v>50</v>
      </c>
      <c r="H109" s="18" t="s">
        <v>51</v>
      </c>
      <c r="I109" s="18" t="s">
        <v>52</v>
      </c>
      <c r="J109" s="19"/>
      <c r="K109" s="322" t="s">
        <v>152</v>
      </c>
      <c r="L109" s="20"/>
      <c r="M109" s="322" t="s">
        <v>153</v>
      </c>
      <c r="N109" s="21" t="s">
        <v>53</v>
      </c>
      <c r="O109" s="42" t="s">
        <v>63</v>
      </c>
      <c r="P109" s="37"/>
    </row>
    <row r="110" spans="1:16" x14ac:dyDescent="0.2">
      <c r="B110" s="31">
        <v>1</v>
      </c>
      <c r="C110" s="29">
        <v>544</v>
      </c>
      <c r="D110" s="29">
        <v>580</v>
      </c>
      <c r="E110" s="29">
        <v>610</v>
      </c>
      <c r="F110" s="29">
        <v>562</v>
      </c>
      <c r="G110" s="29">
        <v>664</v>
      </c>
      <c r="H110" s="29">
        <v>587</v>
      </c>
      <c r="I110" s="29">
        <v>551</v>
      </c>
      <c r="J110" s="30"/>
      <c r="K110" s="29">
        <f>AVERAGE(C110:G110)</f>
        <v>592</v>
      </c>
      <c r="L110" s="29"/>
      <c r="M110" s="29">
        <f>AVERAGE(H110:I110)</f>
        <v>569</v>
      </c>
      <c r="N110" s="32">
        <v>1</v>
      </c>
      <c r="O110" s="48">
        <f>K110-K133</f>
        <v>-63.174754836770489</v>
      </c>
      <c r="P110" s="37"/>
    </row>
    <row r="111" spans="1:16" x14ac:dyDescent="0.2">
      <c r="B111" s="15">
        <v>2</v>
      </c>
      <c r="C111" s="12">
        <v>538</v>
      </c>
      <c r="D111" s="12">
        <v>554</v>
      </c>
      <c r="E111" s="12">
        <v>586</v>
      </c>
      <c r="F111" s="12">
        <v>540</v>
      </c>
      <c r="G111" s="12">
        <v>632</v>
      </c>
      <c r="H111" s="12">
        <v>574</v>
      </c>
      <c r="I111" s="12">
        <v>547</v>
      </c>
      <c r="J111" s="26"/>
      <c r="K111" s="12">
        <f t="shared" ref="K111:K133" si="12">AVERAGE(C111:G111)</f>
        <v>570</v>
      </c>
      <c r="L111" s="12"/>
      <c r="M111" s="12">
        <f t="shared" ref="M111:M133" si="13">AVERAGE(H111:I111)</f>
        <v>560.5</v>
      </c>
      <c r="N111" s="22">
        <v>2</v>
      </c>
      <c r="O111" s="43">
        <f>K111-K110</f>
        <v>-22</v>
      </c>
      <c r="P111" s="37"/>
    </row>
    <row r="112" spans="1:16" x14ac:dyDescent="0.2">
      <c r="B112" s="15">
        <v>3</v>
      </c>
      <c r="C112" s="12">
        <v>531</v>
      </c>
      <c r="D112" s="12">
        <v>547</v>
      </c>
      <c r="E112" s="12">
        <v>555</v>
      </c>
      <c r="F112" s="12">
        <v>534</v>
      </c>
      <c r="G112" s="12">
        <v>610</v>
      </c>
      <c r="H112" s="12">
        <v>555</v>
      </c>
      <c r="I112" s="12">
        <v>536</v>
      </c>
      <c r="J112" s="26"/>
      <c r="K112" s="12">
        <f t="shared" si="12"/>
        <v>555.4</v>
      </c>
      <c r="L112" s="12"/>
      <c r="M112" s="12">
        <f t="shared" si="13"/>
        <v>545.5</v>
      </c>
      <c r="N112" s="22">
        <v>3</v>
      </c>
      <c r="O112" s="43">
        <f t="shared" ref="O112:O133" si="14">K112-K111</f>
        <v>-14.600000000000023</v>
      </c>
      <c r="P112" s="37"/>
    </row>
    <row r="113" spans="2:16" x14ac:dyDescent="0.2">
      <c r="B113" s="16">
        <v>4</v>
      </c>
      <c r="C113" s="13">
        <v>538</v>
      </c>
      <c r="D113" s="13">
        <v>551</v>
      </c>
      <c r="E113" s="13">
        <v>557</v>
      </c>
      <c r="F113" s="13">
        <v>549</v>
      </c>
      <c r="G113" s="13">
        <v>595</v>
      </c>
      <c r="H113" s="13">
        <v>551</v>
      </c>
      <c r="I113" s="13">
        <v>532</v>
      </c>
      <c r="J113" s="27"/>
      <c r="K113" s="13">
        <f t="shared" si="12"/>
        <v>558</v>
      </c>
      <c r="L113" s="13"/>
      <c r="M113" s="13">
        <f t="shared" si="13"/>
        <v>541.5</v>
      </c>
      <c r="N113" s="23">
        <v>4</v>
      </c>
      <c r="O113" s="49">
        <f t="shared" si="14"/>
        <v>2.6000000000000227</v>
      </c>
      <c r="P113" s="37"/>
    </row>
    <row r="114" spans="2:16" x14ac:dyDescent="0.2">
      <c r="B114" s="31">
        <v>5</v>
      </c>
      <c r="C114" s="29">
        <v>540</v>
      </c>
      <c r="D114" s="29">
        <v>557</v>
      </c>
      <c r="E114" s="29">
        <v>570</v>
      </c>
      <c r="F114" s="29">
        <v>545</v>
      </c>
      <c r="G114" s="29">
        <v>588</v>
      </c>
      <c r="H114" s="29">
        <v>558</v>
      </c>
      <c r="I114" s="29">
        <v>516</v>
      </c>
      <c r="J114" s="30"/>
      <c r="K114" s="29">
        <f t="shared" si="12"/>
        <v>560</v>
      </c>
      <c r="L114" s="29"/>
      <c r="M114" s="29">
        <f t="shared" si="13"/>
        <v>537</v>
      </c>
      <c r="N114" s="32">
        <v>5</v>
      </c>
      <c r="O114" s="45">
        <f t="shared" si="14"/>
        <v>2</v>
      </c>
      <c r="P114" s="37"/>
    </row>
    <row r="115" spans="2:16" x14ac:dyDescent="0.2">
      <c r="B115" s="15">
        <v>6</v>
      </c>
      <c r="C115" s="12">
        <v>585</v>
      </c>
      <c r="D115" s="12">
        <v>625</v>
      </c>
      <c r="E115" s="12">
        <v>596</v>
      </c>
      <c r="F115" s="12">
        <v>618</v>
      </c>
      <c r="G115" s="12">
        <v>590</v>
      </c>
      <c r="H115" s="12">
        <v>592</v>
      </c>
      <c r="I115" s="12">
        <v>545</v>
      </c>
      <c r="J115" s="26"/>
      <c r="K115" s="12">
        <f t="shared" si="12"/>
        <v>602.79999999999995</v>
      </c>
      <c r="L115" s="12"/>
      <c r="M115" s="12">
        <f t="shared" si="13"/>
        <v>568.5</v>
      </c>
      <c r="N115" s="22">
        <v>6</v>
      </c>
      <c r="O115" s="46">
        <f t="shared" si="14"/>
        <v>42.799999999999955</v>
      </c>
      <c r="P115" s="37"/>
    </row>
    <row r="116" spans="2:16" x14ac:dyDescent="0.2">
      <c r="B116" s="15">
        <v>7</v>
      </c>
      <c r="C116" s="12">
        <v>628</v>
      </c>
      <c r="D116" s="12">
        <v>755</v>
      </c>
      <c r="E116" s="12">
        <v>727</v>
      </c>
      <c r="F116" s="12">
        <v>705</v>
      </c>
      <c r="G116" s="12">
        <v>612</v>
      </c>
      <c r="H116" s="12">
        <v>614</v>
      </c>
      <c r="I116" s="12">
        <v>551</v>
      </c>
      <c r="J116" s="26"/>
      <c r="K116" s="12">
        <f t="shared" si="12"/>
        <v>685.4</v>
      </c>
      <c r="L116" s="12"/>
      <c r="M116" s="12">
        <f t="shared" si="13"/>
        <v>582.5</v>
      </c>
      <c r="N116" s="22">
        <v>7</v>
      </c>
      <c r="O116" s="46">
        <f t="shared" si="14"/>
        <v>82.600000000000023</v>
      </c>
      <c r="P116" s="37"/>
    </row>
    <row r="117" spans="2:16" x14ac:dyDescent="0.2">
      <c r="B117" s="16">
        <v>8</v>
      </c>
      <c r="C117" s="13">
        <v>689</v>
      </c>
      <c r="D117" s="13">
        <v>780</v>
      </c>
      <c r="E117" s="13">
        <v>783</v>
      </c>
      <c r="F117" s="13">
        <v>741</v>
      </c>
      <c r="G117" s="13">
        <v>604</v>
      </c>
      <c r="H117" s="13">
        <v>630</v>
      </c>
      <c r="I117" s="13">
        <v>568</v>
      </c>
      <c r="J117" s="27"/>
      <c r="K117" s="13">
        <f t="shared" si="12"/>
        <v>719.4</v>
      </c>
      <c r="L117" s="13"/>
      <c r="M117" s="13">
        <f t="shared" si="13"/>
        <v>599</v>
      </c>
      <c r="N117" s="23">
        <v>8</v>
      </c>
      <c r="O117" s="47">
        <f t="shared" si="14"/>
        <v>34</v>
      </c>
      <c r="P117" s="37"/>
    </row>
    <row r="118" spans="2:16" x14ac:dyDescent="0.2">
      <c r="B118" s="15">
        <v>9</v>
      </c>
      <c r="C118" s="12">
        <v>711</v>
      </c>
      <c r="D118" s="12">
        <v>763</v>
      </c>
      <c r="E118" s="12">
        <v>780</v>
      </c>
      <c r="F118" s="12">
        <v>737</v>
      </c>
      <c r="G118" s="12">
        <v>617</v>
      </c>
      <c r="H118" s="12">
        <v>660</v>
      </c>
      <c r="I118" s="12">
        <v>597</v>
      </c>
      <c r="J118" s="26"/>
      <c r="K118" s="12">
        <f t="shared" si="12"/>
        <v>721.6</v>
      </c>
      <c r="L118" s="12"/>
      <c r="M118" s="12">
        <f t="shared" si="13"/>
        <v>628.5</v>
      </c>
      <c r="N118" s="22">
        <v>9</v>
      </c>
      <c r="O118" s="48">
        <f t="shared" si="14"/>
        <v>2.2000000000000455</v>
      </c>
      <c r="P118" s="37"/>
    </row>
    <row r="119" spans="2:16" x14ac:dyDescent="0.2">
      <c r="B119" s="15">
        <v>10</v>
      </c>
      <c r="C119" s="12">
        <v>743</v>
      </c>
      <c r="D119" s="12">
        <v>789</v>
      </c>
      <c r="E119" s="12">
        <v>774</v>
      </c>
      <c r="F119" s="12">
        <v>751</v>
      </c>
      <c r="G119" s="12">
        <v>625</v>
      </c>
      <c r="H119" s="12">
        <v>677</v>
      </c>
      <c r="I119" s="12">
        <v>616</v>
      </c>
      <c r="J119" s="26"/>
      <c r="K119" s="12">
        <f t="shared" si="12"/>
        <v>736.4</v>
      </c>
      <c r="L119" s="12"/>
      <c r="M119" s="12">
        <f t="shared" si="13"/>
        <v>646.5</v>
      </c>
      <c r="N119" s="22">
        <v>10</v>
      </c>
      <c r="O119" s="43">
        <f t="shared" si="14"/>
        <v>14.799999999999955</v>
      </c>
      <c r="P119" s="37"/>
    </row>
    <row r="120" spans="2:16" x14ac:dyDescent="0.2">
      <c r="B120" s="15">
        <v>11</v>
      </c>
      <c r="C120" s="12">
        <v>761</v>
      </c>
      <c r="D120" s="12">
        <v>775</v>
      </c>
      <c r="E120" s="12">
        <v>785</v>
      </c>
      <c r="F120" s="12">
        <v>770</v>
      </c>
      <c r="G120" s="12">
        <v>623</v>
      </c>
      <c r="H120" s="12">
        <v>677</v>
      </c>
      <c r="I120" s="12">
        <v>615</v>
      </c>
      <c r="J120" s="26"/>
      <c r="K120" s="12">
        <f t="shared" si="12"/>
        <v>742.8</v>
      </c>
      <c r="L120" s="12"/>
      <c r="M120" s="12">
        <f t="shared" si="13"/>
        <v>646</v>
      </c>
      <c r="N120" s="22">
        <v>11</v>
      </c>
      <c r="O120" s="43">
        <f t="shared" si="14"/>
        <v>6.3999999999999773</v>
      </c>
      <c r="P120" s="37"/>
    </row>
    <row r="121" spans="2:16" x14ac:dyDescent="0.2">
      <c r="B121" s="16">
        <v>12</v>
      </c>
      <c r="C121" s="13">
        <v>766</v>
      </c>
      <c r="D121" s="13">
        <v>782</v>
      </c>
      <c r="E121" s="13">
        <v>791</v>
      </c>
      <c r="F121" s="13">
        <v>768</v>
      </c>
      <c r="G121" s="13">
        <v>617</v>
      </c>
      <c r="H121" s="13">
        <v>669</v>
      </c>
      <c r="I121" s="13">
        <v>622</v>
      </c>
      <c r="J121" s="27"/>
      <c r="K121" s="13">
        <f t="shared" si="12"/>
        <v>744.8</v>
      </c>
      <c r="L121" s="13"/>
      <c r="M121" s="13">
        <f t="shared" si="13"/>
        <v>645.5</v>
      </c>
      <c r="N121" s="23">
        <v>12</v>
      </c>
      <c r="O121" s="49">
        <f t="shared" si="14"/>
        <v>2</v>
      </c>
      <c r="P121" s="37"/>
    </row>
    <row r="122" spans="2:16" x14ac:dyDescent="0.2">
      <c r="B122" s="15">
        <v>13</v>
      </c>
      <c r="C122" s="12">
        <v>764</v>
      </c>
      <c r="D122" s="12">
        <v>764</v>
      </c>
      <c r="E122" s="12">
        <v>777</v>
      </c>
      <c r="F122" s="12">
        <v>758</v>
      </c>
      <c r="G122" s="12">
        <v>605</v>
      </c>
      <c r="H122" s="12">
        <v>653</v>
      </c>
      <c r="I122" s="12">
        <v>613</v>
      </c>
      <c r="J122" s="26"/>
      <c r="K122" s="12">
        <f t="shared" si="12"/>
        <v>733.6</v>
      </c>
      <c r="L122" s="12"/>
      <c r="M122" s="12">
        <f t="shared" si="13"/>
        <v>633</v>
      </c>
      <c r="N122" s="22">
        <v>13</v>
      </c>
      <c r="O122" s="48">
        <f t="shared" si="14"/>
        <v>-11.199999999999932</v>
      </c>
      <c r="P122" s="37"/>
    </row>
    <row r="123" spans="2:16" x14ac:dyDescent="0.2">
      <c r="B123" s="15">
        <v>14</v>
      </c>
      <c r="C123" s="12">
        <v>739</v>
      </c>
      <c r="D123" s="12">
        <v>774</v>
      </c>
      <c r="E123" s="12">
        <v>776</v>
      </c>
      <c r="F123" s="12">
        <v>752</v>
      </c>
      <c r="G123" s="12">
        <v>586</v>
      </c>
      <c r="H123" s="12">
        <v>638</v>
      </c>
      <c r="I123" s="12">
        <v>600</v>
      </c>
      <c r="J123" s="26"/>
      <c r="K123" s="12">
        <f t="shared" si="12"/>
        <v>725.4</v>
      </c>
      <c r="L123" s="12"/>
      <c r="M123" s="12">
        <f t="shared" si="13"/>
        <v>619</v>
      </c>
      <c r="N123" s="22">
        <v>14</v>
      </c>
      <c r="O123" s="43">
        <f t="shared" si="14"/>
        <v>-8.2000000000000455</v>
      </c>
      <c r="P123" s="37"/>
    </row>
    <row r="124" spans="2:16" x14ac:dyDescent="0.2">
      <c r="B124" s="15">
        <v>15</v>
      </c>
      <c r="C124" s="12">
        <v>750</v>
      </c>
      <c r="D124" s="12">
        <v>791</v>
      </c>
      <c r="E124" s="12">
        <v>785</v>
      </c>
      <c r="F124" s="12">
        <v>744</v>
      </c>
      <c r="G124" s="12">
        <v>563</v>
      </c>
      <c r="H124" s="12">
        <v>624</v>
      </c>
      <c r="I124" s="12">
        <v>601</v>
      </c>
      <c r="J124" s="26"/>
      <c r="K124" s="12">
        <f t="shared" si="12"/>
        <v>726.6</v>
      </c>
      <c r="L124" s="12"/>
      <c r="M124" s="12">
        <f t="shared" si="13"/>
        <v>612.5</v>
      </c>
      <c r="N124" s="22">
        <v>15</v>
      </c>
      <c r="O124" s="43">
        <f t="shared" si="14"/>
        <v>1.2000000000000455</v>
      </c>
      <c r="P124" s="37"/>
    </row>
    <row r="125" spans="2:16" x14ac:dyDescent="0.2">
      <c r="B125" s="16">
        <v>16</v>
      </c>
      <c r="C125" s="13">
        <v>741</v>
      </c>
      <c r="D125" s="13">
        <v>775</v>
      </c>
      <c r="E125" s="13">
        <v>753</v>
      </c>
      <c r="F125" s="13">
        <v>740</v>
      </c>
      <c r="G125" s="13">
        <v>557</v>
      </c>
      <c r="H125" s="13">
        <v>621</v>
      </c>
      <c r="I125" s="13">
        <v>601</v>
      </c>
      <c r="J125" s="27"/>
      <c r="K125" s="13">
        <f t="shared" si="12"/>
        <v>713.2</v>
      </c>
      <c r="L125" s="13"/>
      <c r="M125" s="13">
        <f t="shared" si="13"/>
        <v>611</v>
      </c>
      <c r="N125" s="23">
        <v>16</v>
      </c>
      <c r="O125" s="49">
        <f t="shared" si="14"/>
        <v>-13.399999999999977</v>
      </c>
      <c r="P125" s="37"/>
    </row>
    <row r="126" spans="2:16" x14ac:dyDescent="0.2">
      <c r="B126" s="15">
        <v>17</v>
      </c>
      <c r="C126" s="12">
        <v>724</v>
      </c>
      <c r="D126" s="12">
        <v>752</v>
      </c>
      <c r="E126" s="12">
        <v>755</v>
      </c>
      <c r="F126" s="12">
        <v>738</v>
      </c>
      <c r="G126" s="12">
        <v>567</v>
      </c>
      <c r="H126" s="12">
        <v>638</v>
      </c>
      <c r="I126" s="12">
        <v>602</v>
      </c>
      <c r="J126" s="26"/>
      <c r="K126" s="12">
        <f t="shared" si="12"/>
        <v>707.2</v>
      </c>
      <c r="L126" s="12"/>
      <c r="M126" s="12">
        <f t="shared" si="13"/>
        <v>620</v>
      </c>
      <c r="N126" s="22">
        <v>17</v>
      </c>
      <c r="O126" s="48">
        <f t="shared" si="14"/>
        <v>-6</v>
      </c>
      <c r="P126" s="37"/>
    </row>
    <row r="127" spans="2:16" x14ac:dyDescent="0.2">
      <c r="B127" s="15">
        <v>18</v>
      </c>
      <c r="C127" s="12">
        <v>780</v>
      </c>
      <c r="D127" s="12">
        <v>775</v>
      </c>
      <c r="E127" s="12">
        <v>729</v>
      </c>
      <c r="F127" s="12">
        <v>778</v>
      </c>
      <c r="G127" s="12">
        <v>670</v>
      </c>
      <c r="H127" s="12">
        <v>766</v>
      </c>
      <c r="I127" s="12">
        <v>661</v>
      </c>
      <c r="J127" s="26"/>
      <c r="K127" s="12">
        <f t="shared" si="12"/>
        <v>746.4</v>
      </c>
      <c r="L127" s="12"/>
      <c r="M127" s="12">
        <f t="shared" si="13"/>
        <v>713.5</v>
      </c>
      <c r="N127" s="22">
        <v>18</v>
      </c>
      <c r="O127" s="43">
        <f t="shared" si="14"/>
        <v>39.199999999999932</v>
      </c>
      <c r="P127" s="37"/>
    </row>
    <row r="128" spans="2:16" x14ac:dyDescent="0.2">
      <c r="B128" s="15">
        <v>19</v>
      </c>
      <c r="C128" s="12">
        <v>840</v>
      </c>
      <c r="D128" s="12">
        <v>794</v>
      </c>
      <c r="E128" s="12">
        <v>840</v>
      </c>
      <c r="F128" s="12">
        <v>849</v>
      </c>
      <c r="G128" s="12">
        <v>725</v>
      </c>
      <c r="H128" s="12">
        <v>807</v>
      </c>
      <c r="I128" s="12">
        <v>722</v>
      </c>
      <c r="J128" s="26"/>
      <c r="K128" s="12">
        <f t="shared" si="12"/>
        <v>809.6</v>
      </c>
      <c r="L128" s="12"/>
      <c r="M128" s="12">
        <f t="shared" si="13"/>
        <v>764.5</v>
      </c>
      <c r="N128" s="22">
        <v>19</v>
      </c>
      <c r="O128" s="43">
        <f t="shared" si="14"/>
        <v>63.200000000000045</v>
      </c>
      <c r="P128" s="37"/>
    </row>
    <row r="129" spans="1:16" x14ac:dyDescent="0.2">
      <c r="B129" s="16">
        <v>20</v>
      </c>
      <c r="C129" s="13">
        <v>808</v>
      </c>
      <c r="D129" s="13">
        <v>762</v>
      </c>
      <c r="E129" s="13">
        <v>815</v>
      </c>
      <c r="F129" s="13">
        <v>839</v>
      </c>
      <c r="G129" s="13">
        <v>734</v>
      </c>
      <c r="H129" s="13">
        <v>796</v>
      </c>
      <c r="I129" s="13">
        <v>732</v>
      </c>
      <c r="J129" s="27"/>
      <c r="K129" s="13">
        <f t="shared" si="12"/>
        <v>791.6</v>
      </c>
      <c r="L129" s="13"/>
      <c r="M129" s="13">
        <f t="shared" si="13"/>
        <v>764</v>
      </c>
      <c r="N129" s="23">
        <v>20</v>
      </c>
      <c r="O129" s="49">
        <f t="shared" si="14"/>
        <v>-18</v>
      </c>
      <c r="P129" s="37"/>
    </row>
    <row r="130" spans="1:16" x14ac:dyDescent="0.2">
      <c r="B130" s="15">
        <v>21</v>
      </c>
      <c r="C130" s="12">
        <v>792</v>
      </c>
      <c r="D130" s="12">
        <v>838</v>
      </c>
      <c r="E130" s="12">
        <v>775</v>
      </c>
      <c r="F130" s="12">
        <v>806</v>
      </c>
      <c r="G130" s="12">
        <v>734</v>
      </c>
      <c r="H130" s="12">
        <v>788</v>
      </c>
      <c r="I130" s="12">
        <v>717</v>
      </c>
      <c r="J130" s="26"/>
      <c r="K130" s="12">
        <f t="shared" si="12"/>
        <v>789</v>
      </c>
      <c r="L130" s="12"/>
      <c r="M130" s="12">
        <f t="shared" si="13"/>
        <v>752.5</v>
      </c>
      <c r="N130" s="22">
        <v>21</v>
      </c>
      <c r="O130" s="48">
        <f t="shared" si="14"/>
        <v>-2.6000000000000227</v>
      </c>
      <c r="P130" s="37"/>
    </row>
    <row r="131" spans="1:16" x14ac:dyDescent="0.2">
      <c r="B131" s="15">
        <v>22</v>
      </c>
      <c r="C131" s="12">
        <v>748</v>
      </c>
      <c r="D131" s="12">
        <v>771</v>
      </c>
      <c r="E131" s="12">
        <v>740</v>
      </c>
      <c r="F131" s="12">
        <v>749</v>
      </c>
      <c r="G131" s="12">
        <v>727</v>
      </c>
      <c r="H131" s="12">
        <v>739</v>
      </c>
      <c r="I131" s="12">
        <v>670</v>
      </c>
      <c r="J131" s="26"/>
      <c r="K131" s="12">
        <f t="shared" si="12"/>
        <v>747</v>
      </c>
      <c r="L131" s="12"/>
      <c r="M131" s="12">
        <f t="shared" si="13"/>
        <v>704.5</v>
      </c>
      <c r="N131" s="22">
        <v>22</v>
      </c>
      <c r="O131" s="43">
        <f t="shared" si="14"/>
        <v>-42</v>
      </c>
      <c r="P131" s="37"/>
    </row>
    <row r="132" spans="1:16" x14ac:dyDescent="0.2">
      <c r="B132" s="15">
        <v>23</v>
      </c>
      <c r="C132" s="12">
        <v>682</v>
      </c>
      <c r="D132" s="12">
        <v>715</v>
      </c>
      <c r="E132" s="12">
        <v>672</v>
      </c>
      <c r="F132" s="12">
        <v>784.11704897044513</v>
      </c>
      <c r="G132" s="12">
        <v>684</v>
      </c>
      <c r="H132" s="12">
        <v>702</v>
      </c>
      <c r="I132" s="12">
        <v>612</v>
      </c>
      <c r="J132" s="26"/>
      <c r="K132" s="12">
        <f t="shared" si="12"/>
        <v>707.42340979408903</v>
      </c>
      <c r="L132" s="12"/>
      <c r="M132" s="12">
        <f t="shared" si="13"/>
        <v>657</v>
      </c>
      <c r="N132" s="22">
        <v>23</v>
      </c>
      <c r="O132" s="43">
        <f t="shared" si="14"/>
        <v>-39.576590205910975</v>
      </c>
      <c r="P132" s="37"/>
    </row>
    <row r="133" spans="1:16" x14ac:dyDescent="0.2">
      <c r="B133" s="16">
        <v>24</v>
      </c>
      <c r="C133" s="12">
        <v>620</v>
      </c>
      <c r="D133" s="12">
        <v>696</v>
      </c>
      <c r="E133" s="12">
        <v>612</v>
      </c>
      <c r="F133" s="12">
        <v>707.87377418385222</v>
      </c>
      <c r="G133" s="12">
        <v>640</v>
      </c>
      <c r="H133" s="12">
        <v>634</v>
      </c>
      <c r="I133" s="12">
        <v>568</v>
      </c>
      <c r="J133" s="27"/>
      <c r="K133" s="12">
        <f t="shared" si="12"/>
        <v>655.17475483677049</v>
      </c>
      <c r="L133" s="13"/>
      <c r="M133" s="12">
        <f t="shared" si="13"/>
        <v>601</v>
      </c>
      <c r="N133" s="23">
        <v>24</v>
      </c>
      <c r="O133" s="49">
        <f t="shared" si="14"/>
        <v>-52.248654957318536</v>
      </c>
      <c r="P133" s="37"/>
    </row>
    <row r="134" spans="1:16" ht="13.5" thickBot="1" x14ac:dyDescent="0.25">
      <c r="B134" s="17" t="s">
        <v>54</v>
      </c>
      <c r="C134" s="25">
        <f t="shared" ref="C134:I134" si="15">SUM(C110:C133)</f>
        <v>16562</v>
      </c>
      <c r="D134" s="25">
        <f t="shared" si="15"/>
        <v>17265</v>
      </c>
      <c r="E134" s="25">
        <f t="shared" si="15"/>
        <v>17143</v>
      </c>
      <c r="F134" s="25">
        <f t="shared" si="15"/>
        <v>17064.990823154298</v>
      </c>
      <c r="G134" s="25">
        <f t="shared" si="15"/>
        <v>15169</v>
      </c>
      <c r="H134" s="25">
        <f t="shared" si="15"/>
        <v>15750</v>
      </c>
      <c r="I134" s="25">
        <f t="shared" si="15"/>
        <v>14495</v>
      </c>
      <c r="J134" s="25"/>
      <c r="K134" s="25">
        <f>SUM(K110:K133)</f>
        <v>16640.798164630862</v>
      </c>
      <c r="L134" s="25"/>
      <c r="M134" s="25">
        <f>SUM(M110:M133)</f>
        <v>15122.5</v>
      </c>
      <c r="N134" s="24"/>
      <c r="O134" s="44"/>
      <c r="P134" s="37"/>
    </row>
    <row r="135" spans="1:16" ht="13.5" thickTop="1" x14ac:dyDescent="0.2">
      <c r="B135" t="s">
        <v>66</v>
      </c>
      <c r="C135">
        <v>80</v>
      </c>
      <c r="D135">
        <v>78</v>
      </c>
      <c r="E135">
        <v>74</v>
      </c>
      <c r="F135">
        <v>80</v>
      </c>
      <c r="G135">
        <v>78</v>
      </c>
      <c r="H135">
        <v>73</v>
      </c>
      <c r="I135">
        <v>65</v>
      </c>
      <c r="K135" s="110">
        <f>AVERAGE(C135:H135)</f>
        <v>77.166666666666671</v>
      </c>
      <c r="M135">
        <f>AVERAGE(H135:I135)</f>
        <v>69</v>
      </c>
      <c r="P135" s="37"/>
    </row>
    <row r="136" spans="1:16" x14ac:dyDescent="0.2">
      <c r="B136" s="109" t="s">
        <v>67</v>
      </c>
      <c r="C136">
        <v>50</v>
      </c>
      <c r="D136">
        <v>50</v>
      </c>
      <c r="E136">
        <v>48</v>
      </c>
      <c r="F136">
        <v>50</v>
      </c>
      <c r="G136">
        <v>50</v>
      </c>
      <c r="H136">
        <v>50</v>
      </c>
      <c r="I136">
        <v>45</v>
      </c>
      <c r="K136" s="110">
        <f>AVERAGE(C136:H136)</f>
        <v>49.666666666666664</v>
      </c>
      <c r="M136" s="110">
        <f>AVERAGE(H136:I136)</f>
        <v>47.5</v>
      </c>
      <c r="P136" s="37"/>
    </row>
    <row r="137" spans="1:16" x14ac:dyDescent="0.2">
      <c r="C137" s="33"/>
      <c r="D137" s="33"/>
      <c r="P137" s="37"/>
    </row>
    <row r="138" spans="1:16" x14ac:dyDescent="0.2">
      <c r="C138" s="33"/>
      <c r="D138" s="33"/>
      <c r="E138" s="33"/>
      <c r="P138" s="37"/>
    </row>
    <row r="139" spans="1:16" x14ac:dyDescent="0.2">
      <c r="C139" s="33"/>
      <c r="D139" s="33"/>
      <c r="P139" s="37"/>
    </row>
    <row r="140" spans="1:16" ht="15.75" x14ac:dyDescent="0.25">
      <c r="A140" s="122">
        <v>36220</v>
      </c>
      <c r="B140" s="10"/>
      <c r="C140" s="348"/>
      <c r="D140" s="33"/>
      <c r="E140" s="10"/>
      <c r="F140" s="10"/>
      <c r="G140" s="11" t="s">
        <v>60</v>
      </c>
      <c r="H140" s="10"/>
      <c r="I140" s="10"/>
      <c r="J140" s="10"/>
      <c r="K140" s="10"/>
      <c r="L140" s="10"/>
      <c r="M140" s="10"/>
      <c r="N140" s="10"/>
      <c r="P140" s="37"/>
    </row>
    <row r="141" spans="1:16" x14ac:dyDescent="0.2">
      <c r="D141" s="33"/>
      <c r="P141" s="37"/>
    </row>
    <row r="142" spans="1:16" x14ac:dyDescent="0.2">
      <c r="C142">
        <v>1</v>
      </c>
      <c r="D142">
        <v>2</v>
      </c>
      <c r="E142">
        <v>3</v>
      </c>
      <c r="F142">
        <v>4</v>
      </c>
      <c r="G142">
        <v>5</v>
      </c>
      <c r="H142">
        <v>6</v>
      </c>
      <c r="I142">
        <v>7</v>
      </c>
      <c r="P142" s="37"/>
    </row>
    <row r="143" spans="1:16" x14ac:dyDescent="0.2">
      <c r="B143" s="14" t="s">
        <v>53</v>
      </c>
      <c r="C143" s="18" t="s">
        <v>46</v>
      </c>
      <c r="D143" s="18" t="s">
        <v>47</v>
      </c>
      <c r="E143" s="18" t="s">
        <v>48</v>
      </c>
      <c r="F143" s="18" t="s">
        <v>49</v>
      </c>
      <c r="G143" s="18" t="s">
        <v>50</v>
      </c>
      <c r="H143" s="18" t="s">
        <v>51</v>
      </c>
      <c r="I143" s="18" t="s">
        <v>52</v>
      </c>
      <c r="J143" s="19"/>
      <c r="K143" s="322" t="s">
        <v>152</v>
      </c>
      <c r="L143" s="20"/>
      <c r="M143" s="322" t="s">
        <v>153</v>
      </c>
      <c r="N143" s="21" t="s">
        <v>53</v>
      </c>
      <c r="O143" s="42" t="s">
        <v>63</v>
      </c>
      <c r="P143" s="37"/>
    </row>
    <row r="144" spans="1:16" x14ac:dyDescent="0.2">
      <c r="B144" s="31">
        <v>1</v>
      </c>
      <c r="C144" s="29">
        <v>584</v>
      </c>
      <c r="D144" s="29">
        <v>546</v>
      </c>
      <c r="E144" s="29">
        <v>565</v>
      </c>
      <c r="F144" s="29">
        <v>548</v>
      </c>
      <c r="G144" s="29">
        <v>547</v>
      </c>
      <c r="H144" s="29">
        <v>618</v>
      </c>
      <c r="I144" s="29">
        <v>590</v>
      </c>
      <c r="J144" s="30"/>
      <c r="K144" s="29">
        <f>AVERAGE(C144:G144)</f>
        <v>558</v>
      </c>
      <c r="L144" s="29"/>
      <c r="M144" s="29">
        <f>AVERAGE(H144:I144)</f>
        <v>604</v>
      </c>
      <c r="N144" s="32">
        <v>1</v>
      </c>
      <c r="O144" s="48">
        <f>K144-K167</f>
        <v>-41</v>
      </c>
      <c r="P144" s="37"/>
    </row>
    <row r="145" spans="2:16" x14ac:dyDescent="0.2">
      <c r="B145" s="15">
        <v>2</v>
      </c>
      <c r="C145" s="12">
        <v>563</v>
      </c>
      <c r="D145" s="12">
        <v>534</v>
      </c>
      <c r="E145" s="12">
        <v>547</v>
      </c>
      <c r="F145" s="12">
        <v>520</v>
      </c>
      <c r="G145" s="12">
        <v>531</v>
      </c>
      <c r="H145" s="12">
        <v>600</v>
      </c>
      <c r="I145" s="12">
        <v>580</v>
      </c>
      <c r="J145" s="26"/>
      <c r="K145" s="12">
        <f t="shared" ref="K145:K167" si="16">AVERAGE(C145:G145)</f>
        <v>539</v>
      </c>
      <c r="L145" s="12"/>
      <c r="M145" s="12">
        <f t="shared" ref="M145:M167" si="17">AVERAGE(H145:I145)</f>
        <v>590</v>
      </c>
      <c r="N145" s="22">
        <v>2</v>
      </c>
      <c r="O145" s="43">
        <f>K145-K144</f>
        <v>-19</v>
      </c>
      <c r="P145" s="37"/>
    </row>
    <row r="146" spans="2:16" x14ac:dyDescent="0.2">
      <c r="B146" s="15">
        <v>3</v>
      </c>
      <c r="C146" s="12">
        <v>553</v>
      </c>
      <c r="D146" s="12">
        <v>528</v>
      </c>
      <c r="E146" s="12">
        <v>522</v>
      </c>
      <c r="F146" s="12">
        <v>509</v>
      </c>
      <c r="G146" s="12">
        <v>516</v>
      </c>
      <c r="H146" s="12">
        <v>581</v>
      </c>
      <c r="I146" s="12">
        <v>567</v>
      </c>
      <c r="J146" s="26"/>
      <c r="K146" s="12">
        <f t="shared" si="16"/>
        <v>525.6</v>
      </c>
      <c r="L146" s="12"/>
      <c r="M146" s="12">
        <f t="shared" si="17"/>
        <v>574</v>
      </c>
      <c r="N146" s="22">
        <v>3</v>
      </c>
      <c r="O146" s="43">
        <f t="shared" ref="O146:O167" si="18">K146-K145</f>
        <v>-13.399999999999977</v>
      </c>
      <c r="P146" s="37"/>
    </row>
    <row r="147" spans="2:16" x14ac:dyDescent="0.2">
      <c r="B147" s="16">
        <v>4</v>
      </c>
      <c r="C147" s="13">
        <v>550</v>
      </c>
      <c r="D147" s="13">
        <v>523</v>
      </c>
      <c r="E147" s="13">
        <v>535</v>
      </c>
      <c r="F147" s="13">
        <v>504</v>
      </c>
      <c r="G147" s="13">
        <v>515</v>
      </c>
      <c r="H147" s="13">
        <v>586</v>
      </c>
      <c r="I147" s="13">
        <v>558</v>
      </c>
      <c r="J147" s="27"/>
      <c r="K147" s="13">
        <f t="shared" si="16"/>
        <v>525.4</v>
      </c>
      <c r="L147" s="13"/>
      <c r="M147" s="13">
        <f t="shared" si="17"/>
        <v>572</v>
      </c>
      <c r="N147" s="23">
        <v>4</v>
      </c>
      <c r="O147" s="49">
        <f t="shared" si="18"/>
        <v>-0.20000000000004547</v>
      </c>
      <c r="P147" s="37"/>
    </row>
    <row r="148" spans="2:16" x14ac:dyDescent="0.2">
      <c r="B148" s="31">
        <v>5</v>
      </c>
      <c r="C148" s="29">
        <v>561</v>
      </c>
      <c r="D148" s="29">
        <v>537</v>
      </c>
      <c r="E148" s="29">
        <v>536</v>
      </c>
      <c r="F148" s="29">
        <v>530</v>
      </c>
      <c r="G148" s="29">
        <v>526</v>
      </c>
      <c r="H148" s="29">
        <v>571</v>
      </c>
      <c r="I148" s="29">
        <v>573</v>
      </c>
      <c r="J148" s="30"/>
      <c r="K148" s="29">
        <f t="shared" si="16"/>
        <v>538</v>
      </c>
      <c r="L148" s="29"/>
      <c r="M148" s="29">
        <f t="shared" si="17"/>
        <v>572</v>
      </c>
      <c r="N148" s="32">
        <v>5</v>
      </c>
      <c r="O148" s="45">
        <f t="shared" si="18"/>
        <v>12.600000000000023</v>
      </c>
      <c r="P148" s="37"/>
    </row>
    <row r="149" spans="2:16" x14ac:dyDescent="0.2">
      <c r="B149" s="15">
        <v>6</v>
      </c>
      <c r="C149" s="12">
        <v>602</v>
      </c>
      <c r="D149" s="12">
        <v>579</v>
      </c>
      <c r="E149" s="12">
        <v>591</v>
      </c>
      <c r="F149" s="12">
        <v>567</v>
      </c>
      <c r="G149" s="12">
        <v>566</v>
      </c>
      <c r="H149" s="12">
        <v>617</v>
      </c>
      <c r="I149" s="12">
        <v>571</v>
      </c>
      <c r="J149" s="26"/>
      <c r="K149" s="12">
        <f t="shared" si="16"/>
        <v>581</v>
      </c>
      <c r="L149" s="12"/>
      <c r="M149" s="12">
        <f t="shared" si="17"/>
        <v>594</v>
      </c>
      <c r="N149" s="22">
        <v>6</v>
      </c>
      <c r="O149" s="46">
        <f t="shared" si="18"/>
        <v>43</v>
      </c>
      <c r="P149" s="37"/>
    </row>
    <row r="150" spans="2:16" x14ac:dyDescent="0.2">
      <c r="B150" s="15">
        <v>7</v>
      </c>
      <c r="C150" s="12">
        <v>659</v>
      </c>
      <c r="D150" s="12">
        <v>664</v>
      </c>
      <c r="E150" s="12">
        <v>677</v>
      </c>
      <c r="F150" s="12">
        <v>664</v>
      </c>
      <c r="G150" s="12">
        <v>654</v>
      </c>
      <c r="H150" s="12">
        <v>647</v>
      </c>
      <c r="I150" s="12">
        <v>605</v>
      </c>
      <c r="J150" s="26"/>
      <c r="K150" s="12">
        <f t="shared" si="16"/>
        <v>663.6</v>
      </c>
      <c r="L150" s="12"/>
      <c r="M150" s="12">
        <f t="shared" si="17"/>
        <v>626</v>
      </c>
      <c r="N150" s="22">
        <v>7</v>
      </c>
      <c r="O150" s="46">
        <f t="shared" si="18"/>
        <v>82.600000000000023</v>
      </c>
      <c r="P150" s="37"/>
    </row>
    <row r="151" spans="2:16" x14ac:dyDescent="0.2">
      <c r="B151" s="16">
        <v>8</v>
      </c>
      <c r="C151" s="13">
        <v>719</v>
      </c>
      <c r="D151" s="13">
        <v>716</v>
      </c>
      <c r="E151" s="13">
        <v>712</v>
      </c>
      <c r="F151" s="13">
        <v>713</v>
      </c>
      <c r="G151" s="13">
        <v>698</v>
      </c>
      <c r="H151" s="13">
        <v>663</v>
      </c>
      <c r="I151" s="13">
        <v>609</v>
      </c>
      <c r="J151" s="27"/>
      <c r="K151" s="13">
        <f t="shared" si="16"/>
        <v>711.6</v>
      </c>
      <c r="L151" s="13"/>
      <c r="M151" s="13">
        <f t="shared" si="17"/>
        <v>636</v>
      </c>
      <c r="N151" s="23">
        <v>8</v>
      </c>
      <c r="O151" s="47">
        <f t="shared" si="18"/>
        <v>48</v>
      </c>
      <c r="P151" s="37"/>
    </row>
    <row r="152" spans="2:16" x14ac:dyDescent="0.2">
      <c r="B152" s="15">
        <v>9</v>
      </c>
      <c r="C152" s="12">
        <v>744</v>
      </c>
      <c r="D152" s="12">
        <v>724</v>
      </c>
      <c r="E152" s="12">
        <v>733</v>
      </c>
      <c r="F152" s="12">
        <v>734</v>
      </c>
      <c r="G152" s="12">
        <v>721</v>
      </c>
      <c r="H152" s="12">
        <v>694</v>
      </c>
      <c r="I152" s="12">
        <v>647</v>
      </c>
      <c r="J152" s="26"/>
      <c r="K152" s="12">
        <f t="shared" si="16"/>
        <v>731.2</v>
      </c>
      <c r="L152" s="12"/>
      <c r="M152" s="12">
        <f t="shared" si="17"/>
        <v>670.5</v>
      </c>
      <c r="N152" s="22">
        <v>9</v>
      </c>
      <c r="O152" s="48">
        <f t="shared" si="18"/>
        <v>19.600000000000023</v>
      </c>
      <c r="P152" s="37"/>
    </row>
    <row r="153" spans="2:16" x14ac:dyDescent="0.2">
      <c r="B153" s="15">
        <v>10</v>
      </c>
      <c r="C153" s="12">
        <v>773</v>
      </c>
      <c r="D153" s="12">
        <v>770</v>
      </c>
      <c r="E153" s="12">
        <v>748</v>
      </c>
      <c r="F153" s="12">
        <v>744</v>
      </c>
      <c r="G153" s="12">
        <v>733</v>
      </c>
      <c r="H153" s="12">
        <v>705</v>
      </c>
      <c r="I153" s="12">
        <v>657</v>
      </c>
      <c r="J153" s="26"/>
      <c r="K153" s="12">
        <f t="shared" si="16"/>
        <v>753.6</v>
      </c>
      <c r="L153" s="12"/>
      <c r="M153" s="12">
        <f t="shared" si="17"/>
        <v>681</v>
      </c>
      <c r="N153" s="22">
        <v>10</v>
      </c>
      <c r="O153" s="43">
        <f t="shared" si="18"/>
        <v>22.399999999999977</v>
      </c>
      <c r="P153" s="37"/>
    </row>
    <row r="154" spans="2:16" x14ac:dyDescent="0.2">
      <c r="B154" s="15">
        <v>11</v>
      </c>
      <c r="C154" s="12">
        <v>791</v>
      </c>
      <c r="D154" s="12">
        <v>791</v>
      </c>
      <c r="E154" s="12">
        <v>762</v>
      </c>
      <c r="F154" s="12">
        <v>762</v>
      </c>
      <c r="G154" s="12">
        <v>750</v>
      </c>
      <c r="H154" s="12">
        <v>711</v>
      </c>
      <c r="I154" s="12">
        <v>644</v>
      </c>
      <c r="J154" s="26"/>
      <c r="K154" s="12">
        <f t="shared" si="16"/>
        <v>771.2</v>
      </c>
      <c r="L154" s="12"/>
      <c r="M154" s="12">
        <f t="shared" si="17"/>
        <v>677.5</v>
      </c>
      <c r="N154" s="22">
        <v>11</v>
      </c>
      <c r="O154" s="43">
        <f t="shared" si="18"/>
        <v>17.600000000000023</v>
      </c>
      <c r="P154" s="37"/>
    </row>
    <row r="155" spans="2:16" x14ac:dyDescent="0.2">
      <c r="B155" s="16">
        <v>12</v>
      </c>
      <c r="C155" s="13">
        <v>795</v>
      </c>
      <c r="D155" s="13">
        <v>781</v>
      </c>
      <c r="E155" s="13">
        <v>767</v>
      </c>
      <c r="F155" s="13">
        <v>768</v>
      </c>
      <c r="G155" s="13">
        <v>745</v>
      </c>
      <c r="H155" s="13">
        <v>703</v>
      </c>
      <c r="I155" s="13">
        <v>651</v>
      </c>
      <c r="J155" s="27"/>
      <c r="K155" s="13">
        <f t="shared" si="16"/>
        <v>771.2</v>
      </c>
      <c r="L155" s="13"/>
      <c r="M155" s="13">
        <f t="shared" si="17"/>
        <v>677</v>
      </c>
      <c r="N155" s="23">
        <v>12</v>
      </c>
      <c r="O155" s="49">
        <f t="shared" si="18"/>
        <v>0</v>
      </c>
      <c r="P155" s="37"/>
    </row>
    <row r="156" spans="2:16" x14ac:dyDescent="0.2">
      <c r="B156" s="15">
        <v>13</v>
      </c>
      <c r="C156" s="12">
        <v>778</v>
      </c>
      <c r="D156" s="12">
        <v>788</v>
      </c>
      <c r="E156" s="12">
        <v>761</v>
      </c>
      <c r="F156" s="12">
        <v>762</v>
      </c>
      <c r="G156" s="12">
        <v>739</v>
      </c>
      <c r="H156" s="12">
        <v>676</v>
      </c>
      <c r="I156" s="12">
        <v>638</v>
      </c>
      <c r="J156" s="26"/>
      <c r="K156" s="12">
        <f t="shared" si="16"/>
        <v>765.6</v>
      </c>
      <c r="L156" s="12"/>
      <c r="M156" s="12">
        <f t="shared" si="17"/>
        <v>657</v>
      </c>
      <c r="N156" s="22">
        <v>13</v>
      </c>
      <c r="O156" s="48">
        <f t="shared" si="18"/>
        <v>-5.6000000000000227</v>
      </c>
      <c r="P156" s="37"/>
    </row>
    <row r="157" spans="2:16" x14ac:dyDescent="0.2">
      <c r="B157" s="15">
        <v>14</v>
      </c>
      <c r="C157" s="12">
        <v>767</v>
      </c>
      <c r="D157" s="12">
        <v>791</v>
      </c>
      <c r="E157" s="12">
        <v>772</v>
      </c>
      <c r="F157" s="12">
        <v>764</v>
      </c>
      <c r="G157" s="12">
        <v>745</v>
      </c>
      <c r="H157" s="12">
        <v>666</v>
      </c>
      <c r="I157" s="12">
        <v>628</v>
      </c>
      <c r="J157" s="26"/>
      <c r="K157" s="12">
        <f t="shared" si="16"/>
        <v>767.8</v>
      </c>
      <c r="L157" s="12"/>
      <c r="M157" s="12">
        <f t="shared" si="17"/>
        <v>647</v>
      </c>
      <c r="N157" s="22">
        <v>14</v>
      </c>
      <c r="O157" s="43">
        <f t="shared" si="18"/>
        <v>2.1999999999999318</v>
      </c>
      <c r="P157" s="37"/>
    </row>
    <row r="158" spans="2:16" x14ac:dyDescent="0.2">
      <c r="B158" s="15">
        <v>15</v>
      </c>
      <c r="C158" s="12">
        <v>751</v>
      </c>
      <c r="D158" s="12">
        <v>791</v>
      </c>
      <c r="E158" s="12">
        <v>760</v>
      </c>
      <c r="F158" s="12">
        <v>757</v>
      </c>
      <c r="G158" s="12">
        <v>743</v>
      </c>
      <c r="H158" s="12">
        <v>640</v>
      </c>
      <c r="I158" s="12">
        <v>640</v>
      </c>
      <c r="J158" s="26"/>
      <c r="K158" s="12">
        <f t="shared" si="16"/>
        <v>760.4</v>
      </c>
      <c r="L158" s="12"/>
      <c r="M158" s="12">
        <f t="shared" si="17"/>
        <v>640</v>
      </c>
      <c r="N158" s="22">
        <v>15</v>
      </c>
      <c r="O158" s="43">
        <f t="shared" si="18"/>
        <v>-7.3999999999999773</v>
      </c>
      <c r="P158" s="37"/>
    </row>
    <row r="159" spans="2:16" x14ac:dyDescent="0.2">
      <c r="B159" s="16">
        <v>16</v>
      </c>
      <c r="C159" s="13">
        <v>733</v>
      </c>
      <c r="D159" s="13">
        <v>780</v>
      </c>
      <c r="E159" s="13">
        <v>773</v>
      </c>
      <c r="F159" s="13">
        <v>751</v>
      </c>
      <c r="G159" s="13">
        <v>728</v>
      </c>
      <c r="H159" s="13">
        <v>651</v>
      </c>
      <c r="I159" s="13">
        <v>621</v>
      </c>
      <c r="J159" s="27"/>
      <c r="K159" s="13">
        <f t="shared" si="16"/>
        <v>753</v>
      </c>
      <c r="L159" s="13"/>
      <c r="M159" s="13">
        <f t="shared" si="17"/>
        <v>636</v>
      </c>
      <c r="N159" s="23">
        <v>16</v>
      </c>
      <c r="O159" s="49">
        <f t="shared" si="18"/>
        <v>-7.3999999999999773</v>
      </c>
      <c r="P159" s="37"/>
    </row>
    <row r="160" spans="2:16" x14ac:dyDescent="0.2">
      <c r="B160" s="15">
        <v>17</v>
      </c>
      <c r="C160" s="12">
        <v>726</v>
      </c>
      <c r="D160" s="12">
        <v>757</v>
      </c>
      <c r="E160" s="12">
        <v>743</v>
      </c>
      <c r="F160" s="12">
        <v>729</v>
      </c>
      <c r="G160" s="12">
        <v>714</v>
      </c>
      <c r="H160" s="12">
        <v>644</v>
      </c>
      <c r="I160" s="12">
        <v>613</v>
      </c>
      <c r="J160" s="26"/>
      <c r="K160" s="12">
        <f t="shared" si="16"/>
        <v>733.8</v>
      </c>
      <c r="L160" s="12"/>
      <c r="M160" s="12">
        <f t="shared" si="17"/>
        <v>628.5</v>
      </c>
      <c r="N160" s="22">
        <v>17</v>
      </c>
      <c r="O160" s="48">
        <f t="shared" si="18"/>
        <v>-19.200000000000045</v>
      </c>
      <c r="P160" s="37"/>
    </row>
    <row r="161" spans="1:16" x14ac:dyDescent="0.2">
      <c r="B161" s="15">
        <v>18</v>
      </c>
      <c r="C161" s="12">
        <v>836</v>
      </c>
      <c r="D161" s="12">
        <v>742</v>
      </c>
      <c r="E161" s="12">
        <v>732</v>
      </c>
      <c r="F161" s="12">
        <v>724</v>
      </c>
      <c r="G161" s="12">
        <v>693</v>
      </c>
      <c r="H161" s="12">
        <v>699</v>
      </c>
      <c r="I161" s="12">
        <v>675</v>
      </c>
      <c r="J161" s="26"/>
      <c r="K161" s="12">
        <f t="shared" si="16"/>
        <v>745.4</v>
      </c>
      <c r="L161" s="12"/>
      <c r="M161" s="12">
        <f t="shared" si="17"/>
        <v>687</v>
      </c>
      <c r="N161" s="22">
        <v>18</v>
      </c>
      <c r="O161" s="43">
        <f t="shared" si="18"/>
        <v>11.600000000000023</v>
      </c>
      <c r="P161" s="37"/>
    </row>
    <row r="162" spans="1:16" x14ac:dyDescent="0.2">
      <c r="B162" s="15">
        <v>19</v>
      </c>
      <c r="C162" s="12">
        <v>874</v>
      </c>
      <c r="D162" s="12">
        <v>808</v>
      </c>
      <c r="E162" s="12">
        <v>798</v>
      </c>
      <c r="F162" s="12">
        <v>791</v>
      </c>
      <c r="G162" s="12">
        <v>758</v>
      </c>
      <c r="H162" s="12">
        <v>745</v>
      </c>
      <c r="I162" s="12">
        <v>720</v>
      </c>
      <c r="J162" s="26"/>
      <c r="K162" s="12">
        <f t="shared" si="16"/>
        <v>805.8</v>
      </c>
      <c r="L162" s="12"/>
      <c r="M162" s="12">
        <f t="shared" si="17"/>
        <v>732.5</v>
      </c>
      <c r="N162" s="22">
        <v>19</v>
      </c>
      <c r="O162" s="43">
        <f t="shared" si="18"/>
        <v>60.399999999999977</v>
      </c>
      <c r="P162" s="37"/>
    </row>
    <row r="163" spans="1:16" x14ac:dyDescent="0.2">
      <c r="B163" s="16">
        <v>20</v>
      </c>
      <c r="C163" s="13">
        <v>861</v>
      </c>
      <c r="D163" s="13">
        <v>814</v>
      </c>
      <c r="E163" s="13">
        <v>800</v>
      </c>
      <c r="F163" s="13">
        <v>798</v>
      </c>
      <c r="G163" s="13">
        <v>750</v>
      </c>
      <c r="H163" s="13">
        <v>735</v>
      </c>
      <c r="I163" s="13">
        <v>723</v>
      </c>
      <c r="J163" s="27"/>
      <c r="K163" s="13">
        <f t="shared" si="16"/>
        <v>804.6</v>
      </c>
      <c r="L163" s="13"/>
      <c r="M163" s="13">
        <f t="shared" si="17"/>
        <v>729</v>
      </c>
      <c r="N163" s="23">
        <v>20</v>
      </c>
      <c r="O163" s="49">
        <f t="shared" si="18"/>
        <v>-1.1999999999999318</v>
      </c>
      <c r="P163" s="37"/>
    </row>
    <row r="164" spans="1:16" x14ac:dyDescent="0.2">
      <c r="B164" s="15">
        <v>21</v>
      </c>
      <c r="C164" s="12">
        <v>845</v>
      </c>
      <c r="D164" s="12">
        <v>804</v>
      </c>
      <c r="E164" s="12">
        <v>772</v>
      </c>
      <c r="F164" s="12">
        <v>776</v>
      </c>
      <c r="G164" s="12">
        <v>728</v>
      </c>
      <c r="H164" s="12">
        <v>737</v>
      </c>
      <c r="I164" s="12">
        <v>736</v>
      </c>
      <c r="J164" s="26"/>
      <c r="K164" s="12">
        <f t="shared" si="16"/>
        <v>785</v>
      </c>
      <c r="L164" s="12"/>
      <c r="M164" s="12">
        <f t="shared" si="17"/>
        <v>736.5</v>
      </c>
      <c r="N164" s="22">
        <v>21</v>
      </c>
      <c r="O164" s="48">
        <f t="shared" si="18"/>
        <v>-19.600000000000023</v>
      </c>
      <c r="P164" s="37"/>
    </row>
    <row r="165" spans="1:16" x14ac:dyDescent="0.2">
      <c r="B165" s="15">
        <v>22</v>
      </c>
      <c r="C165" s="12">
        <v>804</v>
      </c>
      <c r="D165" s="12">
        <v>749</v>
      </c>
      <c r="E165" s="12">
        <v>733</v>
      </c>
      <c r="F165" s="12">
        <v>731</v>
      </c>
      <c r="G165" s="12">
        <v>679</v>
      </c>
      <c r="H165" s="12">
        <v>707</v>
      </c>
      <c r="I165" s="12">
        <v>702</v>
      </c>
      <c r="J165" s="26"/>
      <c r="K165" s="12">
        <f t="shared" si="16"/>
        <v>739.2</v>
      </c>
      <c r="L165" s="12"/>
      <c r="M165" s="12">
        <f t="shared" si="17"/>
        <v>704.5</v>
      </c>
      <c r="N165" s="22">
        <v>22</v>
      </c>
      <c r="O165" s="43">
        <f t="shared" si="18"/>
        <v>-45.799999999999955</v>
      </c>
      <c r="P165" s="37"/>
    </row>
    <row r="166" spans="1:16" x14ac:dyDescent="0.2">
      <c r="B166" s="15">
        <v>23</v>
      </c>
      <c r="C166" s="12">
        <v>725</v>
      </c>
      <c r="D166" s="12">
        <v>670</v>
      </c>
      <c r="E166" s="12">
        <v>655</v>
      </c>
      <c r="F166" s="12">
        <v>652</v>
      </c>
      <c r="G166" s="12">
        <v>634</v>
      </c>
      <c r="H166" s="12">
        <v>664</v>
      </c>
      <c r="I166" s="12">
        <v>639</v>
      </c>
      <c r="J166" s="26"/>
      <c r="K166" s="12">
        <f t="shared" si="16"/>
        <v>667.2</v>
      </c>
      <c r="L166" s="12"/>
      <c r="M166" s="12">
        <f t="shared" si="17"/>
        <v>651.5</v>
      </c>
      <c r="N166" s="22">
        <v>23</v>
      </c>
      <c r="O166" s="43">
        <f t="shared" si="18"/>
        <v>-72</v>
      </c>
      <c r="P166" s="37"/>
    </row>
    <row r="167" spans="1:16" x14ac:dyDescent="0.2">
      <c r="B167" s="16">
        <v>24</v>
      </c>
      <c r="C167" s="12">
        <v>633</v>
      </c>
      <c r="D167" s="12">
        <v>601</v>
      </c>
      <c r="E167" s="12">
        <v>585</v>
      </c>
      <c r="F167" s="12">
        <v>581</v>
      </c>
      <c r="G167" s="12">
        <v>595</v>
      </c>
      <c r="H167" s="12">
        <v>635</v>
      </c>
      <c r="I167" s="12">
        <v>574</v>
      </c>
      <c r="J167" s="27"/>
      <c r="K167" s="12">
        <f t="shared" si="16"/>
        <v>599</v>
      </c>
      <c r="L167" s="13"/>
      <c r="M167" s="12">
        <f t="shared" si="17"/>
        <v>604.5</v>
      </c>
      <c r="N167" s="23">
        <v>24</v>
      </c>
      <c r="O167" s="49">
        <f t="shared" si="18"/>
        <v>-68.200000000000045</v>
      </c>
      <c r="P167" s="37"/>
    </row>
    <row r="168" spans="1:16" ht="13.5" thickBot="1" x14ac:dyDescent="0.25">
      <c r="B168" s="17" t="s">
        <v>54</v>
      </c>
      <c r="C168" s="25">
        <f t="shared" ref="C168:I168" si="19">SUM(C144:C167)</f>
        <v>17227</v>
      </c>
      <c r="D168" s="25">
        <f t="shared" si="19"/>
        <v>16788</v>
      </c>
      <c r="E168" s="25">
        <f t="shared" si="19"/>
        <v>16579</v>
      </c>
      <c r="F168" s="25">
        <f t="shared" si="19"/>
        <v>16379</v>
      </c>
      <c r="G168" s="25">
        <f t="shared" si="19"/>
        <v>16008</v>
      </c>
      <c r="H168" s="25">
        <f t="shared" si="19"/>
        <v>15895</v>
      </c>
      <c r="I168" s="25">
        <f t="shared" si="19"/>
        <v>15161</v>
      </c>
      <c r="J168" s="25"/>
      <c r="K168" s="25">
        <f>SUM(K144:K167)</f>
        <v>16596.199999999997</v>
      </c>
      <c r="L168" s="25"/>
      <c r="M168" s="25">
        <f>SUM(M144:M167)</f>
        <v>15528</v>
      </c>
      <c r="N168" s="24"/>
      <c r="O168" s="44"/>
      <c r="P168" s="37"/>
    </row>
    <row r="169" spans="1:16" ht="13.5" thickTop="1" x14ac:dyDescent="0.2">
      <c r="B169" t="s">
        <v>66</v>
      </c>
      <c r="C169">
        <v>80</v>
      </c>
      <c r="D169">
        <v>78</v>
      </c>
      <c r="E169">
        <v>74</v>
      </c>
      <c r="F169">
        <v>80</v>
      </c>
      <c r="G169">
        <v>78</v>
      </c>
      <c r="H169">
        <v>73</v>
      </c>
      <c r="I169">
        <v>65</v>
      </c>
      <c r="K169" s="110">
        <f>AVERAGE(C169:H169)</f>
        <v>77.166666666666671</v>
      </c>
      <c r="M169">
        <f>AVERAGE(H169:I169)</f>
        <v>69</v>
      </c>
      <c r="P169" s="37"/>
    </row>
    <row r="170" spans="1:16" x14ac:dyDescent="0.2">
      <c r="B170" s="109" t="s">
        <v>67</v>
      </c>
      <c r="C170">
        <v>50</v>
      </c>
      <c r="D170">
        <v>50</v>
      </c>
      <c r="E170">
        <v>48</v>
      </c>
      <c r="F170">
        <v>50</v>
      </c>
      <c r="G170">
        <v>50</v>
      </c>
      <c r="H170">
        <v>50</v>
      </c>
      <c r="I170">
        <v>45</v>
      </c>
      <c r="K170" s="110">
        <f>AVERAGE(C170:H170)</f>
        <v>49.666666666666664</v>
      </c>
      <c r="M170" s="110">
        <f>AVERAGE(H170:I170)</f>
        <v>47.5</v>
      </c>
      <c r="P170" s="37"/>
    </row>
    <row r="171" spans="1:16" x14ac:dyDescent="0.2">
      <c r="P171" s="37"/>
    </row>
    <row r="172" spans="1:16" x14ac:dyDescent="0.2">
      <c r="P172" s="37"/>
    </row>
    <row r="173" spans="1:16" x14ac:dyDescent="0.2">
      <c r="P173" s="37"/>
    </row>
    <row r="174" spans="1:16" x14ac:dyDescent="0.2">
      <c r="B174" t="s">
        <v>64</v>
      </c>
      <c r="C174">
        <v>1</v>
      </c>
      <c r="P174" s="37"/>
    </row>
    <row r="175" spans="1:16" x14ac:dyDescent="0.2">
      <c r="P175" s="37"/>
    </row>
    <row r="176" spans="1:16" ht="15.75" x14ac:dyDescent="0.25">
      <c r="A176" s="10"/>
      <c r="B176" s="10"/>
      <c r="C176" s="10"/>
      <c r="D176" s="10"/>
      <c r="E176" s="10"/>
      <c r="F176" s="10"/>
      <c r="G176" s="11" t="s">
        <v>59</v>
      </c>
      <c r="H176" s="10"/>
      <c r="I176" s="10"/>
      <c r="J176" s="10"/>
      <c r="K176" s="10"/>
      <c r="L176" s="10"/>
      <c r="M176" s="10"/>
      <c r="N176" s="10"/>
      <c r="P176" s="37"/>
    </row>
    <row r="177" spans="2:16" x14ac:dyDescent="0.2">
      <c r="F177" t="s">
        <v>61</v>
      </c>
      <c r="P177" s="37"/>
    </row>
    <row r="178" spans="2:16" x14ac:dyDescent="0.2">
      <c r="P178" s="37"/>
    </row>
    <row r="179" spans="2:16" x14ac:dyDescent="0.2">
      <c r="B179" s="14" t="s">
        <v>53</v>
      </c>
      <c r="C179" s="18" t="s">
        <v>46</v>
      </c>
      <c r="D179" s="18" t="s">
        <v>47</v>
      </c>
      <c r="E179" s="18" t="s">
        <v>48</v>
      </c>
      <c r="F179" s="18" t="s">
        <v>49</v>
      </c>
      <c r="G179" s="18" t="s">
        <v>50</v>
      </c>
      <c r="H179" s="18" t="s">
        <v>51</v>
      </c>
      <c r="I179" s="18" t="s">
        <v>52</v>
      </c>
      <c r="J179" s="19"/>
      <c r="K179" s="322" t="s">
        <v>152</v>
      </c>
      <c r="L179" s="20"/>
      <c r="M179" s="322" t="s">
        <v>153</v>
      </c>
      <c r="N179" s="21" t="s">
        <v>53</v>
      </c>
      <c r="O179" s="42" t="s">
        <v>63</v>
      </c>
      <c r="P179" s="37"/>
    </row>
    <row r="180" spans="2:16" x14ac:dyDescent="0.2">
      <c r="B180" s="31">
        <v>1</v>
      </c>
      <c r="C180" s="29">
        <f>AVERAGE(C5,C110,C75,C40,C144)*$C$174</f>
        <v>559.79999999999995</v>
      </c>
      <c r="D180" s="29">
        <f>AVERAGE(D5,D110,D75,D40,D144)*$C$174</f>
        <v>578.6</v>
      </c>
      <c r="E180" s="29">
        <f>AVERAGE(E5,E110,E75,E40,E144)*$C$174</f>
        <v>595.79999999999995</v>
      </c>
      <c r="F180" s="29">
        <f>AVERAGE(F5,F110,F75,F40,F144)*$C$174</f>
        <v>570.4</v>
      </c>
      <c r="G180" s="29">
        <f>AVERAGE(G5,G110,G75,G40,G144)*$C$174</f>
        <v>592.6</v>
      </c>
      <c r="H180" s="29">
        <f>AVERAGE(H5,H110,H75,H40,H144)</f>
        <v>575.6</v>
      </c>
      <c r="I180" s="29">
        <f>AVERAGE(I5,I110,I75,I40,I144)</f>
        <v>566.6</v>
      </c>
      <c r="J180" s="30"/>
      <c r="K180" s="29">
        <f>AVERAGE(C180:G180)</f>
        <v>579.43999999999994</v>
      </c>
      <c r="L180" s="29"/>
      <c r="M180" s="29">
        <f t="shared" ref="M180:M203" si="20">AVERAGE(M5,M110,M75,M40)</f>
        <v>562.875</v>
      </c>
      <c r="N180" s="32">
        <v>1</v>
      </c>
      <c r="O180" s="48">
        <f>K180-K203</f>
        <v>-43.674950967354107</v>
      </c>
      <c r="P180" s="37"/>
    </row>
    <row r="181" spans="2:16" x14ac:dyDescent="0.2">
      <c r="B181" s="15">
        <v>2</v>
      </c>
      <c r="C181" s="12">
        <f t="shared" ref="C181:G196" si="21">AVERAGE(C6,C111,C76,C41,C145)*$C$174</f>
        <v>547.79999999999995</v>
      </c>
      <c r="D181" s="12">
        <f t="shared" si="21"/>
        <v>560.20000000000005</v>
      </c>
      <c r="E181" s="12">
        <f t="shared" si="21"/>
        <v>570.79999999999995</v>
      </c>
      <c r="F181" s="12">
        <f t="shared" si="21"/>
        <v>544.79999999999995</v>
      </c>
      <c r="G181" s="12">
        <f t="shared" si="21"/>
        <v>569.6</v>
      </c>
      <c r="H181" s="12">
        <f t="shared" ref="H181:I196" si="22">AVERAGE(H6,H111,H76,H41,H145)</f>
        <v>558</v>
      </c>
      <c r="I181" s="12">
        <f t="shared" si="22"/>
        <v>550.6</v>
      </c>
      <c r="J181" s="26"/>
      <c r="K181" s="12">
        <f t="shared" ref="K181:K203" si="23">AVERAGE(C181:G181)</f>
        <v>558.64</v>
      </c>
      <c r="L181" s="12"/>
      <c r="M181" s="12">
        <f t="shared" si="20"/>
        <v>545.375</v>
      </c>
      <c r="N181" s="22">
        <v>2</v>
      </c>
      <c r="O181" s="43">
        <f>K181-K180</f>
        <v>-20.799999999999955</v>
      </c>
      <c r="P181" s="37"/>
    </row>
    <row r="182" spans="2:16" x14ac:dyDescent="0.2">
      <c r="B182" s="15">
        <v>3</v>
      </c>
      <c r="C182" s="12">
        <f t="shared" si="21"/>
        <v>540.4</v>
      </c>
      <c r="D182" s="12">
        <f t="shared" si="21"/>
        <v>553</v>
      </c>
      <c r="E182" s="12">
        <f t="shared" si="21"/>
        <v>560.20000000000005</v>
      </c>
      <c r="F182" s="12">
        <f t="shared" si="21"/>
        <v>538.79999999999995</v>
      </c>
      <c r="G182" s="12">
        <f t="shared" si="21"/>
        <v>555.4</v>
      </c>
      <c r="H182" s="12">
        <f t="shared" si="22"/>
        <v>547.79999999999995</v>
      </c>
      <c r="I182" s="12">
        <f t="shared" si="22"/>
        <v>544.20000000000005</v>
      </c>
      <c r="J182" s="26"/>
      <c r="K182" s="12">
        <f t="shared" si="23"/>
        <v>549.56000000000006</v>
      </c>
      <c r="L182" s="12"/>
      <c r="M182" s="12">
        <f t="shared" si="20"/>
        <v>539</v>
      </c>
      <c r="N182" s="22">
        <v>3</v>
      </c>
      <c r="O182" s="43">
        <f t="shared" ref="O182:O203" si="24">K182-K181</f>
        <v>-9.0799999999999272</v>
      </c>
      <c r="P182" s="37"/>
    </row>
    <row r="183" spans="2:16" x14ac:dyDescent="0.2">
      <c r="B183" s="16">
        <v>4</v>
      </c>
      <c r="C183" s="13">
        <f t="shared" si="21"/>
        <v>543.79999999999995</v>
      </c>
      <c r="D183" s="13">
        <f t="shared" si="21"/>
        <v>554</v>
      </c>
      <c r="E183" s="13">
        <f t="shared" si="21"/>
        <v>561.20000000000005</v>
      </c>
      <c r="F183" s="13">
        <f t="shared" si="21"/>
        <v>544.20000000000005</v>
      </c>
      <c r="G183" s="13">
        <f t="shared" si="21"/>
        <v>555.20000000000005</v>
      </c>
      <c r="H183" s="13">
        <f t="shared" si="22"/>
        <v>542.79999999999995</v>
      </c>
      <c r="I183" s="13">
        <f t="shared" si="22"/>
        <v>534.20000000000005</v>
      </c>
      <c r="J183" s="27"/>
      <c r="K183" s="13">
        <f t="shared" si="23"/>
        <v>551.67999999999995</v>
      </c>
      <c r="L183" s="13"/>
      <c r="M183" s="13">
        <f t="shared" si="20"/>
        <v>530.125</v>
      </c>
      <c r="N183" s="23">
        <v>4</v>
      </c>
      <c r="O183" s="49">
        <f t="shared" si="24"/>
        <v>2.1199999999998909</v>
      </c>
      <c r="P183" s="37"/>
    </row>
    <row r="184" spans="2:16" x14ac:dyDescent="0.2">
      <c r="B184" s="31">
        <v>5</v>
      </c>
      <c r="C184" s="29">
        <f t="shared" si="21"/>
        <v>551.4</v>
      </c>
      <c r="D184" s="29">
        <f t="shared" si="21"/>
        <v>569.20000000000005</v>
      </c>
      <c r="E184" s="29">
        <f t="shared" si="21"/>
        <v>573.6</v>
      </c>
      <c r="F184" s="29">
        <f t="shared" si="21"/>
        <v>557</v>
      </c>
      <c r="G184" s="29">
        <f t="shared" si="21"/>
        <v>563.79999999999995</v>
      </c>
      <c r="H184" s="29">
        <f t="shared" si="22"/>
        <v>543.6</v>
      </c>
      <c r="I184" s="29">
        <f t="shared" si="22"/>
        <v>532.79999999999995</v>
      </c>
      <c r="J184" s="30"/>
      <c r="K184" s="29">
        <f t="shared" si="23"/>
        <v>563</v>
      </c>
      <c r="L184" s="29"/>
      <c r="M184" s="29">
        <f t="shared" si="20"/>
        <v>529.75</v>
      </c>
      <c r="N184" s="32">
        <v>5</v>
      </c>
      <c r="O184" s="45">
        <f t="shared" si="24"/>
        <v>11.32000000000005</v>
      </c>
      <c r="P184" s="37"/>
    </row>
    <row r="185" spans="2:16" x14ac:dyDescent="0.2">
      <c r="B185" s="15">
        <v>6</v>
      </c>
      <c r="C185" s="12">
        <f t="shared" si="21"/>
        <v>596</v>
      </c>
      <c r="D185" s="12">
        <f t="shared" si="21"/>
        <v>624.6</v>
      </c>
      <c r="E185" s="12">
        <f t="shared" si="21"/>
        <v>622.79999999999995</v>
      </c>
      <c r="F185" s="12">
        <f t="shared" si="21"/>
        <v>607.20000000000005</v>
      </c>
      <c r="G185" s="12">
        <f t="shared" si="21"/>
        <v>601.79999999999995</v>
      </c>
      <c r="H185" s="12">
        <f t="shared" si="22"/>
        <v>572.79999999999995</v>
      </c>
      <c r="I185" s="12">
        <f t="shared" si="22"/>
        <v>542</v>
      </c>
      <c r="J185" s="26"/>
      <c r="K185" s="12">
        <f t="shared" si="23"/>
        <v>610.4799999999999</v>
      </c>
      <c r="L185" s="12"/>
      <c r="M185" s="12">
        <f t="shared" si="20"/>
        <v>548.25</v>
      </c>
      <c r="N185" s="22">
        <v>6</v>
      </c>
      <c r="O185" s="46">
        <f t="shared" si="24"/>
        <v>47.479999999999905</v>
      </c>
      <c r="P185" s="37"/>
    </row>
    <row r="186" spans="2:16" x14ac:dyDescent="0.2">
      <c r="B186" s="15">
        <v>7</v>
      </c>
      <c r="C186" s="12">
        <f t="shared" si="21"/>
        <v>676</v>
      </c>
      <c r="D186" s="12">
        <f t="shared" si="21"/>
        <v>717.4</v>
      </c>
      <c r="E186" s="12">
        <f t="shared" si="21"/>
        <v>724.6</v>
      </c>
      <c r="F186" s="12">
        <f t="shared" si="21"/>
        <v>697.6</v>
      </c>
      <c r="G186" s="12">
        <f t="shared" si="21"/>
        <v>684.6</v>
      </c>
      <c r="H186" s="12">
        <f t="shared" si="22"/>
        <v>605</v>
      </c>
      <c r="I186" s="12">
        <f t="shared" si="22"/>
        <v>570.20000000000005</v>
      </c>
      <c r="J186" s="26"/>
      <c r="K186" s="12">
        <f t="shared" si="23"/>
        <v>700.04</v>
      </c>
      <c r="L186" s="12"/>
      <c r="M186" s="12">
        <f t="shared" si="20"/>
        <v>578</v>
      </c>
      <c r="N186" s="22">
        <v>7</v>
      </c>
      <c r="O186" s="46">
        <f t="shared" si="24"/>
        <v>89.560000000000059</v>
      </c>
      <c r="P186" s="37"/>
    </row>
    <row r="187" spans="2:16" x14ac:dyDescent="0.2">
      <c r="B187" s="16">
        <v>8</v>
      </c>
      <c r="C187" s="13">
        <f t="shared" si="21"/>
        <v>730.6</v>
      </c>
      <c r="D187" s="13">
        <f t="shared" si="21"/>
        <v>763.2</v>
      </c>
      <c r="E187" s="13">
        <f t="shared" si="21"/>
        <v>767.4</v>
      </c>
      <c r="F187" s="13">
        <f t="shared" si="21"/>
        <v>739.8</v>
      </c>
      <c r="G187" s="13">
        <f t="shared" si="21"/>
        <v>710.8</v>
      </c>
      <c r="H187" s="13">
        <f t="shared" si="22"/>
        <v>626.6</v>
      </c>
      <c r="I187" s="13">
        <f t="shared" si="22"/>
        <v>585.20000000000005</v>
      </c>
      <c r="J187" s="27"/>
      <c r="K187" s="13">
        <f t="shared" si="23"/>
        <v>742.36</v>
      </c>
      <c r="L187" s="13"/>
      <c r="M187" s="13">
        <f t="shared" si="20"/>
        <v>598.375</v>
      </c>
      <c r="N187" s="23">
        <v>8</v>
      </c>
      <c r="O187" s="47">
        <f t="shared" si="24"/>
        <v>42.32000000000005</v>
      </c>
      <c r="P187" s="37"/>
    </row>
    <row r="188" spans="2:16" x14ac:dyDescent="0.2">
      <c r="B188" s="15">
        <v>9</v>
      </c>
      <c r="C188" s="29">
        <f t="shared" si="21"/>
        <v>745</v>
      </c>
      <c r="D188" s="29">
        <f t="shared" si="21"/>
        <v>766.2</v>
      </c>
      <c r="E188" s="29">
        <f t="shared" si="21"/>
        <v>776.4</v>
      </c>
      <c r="F188" s="29">
        <f t="shared" si="21"/>
        <v>745.8</v>
      </c>
      <c r="G188" s="29">
        <f t="shared" si="21"/>
        <v>724</v>
      </c>
      <c r="H188" s="12">
        <f t="shared" si="22"/>
        <v>652.4</v>
      </c>
      <c r="I188" s="12">
        <f t="shared" si="22"/>
        <v>606.6</v>
      </c>
      <c r="J188" s="26"/>
      <c r="K188" s="12">
        <f t="shared" si="23"/>
        <v>751.4799999999999</v>
      </c>
      <c r="L188" s="12"/>
      <c r="M188" s="12">
        <f t="shared" si="20"/>
        <v>619.25</v>
      </c>
      <c r="N188" s="22">
        <v>9</v>
      </c>
      <c r="O188" s="48">
        <f t="shared" si="24"/>
        <v>9.1199999999998909</v>
      </c>
      <c r="P188" s="37"/>
    </row>
    <row r="189" spans="2:16" x14ac:dyDescent="0.2">
      <c r="B189" s="15">
        <v>10</v>
      </c>
      <c r="C189" s="12">
        <f t="shared" si="21"/>
        <v>762.6</v>
      </c>
      <c r="D189" s="12">
        <f t="shared" si="21"/>
        <v>787.4</v>
      </c>
      <c r="E189" s="12">
        <f t="shared" si="21"/>
        <v>772</v>
      </c>
      <c r="F189" s="12">
        <f t="shared" si="21"/>
        <v>756.4</v>
      </c>
      <c r="G189" s="12">
        <f t="shared" si="21"/>
        <v>738.4</v>
      </c>
      <c r="H189" s="12">
        <f t="shared" si="22"/>
        <v>665.8</v>
      </c>
      <c r="I189" s="12">
        <f t="shared" si="22"/>
        <v>614.6</v>
      </c>
      <c r="J189" s="26"/>
      <c r="K189" s="12">
        <f t="shared" si="23"/>
        <v>763.36</v>
      </c>
      <c r="L189" s="12"/>
      <c r="M189" s="12">
        <f t="shared" si="20"/>
        <v>630</v>
      </c>
      <c r="N189" s="22">
        <v>10</v>
      </c>
      <c r="O189" s="43">
        <f t="shared" si="24"/>
        <v>11.880000000000109</v>
      </c>
      <c r="P189" s="37"/>
    </row>
    <row r="190" spans="2:16" x14ac:dyDescent="0.2">
      <c r="B190" s="15">
        <v>11</v>
      </c>
      <c r="C190" s="12">
        <f t="shared" si="21"/>
        <v>786.2</v>
      </c>
      <c r="D190" s="12">
        <f t="shared" si="21"/>
        <v>789.2</v>
      </c>
      <c r="E190" s="12">
        <f t="shared" si="21"/>
        <v>782.4</v>
      </c>
      <c r="F190" s="12">
        <f t="shared" si="21"/>
        <v>765.4</v>
      </c>
      <c r="G190" s="12">
        <f t="shared" si="21"/>
        <v>740.2</v>
      </c>
      <c r="H190" s="12">
        <f t="shared" si="22"/>
        <v>676</v>
      </c>
      <c r="I190" s="12">
        <f t="shared" si="22"/>
        <v>626.79999999999995</v>
      </c>
      <c r="J190" s="26"/>
      <c r="K190" s="12">
        <f t="shared" si="23"/>
        <v>772.68000000000006</v>
      </c>
      <c r="L190" s="12"/>
      <c r="M190" s="12">
        <f t="shared" si="20"/>
        <v>644.875</v>
      </c>
      <c r="N190" s="22">
        <v>11</v>
      </c>
      <c r="O190" s="43">
        <f t="shared" si="24"/>
        <v>9.32000000000005</v>
      </c>
      <c r="P190" s="37"/>
    </row>
    <row r="191" spans="2:16" x14ac:dyDescent="0.2">
      <c r="B191" s="16">
        <v>12</v>
      </c>
      <c r="C191" s="13">
        <f t="shared" si="21"/>
        <v>782</v>
      </c>
      <c r="D191" s="13">
        <f t="shared" si="21"/>
        <v>783.8</v>
      </c>
      <c r="E191" s="13">
        <f t="shared" si="21"/>
        <v>777</v>
      </c>
      <c r="F191" s="13">
        <f t="shared" si="21"/>
        <v>761.4</v>
      </c>
      <c r="G191" s="13">
        <f t="shared" si="21"/>
        <v>736</v>
      </c>
      <c r="H191" s="13">
        <f t="shared" si="22"/>
        <v>670.2</v>
      </c>
      <c r="I191" s="13">
        <f t="shared" si="22"/>
        <v>623.20000000000005</v>
      </c>
      <c r="J191" s="27"/>
      <c r="K191" s="13">
        <f t="shared" si="23"/>
        <v>768.04000000000008</v>
      </c>
      <c r="L191" s="13"/>
      <c r="M191" s="13">
        <f t="shared" si="20"/>
        <v>639.125</v>
      </c>
      <c r="N191" s="23">
        <v>12</v>
      </c>
      <c r="O191" s="49">
        <f t="shared" si="24"/>
        <v>-4.6399999999999864</v>
      </c>
      <c r="P191" s="37"/>
    </row>
    <row r="192" spans="2:16" x14ac:dyDescent="0.2">
      <c r="B192" s="15">
        <v>13</v>
      </c>
      <c r="C192" s="29">
        <f t="shared" si="21"/>
        <v>766.8</v>
      </c>
      <c r="D192" s="29">
        <f t="shared" si="21"/>
        <v>774.6</v>
      </c>
      <c r="E192" s="29">
        <f t="shared" si="21"/>
        <v>764.6</v>
      </c>
      <c r="F192" s="29">
        <f t="shared" si="21"/>
        <v>766.4</v>
      </c>
      <c r="G192" s="29">
        <f t="shared" si="21"/>
        <v>725</v>
      </c>
      <c r="H192" s="12">
        <f t="shared" si="22"/>
        <v>656.4</v>
      </c>
      <c r="I192" s="12">
        <f t="shared" si="22"/>
        <v>625.4</v>
      </c>
      <c r="J192" s="26"/>
      <c r="K192" s="12">
        <f t="shared" si="23"/>
        <v>759.48</v>
      </c>
      <c r="L192" s="12"/>
      <c r="M192" s="12">
        <f t="shared" si="20"/>
        <v>636.875</v>
      </c>
      <c r="N192" s="22">
        <v>13</v>
      </c>
      <c r="O192" s="48">
        <f t="shared" si="24"/>
        <v>-8.5600000000000591</v>
      </c>
      <c r="P192" s="37"/>
    </row>
    <row r="193" spans="2:16" x14ac:dyDescent="0.2">
      <c r="B193" s="15">
        <v>14</v>
      </c>
      <c r="C193" s="12">
        <f t="shared" si="21"/>
        <v>758</v>
      </c>
      <c r="D193" s="12">
        <f t="shared" si="21"/>
        <v>771.2</v>
      </c>
      <c r="E193" s="12">
        <f t="shared" si="21"/>
        <v>769.2</v>
      </c>
      <c r="F193" s="12">
        <f t="shared" si="21"/>
        <v>752.4</v>
      </c>
      <c r="G193" s="12">
        <f t="shared" si="21"/>
        <v>720.2</v>
      </c>
      <c r="H193" s="12">
        <f t="shared" si="22"/>
        <v>645</v>
      </c>
      <c r="I193" s="12">
        <f t="shared" si="22"/>
        <v>614.4</v>
      </c>
      <c r="J193" s="26"/>
      <c r="K193" s="12">
        <f t="shared" si="23"/>
        <v>754.2</v>
      </c>
      <c r="L193" s="12"/>
      <c r="M193" s="12">
        <f t="shared" si="20"/>
        <v>625.375</v>
      </c>
      <c r="N193" s="22">
        <v>14</v>
      </c>
      <c r="O193" s="43">
        <f t="shared" si="24"/>
        <v>-5.2799999999999727</v>
      </c>
      <c r="P193" s="37"/>
    </row>
    <row r="194" spans="2:16" x14ac:dyDescent="0.2">
      <c r="B194" s="15">
        <v>15</v>
      </c>
      <c r="C194" s="12">
        <f t="shared" si="21"/>
        <v>754.2</v>
      </c>
      <c r="D194" s="12">
        <f t="shared" si="21"/>
        <v>766.2</v>
      </c>
      <c r="E194" s="12">
        <f t="shared" si="21"/>
        <v>765.8</v>
      </c>
      <c r="F194" s="12">
        <f t="shared" si="21"/>
        <v>742</v>
      </c>
      <c r="G194" s="12">
        <f t="shared" si="21"/>
        <v>713</v>
      </c>
      <c r="H194" s="12">
        <f t="shared" si="22"/>
        <v>639.79999999999995</v>
      </c>
      <c r="I194" s="12">
        <f t="shared" si="22"/>
        <v>610.20000000000005</v>
      </c>
      <c r="J194" s="26"/>
      <c r="K194" s="12">
        <f t="shared" si="23"/>
        <v>748.24</v>
      </c>
      <c r="L194" s="12"/>
      <c r="M194" s="12">
        <f t="shared" si="20"/>
        <v>621.25</v>
      </c>
      <c r="N194" s="22">
        <v>15</v>
      </c>
      <c r="O194" s="43">
        <f t="shared" si="24"/>
        <v>-5.9600000000000364</v>
      </c>
      <c r="P194" s="37"/>
    </row>
    <row r="195" spans="2:16" x14ac:dyDescent="0.2">
      <c r="B195" s="16">
        <v>16</v>
      </c>
      <c r="C195" s="13">
        <f t="shared" si="21"/>
        <v>738.2</v>
      </c>
      <c r="D195" s="13">
        <f t="shared" si="21"/>
        <v>757</v>
      </c>
      <c r="E195" s="13">
        <f t="shared" si="21"/>
        <v>750</v>
      </c>
      <c r="F195" s="13">
        <f t="shared" si="21"/>
        <v>734.6</v>
      </c>
      <c r="G195" s="13">
        <f t="shared" si="21"/>
        <v>699</v>
      </c>
      <c r="H195" s="13">
        <f t="shared" si="22"/>
        <v>629</v>
      </c>
      <c r="I195" s="13">
        <f t="shared" si="22"/>
        <v>610.6</v>
      </c>
      <c r="J195" s="27"/>
      <c r="K195" s="13">
        <f t="shared" si="23"/>
        <v>735.76</v>
      </c>
      <c r="L195" s="13"/>
      <c r="M195" s="13">
        <f t="shared" si="20"/>
        <v>615.75</v>
      </c>
      <c r="N195" s="23">
        <v>16</v>
      </c>
      <c r="O195" s="49">
        <f t="shared" si="24"/>
        <v>-12.480000000000018</v>
      </c>
      <c r="P195" s="37"/>
    </row>
    <row r="196" spans="2:16" x14ac:dyDescent="0.2">
      <c r="B196" s="15">
        <v>17</v>
      </c>
      <c r="C196" s="29">
        <f t="shared" si="21"/>
        <v>727.2</v>
      </c>
      <c r="D196" s="29">
        <f t="shared" si="21"/>
        <v>743.2</v>
      </c>
      <c r="E196" s="29">
        <f t="shared" si="21"/>
        <v>737</v>
      </c>
      <c r="F196" s="29">
        <f t="shared" si="21"/>
        <v>722.6</v>
      </c>
      <c r="G196" s="29">
        <f t="shared" si="21"/>
        <v>688.6</v>
      </c>
      <c r="H196" s="12">
        <f t="shared" si="22"/>
        <v>629.20000000000005</v>
      </c>
      <c r="I196" s="12">
        <f t="shared" si="22"/>
        <v>606.79999999999995</v>
      </c>
      <c r="J196" s="26"/>
      <c r="K196" s="12">
        <f t="shared" si="23"/>
        <v>723.72</v>
      </c>
      <c r="L196" s="12"/>
      <c r="M196" s="12">
        <f t="shared" si="20"/>
        <v>615.375</v>
      </c>
      <c r="N196" s="22">
        <v>17</v>
      </c>
      <c r="O196" s="48">
        <f t="shared" si="24"/>
        <v>-12.039999999999964</v>
      </c>
      <c r="P196" s="37"/>
    </row>
    <row r="197" spans="2:16" x14ac:dyDescent="0.2">
      <c r="B197" s="15">
        <v>18</v>
      </c>
      <c r="C197" s="12">
        <f t="shared" ref="C197:G203" si="25">AVERAGE(C22,C127,C92,C57,C161)*$C$174</f>
        <v>776.4</v>
      </c>
      <c r="D197" s="12">
        <f t="shared" si="25"/>
        <v>759.6</v>
      </c>
      <c r="E197" s="12">
        <f t="shared" si="25"/>
        <v>756.4</v>
      </c>
      <c r="F197" s="12">
        <f t="shared" si="25"/>
        <v>756.2</v>
      </c>
      <c r="G197" s="12">
        <f t="shared" si="25"/>
        <v>716.4</v>
      </c>
      <c r="H197" s="12">
        <f t="shared" ref="H197:I203" si="26">AVERAGE(H22,H127,H92,H57,H161)</f>
        <v>673</v>
      </c>
      <c r="I197" s="12">
        <f t="shared" si="26"/>
        <v>660</v>
      </c>
      <c r="J197" s="26"/>
      <c r="K197" s="12">
        <f t="shared" si="23"/>
        <v>753.00000000000011</v>
      </c>
      <c r="L197" s="12"/>
      <c r="M197" s="12">
        <f t="shared" si="20"/>
        <v>661.375</v>
      </c>
      <c r="N197" s="22">
        <v>18</v>
      </c>
      <c r="O197" s="43">
        <f t="shared" si="24"/>
        <v>29.280000000000086</v>
      </c>
      <c r="P197" s="37"/>
    </row>
    <row r="198" spans="2:16" x14ac:dyDescent="0.2">
      <c r="B198" s="15">
        <v>19</v>
      </c>
      <c r="C198" s="12">
        <f t="shared" si="25"/>
        <v>838.8</v>
      </c>
      <c r="D198" s="12">
        <f t="shared" si="25"/>
        <v>821.6</v>
      </c>
      <c r="E198" s="12">
        <f t="shared" si="25"/>
        <v>821</v>
      </c>
      <c r="F198" s="12">
        <f t="shared" si="25"/>
        <v>810.2</v>
      </c>
      <c r="G198" s="12">
        <f t="shared" si="25"/>
        <v>766</v>
      </c>
      <c r="H198" s="12">
        <f t="shared" si="26"/>
        <v>752</v>
      </c>
      <c r="I198" s="12">
        <f t="shared" si="26"/>
        <v>721.2</v>
      </c>
      <c r="J198" s="26"/>
      <c r="K198" s="12">
        <f t="shared" si="23"/>
        <v>811.5200000000001</v>
      </c>
      <c r="L198" s="12"/>
      <c r="M198" s="12">
        <f t="shared" si="20"/>
        <v>737.625</v>
      </c>
      <c r="N198" s="22">
        <v>19</v>
      </c>
      <c r="O198" s="43">
        <f t="shared" si="24"/>
        <v>58.519999999999982</v>
      </c>
      <c r="P198" s="37"/>
    </row>
    <row r="199" spans="2:16" x14ac:dyDescent="0.2">
      <c r="B199" s="16">
        <v>20</v>
      </c>
      <c r="C199" s="13">
        <f t="shared" si="25"/>
        <v>831.2</v>
      </c>
      <c r="D199" s="13">
        <f t="shared" si="25"/>
        <v>811</v>
      </c>
      <c r="E199" s="13">
        <f t="shared" si="25"/>
        <v>816.4</v>
      </c>
      <c r="F199" s="13">
        <f t="shared" si="25"/>
        <v>805</v>
      </c>
      <c r="G199" s="13">
        <f t="shared" si="25"/>
        <v>762.6</v>
      </c>
      <c r="H199" s="13">
        <f t="shared" si="26"/>
        <v>741.4</v>
      </c>
      <c r="I199" s="13">
        <f t="shared" si="26"/>
        <v>717.6</v>
      </c>
      <c r="J199" s="27"/>
      <c r="K199" s="13">
        <f t="shared" si="23"/>
        <v>805.24</v>
      </c>
      <c r="L199" s="13"/>
      <c r="M199" s="13">
        <f t="shared" si="20"/>
        <v>729.625</v>
      </c>
      <c r="N199" s="23">
        <v>20</v>
      </c>
      <c r="O199" s="49">
        <f t="shared" si="24"/>
        <v>-6.2800000000000864</v>
      </c>
      <c r="P199" s="37"/>
    </row>
    <row r="200" spans="2:16" x14ac:dyDescent="0.2">
      <c r="B200" s="15">
        <v>21</v>
      </c>
      <c r="C200" s="29">
        <f t="shared" si="25"/>
        <v>814.2</v>
      </c>
      <c r="D200" s="29">
        <f t="shared" si="25"/>
        <v>816.4</v>
      </c>
      <c r="E200" s="29">
        <f t="shared" si="25"/>
        <v>792.8</v>
      </c>
      <c r="F200" s="29">
        <f t="shared" si="25"/>
        <v>780.8</v>
      </c>
      <c r="G200" s="29">
        <f t="shared" si="25"/>
        <v>744.4</v>
      </c>
      <c r="H200" s="12">
        <f t="shared" si="26"/>
        <v>730.4</v>
      </c>
      <c r="I200" s="12">
        <f t="shared" si="26"/>
        <v>714</v>
      </c>
      <c r="J200" s="26"/>
      <c r="K200" s="12">
        <f t="shared" si="23"/>
        <v>789.72</v>
      </c>
      <c r="L200" s="12"/>
      <c r="M200" s="12">
        <f t="shared" si="20"/>
        <v>718.625</v>
      </c>
      <c r="N200" s="22">
        <v>21</v>
      </c>
      <c r="O200" s="48">
        <f t="shared" si="24"/>
        <v>-15.519999999999982</v>
      </c>
      <c r="P200" s="37"/>
    </row>
    <row r="201" spans="2:16" x14ac:dyDescent="0.2">
      <c r="B201" s="15">
        <v>22</v>
      </c>
      <c r="C201" s="12">
        <f t="shared" si="25"/>
        <v>767.2</v>
      </c>
      <c r="D201" s="12">
        <f t="shared" si="25"/>
        <v>763.2</v>
      </c>
      <c r="E201" s="12">
        <f t="shared" si="25"/>
        <v>746.4</v>
      </c>
      <c r="F201" s="12">
        <f t="shared" si="25"/>
        <v>746</v>
      </c>
      <c r="G201" s="12">
        <f t="shared" si="25"/>
        <v>717</v>
      </c>
      <c r="H201" s="12">
        <f t="shared" si="26"/>
        <v>701.2</v>
      </c>
      <c r="I201" s="12">
        <f t="shared" si="26"/>
        <v>677.4</v>
      </c>
      <c r="J201" s="26"/>
      <c r="K201" s="12">
        <f t="shared" si="23"/>
        <v>747.96</v>
      </c>
      <c r="L201" s="12"/>
      <c r="M201" s="12">
        <f t="shared" si="20"/>
        <v>685.5</v>
      </c>
      <c r="N201" s="22">
        <v>22</v>
      </c>
      <c r="O201" s="43">
        <f t="shared" si="24"/>
        <v>-41.759999999999991</v>
      </c>
      <c r="P201" s="37"/>
    </row>
    <row r="202" spans="2:16" x14ac:dyDescent="0.2">
      <c r="B202" s="15">
        <v>23</v>
      </c>
      <c r="C202" s="12">
        <f t="shared" si="25"/>
        <v>694</v>
      </c>
      <c r="D202" s="12">
        <f t="shared" si="25"/>
        <v>701.6</v>
      </c>
      <c r="E202" s="12">
        <f t="shared" si="25"/>
        <v>677</v>
      </c>
      <c r="F202" s="12">
        <f t="shared" si="25"/>
        <v>696.02340979408905</v>
      </c>
      <c r="G202" s="12">
        <f t="shared" si="25"/>
        <v>672</v>
      </c>
      <c r="H202" s="12">
        <f t="shared" si="26"/>
        <v>657.2</v>
      </c>
      <c r="I202" s="12">
        <f t="shared" si="26"/>
        <v>632</v>
      </c>
      <c r="J202" s="26"/>
      <c r="K202" s="12">
        <f t="shared" si="23"/>
        <v>688.12468195881775</v>
      </c>
      <c r="L202" s="12"/>
      <c r="M202" s="12">
        <f t="shared" si="20"/>
        <v>642.875</v>
      </c>
      <c r="N202" s="22">
        <v>23</v>
      </c>
      <c r="O202" s="43">
        <f t="shared" si="24"/>
        <v>-59.83531804118229</v>
      </c>
      <c r="P202" s="37"/>
    </row>
    <row r="203" spans="2:16" x14ac:dyDescent="0.2">
      <c r="B203" s="16">
        <v>24</v>
      </c>
      <c r="C203" s="13">
        <f t="shared" si="25"/>
        <v>628.4</v>
      </c>
      <c r="D203" s="13">
        <f t="shared" si="25"/>
        <v>638.6</v>
      </c>
      <c r="E203" s="13">
        <f t="shared" si="25"/>
        <v>614.79999999999995</v>
      </c>
      <c r="F203" s="13">
        <f t="shared" si="25"/>
        <v>621.17475483677049</v>
      </c>
      <c r="G203" s="13">
        <f t="shared" si="25"/>
        <v>612.6</v>
      </c>
      <c r="H203" s="12">
        <f t="shared" si="26"/>
        <v>614.6</v>
      </c>
      <c r="I203" s="12">
        <f t="shared" si="26"/>
        <v>576.79999999999995</v>
      </c>
      <c r="J203" s="27"/>
      <c r="K203" s="12">
        <f t="shared" si="23"/>
        <v>623.11495096735405</v>
      </c>
      <c r="L203" s="13"/>
      <c r="M203" s="12">
        <f t="shared" si="20"/>
        <v>593.5</v>
      </c>
      <c r="N203" s="23">
        <v>24</v>
      </c>
      <c r="O203" s="49">
        <f t="shared" si="24"/>
        <v>-65.009730991463698</v>
      </c>
      <c r="P203" s="37"/>
    </row>
    <row r="204" spans="2:16" ht="13.5" thickBot="1" x14ac:dyDescent="0.25">
      <c r="B204" s="17" t="s">
        <v>54</v>
      </c>
      <c r="C204" s="25">
        <f t="shared" ref="C204:I204" si="27">SUM(C180:C203)</f>
        <v>16916.200000000004</v>
      </c>
      <c r="D204" s="25">
        <f t="shared" si="27"/>
        <v>17171</v>
      </c>
      <c r="E204" s="25">
        <f t="shared" si="27"/>
        <v>17095.599999999995</v>
      </c>
      <c r="F204" s="25">
        <f t="shared" si="27"/>
        <v>16762.19816463086</v>
      </c>
      <c r="G204" s="25">
        <f t="shared" si="27"/>
        <v>16309.200000000003</v>
      </c>
      <c r="H204" s="25">
        <f t="shared" si="27"/>
        <v>15305.800000000001</v>
      </c>
      <c r="I204" s="25">
        <f t="shared" si="27"/>
        <v>14663.4</v>
      </c>
      <c r="J204" s="25"/>
      <c r="K204" s="25">
        <f>SUM(K180:K203)</f>
        <v>16850.83963292617</v>
      </c>
      <c r="L204" s="25"/>
      <c r="M204" s="25">
        <f>SUM(M180:M203)</f>
        <v>14848.75</v>
      </c>
      <c r="N204" s="24"/>
      <c r="O204" s="44"/>
      <c r="P204" s="37"/>
    </row>
    <row r="205" spans="2:16" ht="13.5" thickTop="1" x14ac:dyDescent="0.2">
      <c r="B205" t="s">
        <v>66</v>
      </c>
      <c r="C205">
        <v>80</v>
      </c>
      <c r="D205">
        <v>78</v>
      </c>
      <c r="E205">
        <v>74</v>
      </c>
      <c r="F205">
        <v>80</v>
      </c>
      <c r="G205">
        <v>78</v>
      </c>
      <c r="H205">
        <v>73</v>
      </c>
      <c r="I205">
        <v>65</v>
      </c>
      <c r="K205" s="110">
        <f>AVERAGE(C205:H205)</f>
        <v>77.166666666666671</v>
      </c>
      <c r="M205">
        <f>AVERAGE(H205:I205)</f>
        <v>69</v>
      </c>
      <c r="P205" s="37"/>
    </row>
    <row r="206" spans="2:16" x14ac:dyDescent="0.2">
      <c r="B206" s="109" t="s">
        <v>67</v>
      </c>
      <c r="C206">
        <v>50</v>
      </c>
      <c r="D206">
        <v>50</v>
      </c>
      <c r="E206">
        <v>48</v>
      </c>
      <c r="F206">
        <v>50</v>
      </c>
      <c r="G206">
        <v>50</v>
      </c>
      <c r="H206">
        <v>50</v>
      </c>
      <c r="I206">
        <v>45</v>
      </c>
      <c r="K206" s="110">
        <f>AVERAGE(C206:H206)</f>
        <v>49.666666666666664</v>
      </c>
      <c r="M206" s="110">
        <f>AVERAGE(H206:I206)</f>
        <v>47.5</v>
      </c>
      <c r="P206" s="37"/>
    </row>
    <row r="207" spans="2:16" x14ac:dyDescent="0.2">
      <c r="P207" s="37"/>
    </row>
    <row r="208" spans="2:16" x14ac:dyDescent="0.2">
      <c r="P208" s="37"/>
    </row>
    <row r="209" spans="1:16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</row>
    <row r="210" spans="1:16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</row>
    <row r="211" spans="1:16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</row>
    <row r="212" spans="1:16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</row>
    <row r="213" spans="1:16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</row>
    <row r="214" spans="1:16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</row>
    <row r="215" spans="1:16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</row>
    <row r="216" spans="1:16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</row>
    <row r="217" spans="1:16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</row>
    <row r="218" spans="1:16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</row>
    <row r="219" spans="1:16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</row>
    <row r="220" spans="1:16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</row>
    <row r="221" spans="1:16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</row>
    <row r="223" spans="1:16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</row>
    <row r="224" spans="1:16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</row>
    <row r="226" spans="1:16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16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</row>
    <row r="228" spans="1:16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</row>
    <row r="229" spans="1:16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</row>
    <row r="230" spans="1:16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</row>
    <row r="231" spans="1:16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</row>
    <row r="232" spans="1:16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</row>
    <row r="233" spans="1:16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</row>
    <row r="234" spans="1:16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</row>
    <row r="235" spans="1:16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59"/>
  <sheetViews>
    <sheetView showGridLines="0" tabSelected="1" zoomScale="80" workbookViewId="0">
      <selection activeCell="O9" sqref="O8:O9"/>
    </sheetView>
  </sheetViews>
  <sheetFormatPr defaultRowHeight="12.75" x14ac:dyDescent="0.2"/>
  <cols>
    <col min="1" max="1" width="1.5703125" customWidth="1"/>
    <col min="2" max="2" width="11.140625" customWidth="1"/>
    <col min="5" max="5" width="9.85546875" customWidth="1"/>
    <col min="6" max="6" width="10.42578125" customWidth="1"/>
    <col min="7" max="7" width="10.5703125" customWidth="1"/>
    <col min="8" max="8" width="9.5703125" customWidth="1"/>
    <col min="9" max="9" width="12.28515625" customWidth="1"/>
    <col min="10" max="10" width="9.7109375" customWidth="1"/>
    <col min="11" max="11" width="14.28515625" customWidth="1"/>
    <col min="12" max="12" width="10.5703125" customWidth="1"/>
    <col min="13" max="13" width="10.7109375" bestFit="1" customWidth="1"/>
    <col min="15" max="15" width="11.7109375" bestFit="1" customWidth="1"/>
  </cols>
  <sheetData>
    <row r="1" spans="2:14" x14ac:dyDescent="0.2">
      <c r="E1" s="10"/>
    </row>
    <row r="2" spans="2:14" ht="13.5" thickBot="1" x14ac:dyDescent="0.25">
      <c r="C2" s="258" t="s">
        <v>121</v>
      </c>
      <c r="G2" t="s">
        <v>91</v>
      </c>
    </row>
    <row r="3" spans="2:14" x14ac:dyDescent="0.2">
      <c r="B3" s="137" t="s">
        <v>128</v>
      </c>
      <c r="C3" s="139">
        <v>69</v>
      </c>
      <c r="D3" s="168">
        <v>0.41499999999999998</v>
      </c>
      <c r="E3" s="148">
        <v>3</v>
      </c>
      <c r="F3" s="169" t="s">
        <v>84</v>
      </c>
      <c r="G3" s="170">
        <v>0.15</v>
      </c>
      <c r="H3" s="150">
        <v>3</v>
      </c>
      <c r="J3" s="246"/>
      <c r="K3" s="195"/>
      <c r="L3" s="244">
        <v>0.15</v>
      </c>
      <c r="M3" s="245">
        <v>0.4</v>
      </c>
    </row>
    <row r="4" spans="2:14" x14ac:dyDescent="0.2">
      <c r="B4" s="158" t="s">
        <v>129</v>
      </c>
      <c r="C4" s="265">
        <v>2.02</v>
      </c>
      <c r="D4" s="171" t="s">
        <v>89</v>
      </c>
      <c r="E4" s="171" t="s">
        <v>88</v>
      </c>
      <c r="F4" s="264">
        <v>5.71</v>
      </c>
      <c r="G4" s="172" t="s">
        <v>89</v>
      </c>
      <c r="H4" s="173" t="s">
        <v>88</v>
      </c>
      <c r="J4" s="247" t="s">
        <v>104</v>
      </c>
      <c r="K4" s="162">
        <v>19.3</v>
      </c>
      <c r="L4" s="196">
        <f>$K$4*L3+$K$4</f>
        <v>22.195</v>
      </c>
      <c r="M4" s="197">
        <f>$K$4*(1+M3)</f>
        <v>27.02</v>
      </c>
    </row>
    <row r="5" spans="2:14" ht="13.5" thickBot="1" x14ac:dyDescent="0.25">
      <c r="B5" s="161" t="s">
        <v>81</v>
      </c>
      <c r="C5" s="254">
        <f>657*C4</f>
        <v>1327.14</v>
      </c>
      <c r="D5" s="254"/>
      <c r="E5" s="255"/>
      <c r="F5" s="256"/>
      <c r="G5" s="257"/>
      <c r="H5" s="257"/>
      <c r="J5" s="248" t="s">
        <v>84</v>
      </c>
      <c r="K5" s="243">
        <v>5.71</v>
      </c>
      <c r="L5" s="198">
        <f>$K$5+L4</f>
        <v>27.905000000000001</v>
      </c>
      <c r="M5" s="199">
        <f>$K$5+M4</f>
        <v>32.729999999999997</v>
      </c>
    </row>
    <row r="6" spans="2:14" x14ac:dyDescent="0.2">
      <c r="B6" s="165" t="s">
        <v>87</v>
      </c>
      <c r="C6" s="140">
        <f>(14*$C$4)+(($C$5/$C$3)/4)</f>
        <v>33.088478260869564</v>
      </c>
      <c r="D6" s="142">
        <f>C6*(1+$D$3)</f>
        <v>46.820196739130438</v>
      </c>
      <c r="E6" s="142">
        <f>C6+$E$3</f>
        <v>36.088478260869564</v>
      </c>
      <c r="F6" s="142">
        <f>C6+$F$4</f>
        <v>38.798478260869565</v>
      </c>
      <c r="G6" s="140">
        <f>C6*(1+$G$3)+$F$4</f>
        <v>43.761749999999999</v>
      </c>
      <c r="H6" s="140">
        <f>F6+$H$3</f>
        <v>41.798478260869565</v>
      </c>
      <c r="I6" s="152"/>
    </row>
    <row r="7" spans="2:14" x14ac:dyDescent="0.2">
      <c r="B7" s="165" t="s">
        <v>82</v>
      </c>
      <c r="C7" s="140">
        <f>(14*$C$4)+(($C$5/$C$3)/5)</f>
        <v>32.126782608695656</v>
      </c>
      <c r="D7" s="142">
        <f t="shared" ref="D7:D18" si="0">C7*(1+$D$3)</f>
        <v>45.459397391304357</v>
      </c>
      <c r="E7" s="142">
        <f t="shared" ref="E7:E12" si="1">C7+$E$3</f>
        <v>35.126782608695656</v>
      </c>
      <c r="F7" s="142">
        <f t="shared" ref="F7:F12" si="2">C7+$F$4</f>
        <v>37.836782608695657</v>
      </c>
      <c r="G7" s="140">
        <f t="shared" ref="G7:G18" si="3">C7*(1+$G$3)+$F$4</f>
        <v>42.655799999999999</v>
      </c>
      <c r="H7" s="140">
        <f t="shared" ref="H7:H12" si="4">F7+$H$3</f>
        <v>40.836782608695657</v>
      </c>
      <c r="I7" s="152"/>
    </row>
    <row r="8" spans="2:14" x14ac:dyDescent="0.2">
      <c r="B8" s="165" t="s">
        <v>86</v>
      </c>
      <c r="C8" s="140">
        <f>(14*$C$4)+(($C$5/$C$3)/6)</f>
        <v>31.485652173913046</v>
      </c>
      <c r="D8" s="142">
        <f t="shared" si="0"/>
        <v>44.55219782608696</v>
      </c>
      <c r="E8" s="142">
        <f t="shared" si="1"/>
        <v>34.485652173913046</v>
      </c>
      <c r="F8" s="142">
        <f t="shared" si="2"/>
        <v>37.195652173913047</v>
      </c>
      <c r="G8" s="140">
        <f t="shared" si="3"/>
        <v>41.918500000000002</v>
      </c>
      <c r="H8" s="140">
        <f t="shared" si="4"/>
        <v>40.195652173913047</v>
      </c>
      <c r="I8" s="152"/>
    </row>
    <row r="9" spans="2:14" x14ac:dyDescent="0.2">
      <c r="B9" s="166" t="s">
        <v>83</v>
      </c>
      <c r="C9" s="140">
        <f>(14*$C$4)+(($C$5/$C$3)/7)</f>
        <v>31.027701863354039</v>
      </c>
      <c r="D9" s="142">
        <f t="shared" si="0"/>
        <v>43.904198136645967</v>
      </c>
      <c r="E9" s="142">
        <f t="shared" si="1"/>
        <v>34.027701863354039</v>
      </c>
      <c r="F9" s="142">
        <f t="shared" si="2"/>
        <v>36.73770186335404</v>
      </c>
      <c r="G9" s="140">
        <f t="shared" si="3"/>
        <v>41.391857142857141</v>
      </c>
      <c r="H9" s="140">
        <f t="shared" si="4"/>
        <v>39.73770186335404</v>
      </c>
      <c r="I9" s="152"/>
      <c r="K9" s="261" t="s">
        <v>126</v>
      </c>
    </row>
    <row r="10" spans="2:14" x14ac:dyDescent="0.2">
      <c r="B10" s="166" t="s">
        <v>92</v>
      </c>
      <c r="C10" s="140">
        <f>(14*$C$4)+(($C$5/$C$3)/8)</f>
        <v>30.684239130434783</v>
      </c>
      <c r="D10" s="142">
        <f t="shared" si="0"/>
        <v>43.418198369565218</v>
      </c>
      <c r="E10" s="142">
        <f t="shared" si="1"/>
        <v>33.684239130434783</v>
      </c>
      <c r="F10" s="142">
        <f t="shared" si="2"/>
        <v>36.394239130434784</v>
      </c>
      <c r="G10" s="140">
        <f t="shared" si="3"/>
        <v>40.996874999999996</v>
      </c>
      <c r="H10" s="140">
        <f t="shared" si="4"/>
        <v>39.394239130434784</v>
      </c>
    </row>
    <row r="11" spans="2:14" x14ac:dyDescent="0.2">
      <c r="B11" s="166" t="s">
        <v>93</v>
      </c>
      <c r="C11" s="140">
        <f>(14*$C$4)+(($C$5/$C$3)/9)</f>
        <v>30.417101449275364</v>
      </c>
      <c r="D11" s="142">
        <f t="shared" si="0"/>
        <v>43.040198550724639</v>
      </c>
      <c r="E11" s="142">
        <f t="shared" si="1"/>
        <v>33.417101449275364</v>
      </c>
      <c r="F11" s="142">
        <f t="shared" si="2"/>
        <v>36.127101449275365</v>
      </c>
      <c r="G11" s="140">
        <f t="shared" si="3"/>
        <v>40.689666666666668</v>
      </c>
      <c r="H11" s="140">
        <f t="shared" si="4"/>
        <v>39.127101449275365</v>
      </c>
    </row>
    <row r="12" spans="2:14" x14ac:dyDescent="0.2">
      <c r="B12" s="166" t="s">
        <v>94</v>
      </c>
      <c r="C12" s="140">
        <f>(14*$C$4)+(($C$5/$C$3)/10)</f>
        <v>30.203391304347829</v>
      </c>
      <c r="D12" s="142">
        <f t="shared" si="0"/>
        <v>42.737798695652181</v>
      </c>
      <c r="E12" s="142">
        <f t="shared" si="1"/>
        <v>33.203391304347832</v>
      </c>
      <c r="F12" s="142">
        <f t="shared" si="2"/>
        <v>35.913391304347826</v>
      </c>
      <c r="G12" s="140">
        <f t="shared" si="3"/>
        <v>40.443899999999999</v>
      </c>
      <c r="H12" s="140">
        <f t="shared" si="4"/>
        <v>38.913391304347826</v>
      </c>
      <c r="K12" s="332" t="s">
        <v>105</v>
      </c>
      <c r="L12" s="333"/>
    </row>
    <row r="13" spans="2:14" x14ac:dyDescent="0.2">
      <c r="B13" s="166" t="s">
        <v>112</v>
      </c>
      <c r="C13" s="140">
        <f>(14*$C$4)+(($C$5/$C$3)/11)</f>
        <v>30.028537549407115</v>
      </c>
      <c r="D13" s="142">
        <f t="shared" si="0"/>
        <v>42.490380632411068</v>
      </c>
      <c r="E13" s="142">
        <f t="shared" ref="E13:E18" si="5">C13+$E$3</f>
        <v>33.028537549407119</v>
      </c>
      <c r="F13" s="142">
        <f t="shared" ref="F13:F18" si="6">C13+$F$4</f>
        <v>35.738537549407113</v>
      </c>
      <c r="G13" s="140">
        <f t="shared" si="3"/>
        <v>40.24281818181818</v>
      </c>
      <c r="H13" s="140">
        <f t="shared" ref="H13:H18" si="7">F13+$H$3</f>
        <v>38.738537549407113</v>
      </c>
      <c r="J13" s="205"/>
      <c r="K13" s="335" t="s">
        <v>108</v>
      </c>
      <c r="L13" s="338" t="s">
        <v>158</v>
      </c>
      <c r="M13" s="334"/>
      <c r="N13" s="339" t="s">
        <v>155</v>
      </c>
    </row>
    <row r="14" spans="2:14" x14ac:dyDescent="0.2">
      <c r="B14" s="166" t="s">
        <v>113</v>
      </c>
      <c r="C14" s="140">
        <f>(14*$C$4)+(($C$5/$C$3)/12)</f>
        <v>29.882826086956523</v>
      </c>
      <c r="D14" s="142">
        <f t="shared" si="0"/>
        <v>42.284198913043483</v>
      </c>
      <c r="E14" s="142">
        <f t="shared" si="5"/>
        <v>32.882826086956527</v>
      </c>
      <c r="F14" s="142">
        <f t="shared" si="6"/>
        <v>35.592826086956521</v>
      </c>
      <c r="G14" s="140">
        <f t="shared" si="3"/>
        <v>40.075249999999997</v>
      </c>
      <c r="H14" s="140">
        <f t="shared" si="7"/>
        <v>38.592826086956521</v>
      </c>
      <c r="J14" s="134" t="s">
        <v>118</v>
      </c>
      <c r="K14" s="336">
        <v>38</v>
      </c>
      <c r="L14" s="336">
        <v>3</v>
      </c>
      <c r="M14" s="323">
        <f>K14-L14</f>
        <v>35</v>
      </c>
      <c r="N14" s="328">
        <f>M14/50</f>
        <v>0.7</v>
      </c>
    </row>
    <row r="15" spans="2:14" x14ac:dyDescent="0.2">
      <c r="B15" s="166" t="s">
        <v>114</v>
      </c>
      <c r="C15" s="140">
        <f>(14*$C$4)+(($C$5/$C$3)/13)</f>
        <v>29.759531772575251</v>
      </c>
      <c r="D15" s="142">
        <f t="shared" si="0"/>
        <v>42.109737458193983</v>
      </c>
      <c r="E15" s="142">
        <f t="shared" si="5"/>
        <v>32.759531772575251</v>
      </c>
      <c r="F15" s="142">
        <f t="shared" si="6"/>
        <v>35.469531772575252</v>
      </c>
      <c r="G15" s="140">
        <f t="shared" si="3"/>
        <v>39.933461538461536</v>
      </c>
      <c r="H15" s="140">
        <f t="shared" si="7"/>
        <v>38.469531772575252</v>
      </c>
      <c r="J15" s="203" t="s">
        <v>119</v>
      </c>
      <c r="K15" s="337">
        <v>120</v>
      </c>
      <c r="L15" s="337">
        <v>5</v>
      </c>
      <c r="M15" s="324">
        <f>K15-L15</f>
        <v>115</v>
      </c>
      <c r="N15" s="340">
        <f>M15/150</f>
        <v>0.76666666666666672</v>
      </c>
    </row>
    <row r="16" spans="2:14" x14ac:dyDescent="0.2">
      <c r="B16" s="166" t="s">
        <v>115</v>
      </c>
      <c r="C16" s="140">
        <f>(14*$C$4)+(($C$5/$C$3)/14)</f>
        <v>29.65385093167702</v>
      </c>
      <c r="D16" s="142">
        <f t="shared" si="0"/>
        <v>41.960199068322986</v>
      </c>
      <c r="E16" s="142">
        <f t="shared" si="5"/>
        <v>32.65385093167702</v>
      </c>
      <c r="F16" s="142">
        <f t="shared" si="6"/>
        <v>35.363850931677021</v>
      </c>
      <c r="G16" s="140">
        <f t="shared" si="3"/>
        <v>39.811928571428574</v>
      </c>
      <c r="H16" s="140">
        <f t="shared" si="7"/>
        <v>38.363850931677021</v>
      </c>
      <c r="J16" s="202"/>
      <c r="K16" s="152"/>
      <c r="L16" s="152"/>
      <c r="M16" s="154"/>
      <c r="N16" s="330"/>
    </row>
    <row r="17" spans="1:16" x14ac:dyDescent="0.2">
      <c r="B17" s="166" t="s">
        <v>116</v>
      </c>
      <c r="C17" s="140">
        <f>(14*$C$4)+(($C$5/$C$3)/15)</f>
        <v>29.562260869565218</v>
      </c>
      <c r="D17" s="142">
        <f t="shared" si="0"/>
        <v>41.830599130434784</v>
      </c>
      <c r="E17" s="142">
        <f t="shared" si="5"/>
        <v>32.562260869565222</v>
      </c>
      <c r="F17" s="142">
        <f t="shared" si="6"/>
        <v>35.272260869565216</v>
      </c>
      <c r="G17" s="140">
        <f t="shared" si="3"/>
        <v>39.706600000000002</v>
      </c>
      <c r="H17" s="140">
        <f t="shared" si="7"/>
        <v>38.272260869565216</v>
      </c>
      <c r="J17" s="135" t="s">
        <v>147</v>
      </c>
      <c r="K17" s="154"/>
      <c r="L17" s="344">
        <v>70</v>
      </c>
      <c r="M17" s="154"/>
      <c r="N17" s="331"/>
    </row>
    <row r="18" spans="1:16" x14ac:dyDescent="0.2">
      <c r="B18" s="167" t="s">
        <v>117</v>
      </c>
      <c r="C18" s="141">
        <f>(14*$C$4)+(($C$5/$C$3)/16)</f>
        <v>29.482119565217392</v>
      </c>
      <c r="D18" s="141">
        <f t="shared" si="0"/>
        <v>41.717199184782608</v>
      </c>
      <c r="E18" s="143">
        <f t="shared" si="5"/>
        <v>32.482119565217388</v>
      </c>
      <c r="F18" s="143">
        <f t="shared" si="6"/>
        <v>35.192119565217389</v>
      </c>
      <c r="G18" s="141">
        <f t="shared" si="3"/>
        <v>39.614437500000001</v>
      </c>
      <c r="H18" s="141">
        <f t="shared" si="7"/>
        <v>38.192119565217389</v>
      </c>
      <c r="J18" s="207" t="s">
        <v>106</v>
      </c>
      <c r="K18" s="249"/>
      <c r="L18" s="208">
        <f>0.25*((M14)/50)*L17</f>
        <v>12.25</v>
      </c>
      <c r="M18" s="325">
        <f>ROUND(L18,0)</f>
        <v>12</v>
      </c>
      <c r="N18" s="329">
        <f>IF(M18&lt;21,M18,21)</f>
        <v>12</v>
      </c>
      <c r="O18" s="190"/>
    </row>
    <row r="19" spans="1:16" x14ac:dyDescent="0.2">
      <c r="J19" s="209" t="s">
        <v>107</v>
      </c>
      <c r="K19" s="251"/>
      <c r="L19" s="210">
        <f>0.75*((M15)/150)*L17</f>
        <v>40.250000000000007</v>
      </c>
      <c r="M19" s="326">
        <f>ROUND(L19,0)</f>
        <v>40</v>
      </c>
      <c r="N19" s="329">
        <f>IF(M19&lt;21,M19,21)</f>
        <v>21</v>
      </c>
    </row>
    <row r="20" spans="1:16" ht="13.5" thickBot="1" x14ac:dyDescent="0.25">
      <c r="J20" s="312" t="s">
        <v>156</v>
      </c>
      <c r="L20" s="206">
        <f>SUM(L18:L19)</f>
        <v>52.500000000000007</v>
      </c>
      <c r="M20" s="327">
        <f>ROUND(L20,0)</f>
        <v>53</v>
      </c>
      <c r="N20" s="342"/>
    </row>
    <row r="21" spans="1:16" ht="14.25" thickTop="1" thickBot="1" x14ac:dyDescent="0.25">
      <c r="B21" s="158"/>
      <c r="C21" s="156"/>
      <c r="D21" s="156" t="s">
        <v>95</v>
      </c>
      <c r="E21" s="156"/>
      <c r="F21" s="156"/>
      <c r="G21" s="156"/>
      <c r="H21" s="159"/>
      <c r="J21" s="341" t="s">
        <v>157</v>
      </c>
      <c r="N21" s="343">
        <f>SUM(N18:N20)</f>
        <v>33</v>
      </c>
    </row>
    <row r="22" spans="1:16" ht="13.5" thickTop="1" x14ac:dyDescent="0.2">
      <c r="B22" s="158"/>
      <c r="C22" s="179" t="s">
        <v>78</v>
      </c>
      <c r="D22" s="174">
        <v>282</v>
      </c>
      <c r="E22" s="160" t="s">
        <v>98</v>
      </c>
      <c r="F22" s="174">
        <v>70</v>
      </c>
      <c r="G22" s="156"/>
      <c r="H22" s="176"/>
      <c r="J22" t="s">
        <v>148</v>
      </c>
    </row>
    <row r="23" spans="1:16" x14ac:dyDescent="0.2">
      <c r="B23" s="161"/>
      <c r="C23" s="180" t="s">
        <v>96</v>
      </c>
      <c r="D23" s="175">
        <v>702</v>
      </c>
      <c r="E23" s="162" t="s">
        <v>99</v>
      </c>
      <c r="F23" s="175">
        <v>25</v>
      </c>
      <c r="G23" s="157"/>
      <c r="H23" s="177"/>
      <c r="J23" t="s">
        <v>120</v>
      </c>
    </row>
    <row r="24" spans="1:16" x14ac:dyDescent="0.2">
      <c r="B24" s="135"/>
      <c r="E24" s="162" t="s">
        <v>100</v>
      </c>
      <c r="F24" s="175">
        <v>19</v>
      </c>
      <c r="G24" s="157"/>
      <c r="H24" s="177"/>
      <c r="J24" t="s">
        <v>159</v>
      </c>
    </row>
    <row r="25" spans="1:16" x14ac:dyDescent="0.2">
      <c r="B25" s="135"/>
      <c r="E25" s="162" t="s">
        <v>101</v>
      </c>
      <c r="F25" s="175">
        <v>702</v>
      </c>
      <c r="G25" s="157"/>
      <c r="H25" s="177"/>
      <c r="J25" s="345" t="s">
        <v>160</v>
      </c>
      <c r="K25" s="193"/>
    </row>
    <row r="26" spans="1:16" x14ac:dyDescent="0.2">
      <c r="B26" s="182" t="s">
        <v>103</v>
      </c>
      <c r="C26" s="183" t="s">
        <v>124</v>
      </c>
      <c r="D26" s="175">
        <v>0</v>
      </c>
      <c r="E26" s="162" t="s">
        <v>110</v>
      </c>
      <c r="F26" s="175">
        <v>2</v>
      </c>
      <c r="G26" s="157"/>
      <c r="H26" s="177"/>
      <c r="J26" t="s">
        <v>109</v>
      </c>
      <c r="K26" s="193"/>
    </row>
    <row r="27" spans="1:16" x14ac:dyDescent="0.2">
      <c r="B27" s="182"/>
      <c r="C27" s="183" t="s">
        <v>123</v>
      </c>
      <c r="D27" s="175">
        <v>0</v>
      </c>
      <c r="E27" s="349" t="s">
        <v>161</v>
      </c>
      <c r="F27" s="175">
        <v>170</v>
      </c>
      <c r="G27" s="157"/>
      <c r="H27" s="177"/>
      <c r="J27" s="134" t="s">
        <v>144</v>
      </c>
      <c r="K27" s="249"/>
      <c r="L27" s="249"/>
      <c r="M27" s="249"/>
      <c r="N27" s="249"/>
      <c r="O27" s="249"/>
      <c r="P27" s="200"/>
    </row>
    <row r="28" spans="1:16" x14ac:dyDescent="0.2">
      <c r="B28" s="182"/>
      <c r="C28" s="183" t="s">
        <v>122</v>
      </c>
      <c r="D28" s="175">
        <v>0</v>
      </c>
      <c r="E28" s="346" t="s">
        <v>123</v>
      </c>
      <c r="F28" s="347">
        <v>0</v>
      </c>
      <c r="H28" s="201"/>
      <c r="J28" s="135" t="s">
        <v>145</v>
      </c>
      <c r="K28" s="193"/>
      <c r="L28" s="154"/>
      <c r="M28" s="154"/>
      <c r="N28" s="154"/>
      <c r="O28" s="154"/>
      <c r="P28" s="201"/>
    </row>
    <row r="29" spans="1:16" x14ac:dyDescent="0.2">
      <c r="A29" s="192"/>
      <c r="B29" s="182"/>
      <c r="C29" s="183" t="s">
        <v>111</v>
      </c>
      <c r="D29" s="175">
        <v>0</v>
      </c>
      <c r="E29" s="346" t="s">
        <v>122</v>
      </c>
      <c r="F29" s="347">
        <v>0</v>
      </c>
      <c r="H29" s="201"/>
      <c r="J29" s="135"/>
      <c r="K29" s="154"/>
      <c r="L29" s="154"/>
      <c r="M29" s="154"/>
      <c r="N29" s="154"/>
      <c r="O29" s="154"/>
      <c r="P29" s="201"/>
    </row>
    <row r="30" spans="1:16" x14ac:dyDescent="0.2">
      <c r="B30" s="182"/>
      <c r="C30" s="183"/>
      <c r="D30" s="175"/>
      <c r="E30" s="346" t="s">
        <v>111</v>
      </c>
      <c r="F30" s="347">
        <v>0</v>
      </c>
      <c r="H30" s="201"/>
      <c r="I30" s="191"/>
      <c r="J30" s="203" t="s">
        <v>146</v>
      </c>
      <c r="K30" s="250"/>
      <c r="L30" s="251"/>
      <c r="M30" s="251"/>
      <c r="N30" s="251"/>
      <c r="O30" s="251"/>
      <c r="P30" s="204"/>
    </row>
    <row r="31" spans="1:16" x14ac:dyDescent="0.2">
      <c r="B31" s="163"/>
      <c r="C31" s="181" t="s">
        <v>97</v>
      </c>
      <c r="D31" s="164">
        <f>SUM(D22:D30)</f>
        <v>984</v>
      </c>
      <c r="E31" s="164" t="s">
        <v>97</v>
      </c>
      <c r="F31" s="164">
        <f>SUM(F22:F30)</f>
        <v>988</v>
      </c>
      <c r="G31" s="164" t="s">
        <v>102</v>
      </c>
      <c r="H31" s="178">
        <f>F31-D31</f>
        <v>4</v>
      </c>
      <c r="I31" s="193"/>
      <c r="J31" s="190"/>
      <c r="K31" s="190"/>
      <c r="L31" s="190"/>
      <c r="M31" s="190"/>
      <c r="O31" s="212"/>
    </row>
    <row r="32" spans="1:16" x14ac:dyDescent="0.2">
      <c r="I32" s="193"/>
      <c r="J32" s="154" t="s">
        <v>125</v>
      </c>
      <c r="K32" s="211"/>
    </row>
    <row r="33" spans="1:15" x14ac:dyDescent="0.2">
      <c r="I33" s="193"/>
      <c r="J33" s="154" t="s">
        <v>127</v>
      </c>
      <c r="K33" s="193"/>
    </row>
    <row r="34" spans="1:15" x14ac:dyDescent="0.2">
      <c r="I34" s="193"/>
      <c r="K34" s="193"/>
    </row>
    <row r="35" spans="1:15" x14ac:dyDescent="0.2">
      <c r="I35" s="193"/>
      <c r="J35" t="s">
        <v>154</v>
      </c>
      <c r="K35" s="193"/>
    </row>
    <row r="36" spans="1:15" x14ac:dyDescent="0.2">
      <c r="I36" s="193"/>
      <c r="K36" s="193"/>
    </row>
    <row r="37" spans="1:15" x14ac:dyDescent="0.2">
      <c r="I37" s="193"/>
    </row>
    <row r="38" spans="1:15" x14ac:dyDescent="0.2">
      <c r="I38" s="193"/>
    </row>
    <row r="41" spans="1:15" x14ac:dyDescent="0.2">
      <c r="A41" s="192"/>
      <c r="B41" s="190"/>
      <c r="C41" s="190"/>
      <c r="D41" s="190"/>
      <c r="E41" s="190"/>
      <c r="F41" s="190"/>
      <c r="G41" s="190"/>
      <c r="H41" s="190"/>
      <c r="I41" s="190"/>
    </row>
    <row r="42" spans="1:15" x14ac:dyDescent="0.2">
      <c r="B42" s="190"/>
      <c r="C42" s="190"/>
      <c r="D42" s="190"/>
      <c r="E42" s="190"/>
      <c r="F42" s="190"/>
      <c r="G42" s="190"/>
      <c r="H42" s="190"/>
      <c r="I42" s="190"/>
    </row>
    <row r="44" spans="1:15" x14ac:dyDescent="0.2">
      <c r="O44" s="193"/>
    </row>
    <row r="45" spans="1:15" x14ac:dyDescent="0.2">
      <c r="A45" s="192"/>
      <c r="K45" s="191"/>
      <c r="O45" s="193"/>
    </row>
    <row r="46" spans="1:15" x14ac:dyDescent="0.2">
      <c r="K46" s="191"/>
      <c r="O46" s="193"/>
    </row>
    <row r="47" spans="1:15" x14ac:dyDescent="0.2">
      <c r="E47" s="37"/>
      <c r="F47" s="37"/>
      <c r="G47" s="37"/>
      <c r="H47" s="37"/>
      <c r="I47" s="37"/>
      <c r="J47" s="37"/>
      <c r="K47" s="212"/>
      <c r="L47" s="37"/>
      <c r="M47" s="37"/>
      <c r="O47" s="193"/>
    </row>
    <row r="48" spans="1:15" x14ac:dyDescent="0.2">
      <c r="E48" s="37"/>
      <c r="F48" s="37"/>
      <c r="G48" s="37"/>
      <c r="H48" s="37"/>
      <c r="I48" s="37"/>
      <c r="J48" s="37"/>
      <c r="K48" s="37"/>
      <c r="L48" s="37"/>
      <c r="M48" s="37"/>
      <c r="O48" s="193"/>
    </row>
    <row r="49" spans="1:15" x14ac:dyDescent="0.2">
      <c r="E49" s="37"/>
      <c r="F49" s="37"/>
      <c r="G49" s="37"/>
      <c r="H49" s="37"/>
      <c r="I49" s="37"/>
      <c r="J49" s="37"/>
      <c r="K49" s="37"/>
      <c r="L49" s="37"/>
      <c r="M49" s="37"/>
      <c r="O49" s="191"/>
    </row>
    <row r="50" spans="1:15" x14ac:dyDescent="0.2">
      <c r="E50" s="37"/>
      <c r="F50" s="37"/>
      <c r="G50" s="37"/>
      <c r="H50" s="37"/>
      <c r="I50" s="37"/>
      <c r="J50" s="37"/>
      <c r="K50" s="37"/>
      <c r="L50" s="37"/>
      <c r="M50" s="212"/>
    </row>
    <row r="51" spans="1:15" x14ac:dyDescent="0.2">
      <c r="A51" s="192"/>
      <c r="B51" s="190"/>
      <c r="C51" s="190"/>
      <c r="D51" s="190"/>
      <c r="E51" s="213"/>
      <c r="F51" s="213"/>
      <c r="G51" s="213"/>
      <c r="H51" s="213"/>
      <c r="I51" s="213"/>
      <c r="J51" s="213"/>
      <c r="K51" s="213"/>
      <c r="L51" s="37"/>
      <c r="M51" s="212"/>
    </row>
    <row r="52" spans="1:15" x14ac:dyDescent="0.2">
      <c r="B52" s="190"/>
      <c r="C52" s="190"/>
      <c r="D52" s="190"/>
      <c r="E52" s="213"/>
      <c r="F52" s="213"/>
      <c r="G52" s="213"/>
      <c r="H52" s="213"/>
      <c r="I52" s="213"/>
      <c r="J52" s="213"/>
      <c r="K52" s="213"/>
      <c r="L52" s="37"/>
      <c r="M52" s="212"/>
    </row>
    <row r="53" spans="1:15" x14ac:dyDescent="0.2">
      <c r="E53" s="37"/>
      <c r="F53" s="37"/>
      <c r="G53" s="37"/>
      <c r="H53" s="37"/>
      <c r="I53" s="37"/>
      <c r="J53" s="37"/>
      <c r="K53" s="37"/>
      <c r="L53" s="37"/>
      <c r="M53" s="37"/>
    </row>
    <row r="54" spans="1:15" x14ac:dyDescent="0.2">
      <c r="E54" s="37"/>
      <c r="F54" s="37"/>
      <c r="G54" s="37"/>
      <c r="H54" s="37"/>
      <c r="I54" s="37"/>
      <c r="J54" s="37"/>
      <c r="K54" s="37"/>
      <c r="L54" s="37"/>
      <c r="M54" s="212"/>
    </row>
    <row r="55" spans="1:15" x14ac:dyDescent="0.2">
      <c r="E55" s="37"/>
      <c r="F55" s="214"/>
      <c r="G55" s="214"/>
      <c r="H55" s="214"/>
      <c r="I55" s="215"/>
      <c r="J55" s="37"/>
      <c r="K55" s="37"/>
      <c r="L55" s="37"/>
      <c r="M55" s="37"/>
    </row>
    <row r="56" spans="1:15" x14ac:dyDescent="0.2">
      <c r="E56" s="37"/>
      <c r="F56" s="214"/>
      <c r="G56" s="214"/>
      <c r="H56" s="214"/>
      <c r="I56" s="215"/>
      <c r="J56" s="37"/>
      <c r="K56" s="37"/>
      <c r="L56" s="37"/>
      <c r="M56" s="37"/>
    </row>
    <row r="57" spans="1:15" x14ac:dyDescent="0.2">
      <c r="E57" s="37"/>
      <c r="F57" s="214"/>
      <c r="G57" s="214"/>
      <c r="H57" s="214"/>
      <c r="I57" s="215"/>
      <c r="J57" s="37"/>
      <c r="K57" s="37"/>
      <c r="L57" s="37"/>
      <c r="M57" s="37"/>
    </row>
    <row r="58" spans="1:15" ht="14.25" x14ac:dyDescent="0.2">
      <c r="E58" s="37"/>
      <c r="F58" s="216"/>
      <c r="G58" s="217"/>
      <c r="H58" s="218"/>
      <c r="I58" s="219"/>
      <c r="J58" s="37"/>
      <c r="K58" s="37"/>
      <c r="L58" s="37"/>
      <c r="M58" s="37"/>
    </row>
    <row r="59" spans="1:15" x14ac:dyDescent="0.2">
      <c r="E59" s="37"/>
      <c r="F59" s="37"/>
      <c r="G59" s="37"/>
      <c r="H59" s="37"/>
      <c r="I59" s="37"/>
      <c r="J59" s="220"/>
      <c r="K59" s="37"/>
      <c r="L59" s="37"/>
      <c r="M59" s="37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0"/>
  <sheetViews>
    <sheetView zoomScale="85" workbookViewId="0">
      <selection activeCell="K15" sqref="K15"/>
    </sheetView>
  </sheetViews>
  <sheetFormatPr defaultRowHeight="12.75" x14ac:dyDescent="0.2"/>
  <cols>
    <col min="1" max="1" width="7.28515625" customWidth="1"/>
    <col min="2" max="2" width="7.5703125" customWidth="1"/>
    <col min="3" max="3" width="13.140625" customWidth="1"/>
    <col min="4" max="5" width="12" customWidth="1"/>
    <col min="6" max="6" width="7.28515625" customWidth="1"/>
    <col min="7" max="7" width="9.28515625" customWidth="1"/>
    <col min="8" max="8" width="10.85546875" customWidth="1"/>
    <col min="9" max="9" width="12.7109375" customWidth="1"/>
    <col min="10" max="10" width="7.42578125" customWidth="1"/>
    <col min="11" max="11" width="11.7109375" customWidth="1"/>
    <col min="12" max="12" width="12.28515625" customWidth="1"/>
    <col min="13" max="13" width="11.28515625" customWidth="1"/>
    <col min="14" max="14" width="10.7109375" customWidth="1"/>
  </cols>
  <sheetData>
    <row r="1" spans="1:14" x14ac:dyDescent="0.2">
      <c r="B1" s="298"/>
      <c r="C1" s="298"/>
      <c r="D1" s="299"/>
      <c r="E1" s="299"/>
      <c r="F1" s="275"/>
      <c r="G1" s="275"/>
      <c r="H1" s="275"/>
      <c r="J1" s="298"/>
      <c r="K1" s="298"/>
      <c r="L1" s="299"/>
    </row>
    <row r="2" spans="1:14" x14ac:dyDescent="0.2">
      <c r="B2" s="292" t="s">
        <v>140</v>
      </c>
      <c r="C2" s="292"/>
      <c r="D2" s="299"/>
      <c r="E2" s="299"/>
      <c r="F2" s="275"/>
      <c r="G2" t="s">
        <v>172</v>
      </c>
      <c r="H2" s="275"/>
      <c r="K2" s="292"/>
      <c r="L2" s="292" t="s">
        <v>141</v>
      </c>
    </row>
    <row r="3" spans="1:14" ht="13.5" thickBot="1" x14ac:dyDescent="0.25">
      <c r="B3" s="301"/>
      <c r="C3" s="292"/>
      <c r="D3" s="300"/>
      <c r="E3" s="299"/>
      <c r="F3" s="275"/>
      <c r="G3" s="275"/>
      <c r="H3" s="275"/>
      <c r="J3" s="292"/>
      <c r="K3" s="292"/>
      <c r="L3" s="299"/>
    </row>
    <row r="4" spans="1:14" ht="38.25" thickTop="1" thickBot="1" x14ac:dyDescent="0.25">
      <c r="A4" s="280" t="s">
        <v>143</v>
      </c>
      <c r="B4" s="280" t="s">
        <v>142</v>
      </c>
      <c r="C4" s="281" t="s">
        <v>136</v>
      </c>
      <c r="D4" s="282" t="s">
        <v>137</v>
      </c>
      <c r="E4" s="394"/>
      <c r="F4" s="280" t="s">
        <v>143</v>
      </c>
      <c r="G4" s="283" t="s">
        <v>171</v>
      </c>
      <c r="H4" s="283" t="s">
        <v>170</v>
      </c>
      <c r="I4" s="284" t="s">
        <v>139</v>
      </c>
      <c r="J4" s="285" t="s">
        <v>138</v>
      </c>
      <c r="K4" s="154"/>
      <c r="L4" s="280" t="s">
        <v>90</v>
      </c>
      <c r="M4" s="281" t="s">
        <v>136</v>
      </c>
      <c r="N4" s="282" t="s">
        <v>137</v>
      </c>
    </row>
    <row r="5" spans="1:14" ht="15.75" thickTop="1" x14ac:dyDescent="0.2">
      <c r="A5" s="384">
        <v>2</v>
      </c>
      <c r="B5" s="276">
        <v>1</v>
      </c>
      <c r="C5" s="293">
        <v>0</v>
      </c>
      <c r="D5" s="297">
        <v>0</v>
      </c>
      <c r="E5" s="395"/>
      <c r="F5" s="384">
        <v>2</v>
      </c>
      <c r="G5" s="387"/>
      <c r="H5" s="294">
        <v>84</v>
      </c>
      <c r="I5" s="287">
        <f>H5+D5+G5</f>
        <v>84</v>
      </c>
      <c r="J5" s="288">
        <f>(H5/2)</f>
        <v>42</v>
      </c>
      <c r="L5" s="276">
        <v>1</v>
      </c>
      <c r="M5" s="293">
        <v>20</v>
      </c>
      <c r="N5" s="297">
        <v>0</v>
      </c>
    </row>
    <row r="6" spans="1:14" ht="15" x14ac:dyDescent="0.2">
      <c r="A6" s="385">
        <v>3</v>
      </c>
      <c r="B6" s="276">
        <v>2</v>
      </c>
      <c r="C6" s="293">
        <v>0</v>
      </c>
      <c r="D6" s="297">
        <v>0</v>
      </c>
      <c r="E6" s="395"/>
      <c r="F6" s="385">
        <v>3</v>
      </c>
      <c r="G6" s="388"/>
      <c r="H6" s="295">
        <v>79</v>
      </c>
      <c r="I6" s="286">
        <f t="shared" ref="I6:I28" si="0">H6+D6+G6</f>
        <v>79</v>
      </c>
      <c r="J6" s="289">
        <f>(H6/2)</f>
        <v>39.5</v>
      </c>
      <c r="L6" s="276">
        <v>2</v>
      </c>
      <c r="M6" s="293">
        <v>20</v>
      </c>
      <c r="N6" s="297">
        <v>0</v>
      </c>
    </row>
    <row r="7" spans="1:14" ht="15" x14ac:dyDescent="0.2">
      <c r="A7" s="385">
        <v>4</v>
      </c>
      <c r="B7" s="276">
        <v>3</v>
      </c>
      <c r="C7" s="293">
        <v>0</v>
      </c>
      <c r="D7" s="297">
        <v>0</v>
      </c>
      <c r="E7" s="395"/>
      <c r="F7" s="385">
        <v>4</v>
      </c>
      <c r="G7" s="388"/>
      <c r="H7" s="295">
        <v>79</v>
      </c>
      <c r="I7" s="286">
        <f t="shared" si="0"/>
        <v>79</v>
      </c>
      <c r="J7" s="289">
        <f t="shared" ref="J7:J27" si="1">(H7/2)</f>
        <v>39.5</v>
      </c>
      <c r="L7" s="276">
        <v>3</v>
      </c>
      <c r="M7" s="293">
        <v>20</v>
      </c>
      <c r="N7" s="297">
        <v>0</v>
      </c>
    </row>
    <row r="8" spans="1:14" ht="15" x14ac:dyDescent="0.2">
      <c r="A8" s="385">
        <v>5</v>
      </c>
      <c r="B8" s="276">
        <v>4</v>
      </c>
      <c r="C8" s="293">
        <v>0</v>
      </c>
      <c r="D8" s="297">
        <v>0</v>
      </c>
      <c r="E8" s="395"/>
      <c r="F8" s="385">
        <v>5</v>
      </c>
      <c r="G8" s="388"/>
      <c r="H8" s="295">
        <v>73</v>
      </c>
      <c r="I8" s="286">
        <f t="shared" si="0"/>
        <v>73</v>
      </c>
      <c r="J8" s="289">
        <f t="shared" si="1"/>
        <v>36.5</v>
      </c>
      <c r="L8" s="276">
        <v>4</v>
      </c>
      <c r="M8" s="293">
        <v>20</v>
      </c>
      <c r="N8" s="297">
        <v>0</v>
      </c>
    </row>
    <row r="9" spans="1:14" ht="15" x14ac:dyDescent="0.2">
      <c r="A9" s="385">
        <v>6</v>
      </c>
      <c r="B9" s="276">
        <v>5</v>
      </c>
      <c r="C9" s="293">
        <v>0</v>
      </c>
      <c r="D9" s="297">
        <v>0</v>
      </c>
      <c r="E9" s="395"/>
      <c r="F9" s="385">
        <v>6</v>
      </c>
      <c r="G9" s="388"/>
      <c r="H9" s="295">
        <v>72</v>
      </c>
      <c r="I9" s="286">
        <f t="shared" si="0"/>
        <v>72</v>
      </c>
      <c r="J9" s="289">
        <f t="shared" si="1"/>
        <v>36</v>
      </c>
      <c r="L9" s="276">
        <v>5</v>
      </c>
      <c r="M9" s="293">
        <v>20</v>
      </c>
      <c r="N9" s="297">
        <v>0</v>
      </c>
    </row>
    <row r="10" spans="1:14" ht="15" x14ac:dyDescent="0.2">
      <c r="A10" s="385">
        <v>7</v>
      </c>
      <c r="B10" s="276">
        <v>6</v>
      </c>
      <c r="C10" s="293">
        <v>0</v>
      </c>
      <c r="D10" s="297">
        <v>0</v>
      </c>
      <c r="E10" s="395"/>
      <c r="F10" s="385">
        <v>7</v>
      </c>
      <c r="G10" s="388"/>
      <c r="H10" s="295">
        <v>74</v>
      </c>
      <c r="I10" s="286">
        <f t="shared" si="0"/>
        <v>74</v>
      </c>
      <c r="J10" s="289">
        <f t="shared" si="1"/>
        <v>37</v>
      </c>
      <c r="L10" s="276">
        <v>6</v>
      </c>
      <c r="M10" s="293">
        <v>20</v>
      </c>
      <c r="N10" s="297">
        <v>0</v>
      </c>
    </row>
    <row r="11" spans="1:14" ht="15" x14ac:dyDescent="0.2">
      <c r="A11" s="385">
        <v>8</v>
      </c>
      <c r="B11" s="276">
        <v>7</v>
      </c>
      <c r="C11" s="293">
        <v>0</v>
      </c>
      <c r="D11" s="297">
        <v>0</v>
      </c>
      <c r="E11" s="395"/>
      <c r="F11" s="385">
        <v>8</v>
      </c>
      <c r="G11" s="388"/>
      <c r="H11" s="295">
        <v>67</v>
      </c>
      <c r="I11" s="286">
        <f t="shared" si="0"/>
        <v>67</v>
      </c>
      <c r="J11" s="289">
        <f t="shared" si="1"/>
        <v>33.5</v>
      </c>
      <c r="L11" s="276">
        <v>7</v>
      </c>
      <c r="M11" s="293">
        <v>20</v>
      </c>
      <c r="N11" s="297">
        <v>0</v>
      </c>
    </row>
    <row r="12" spans="1:14" ht="15" x14ac:dyDescent="0.2">
      <c r="A12" s="385">
        <v>9</v>
      </c>
      <c r="B12" s="276">
        <v>8</v>
      </c>
      <c r="C12" s="293">
        <v>0</v>
      </c>
      <c r="D12" s="297">
        <v>0</v>
      </c>
      <c r="E12" s="395"/>
      <c r="F12" s="385">
        <v>9</v>
      </c>
      <c r="G12" s="388"/>
      <c r="H12" s="295">
        <v>68</v>
      </c>
      <c r="I12" s="286">
        <f t="shared" si="0"/>
        <v>68</v>
      </c>
      <c r="J12" s="289">
        <f t="shared" si="1"/>
        <v>34</v>
      </c>
      <c r="L12" s="276">
        <v>8</v>
      </c>
      <c r="M12" s="293">
        <v>20</v>
      </c>
      <c r="N12" s="297">
        <v>0</v>
      </c>
    </row>
    <row r="13" spans="1:14" ht="15" x14ac:dyDescent="0.2">
      <c r="A13" s="385">
        <v>10</v>
      </c>
      <c r="B13" s="276">
        <v>9</v>
      </c>
      <c r="C13" s="293">
        <v>0</v>
      </c>
      <c r="D13" s="297">
        <v>0</v>
      </c>
      <c r="E13" s="395"/>
      <c r="F13" s="385">
        <v>10</v>
      </c>
      <c r="G13" s="388"/>
      <c r="H13" s="295">
        <v>70</v>
      </c>
      <c r="I13" s="286">
        <f t="shared" si="0"/>
        <v>70</v>
      </c>
      <c r="J13" s="289">
        <f t="shared" si="1"/>
        <v>35</v>
      </c>
      <c r="L13" s="276">
        <v>9</v>
      </c>
      <c r="M13" s="293">
        <v>20</v>
      </c>
      <c r="N13" s="297">
        <v>0</v>
      </c>
    </row>
    <row r="14" spans="1:14" ht="15" x14ac:dyDescent="0.2">
      <c r="A14" s="385">
        <v>11</v>
      </c>
      <c r="B14" s="276">
        <v>10</v>
      </c>
      <c r="C14" s="293">
        <v>0</v>
      </c>
      <c r="D14" s="297">
        <v>0</v>
      </c>
      <c r="E14" s="395"/>
      <c r="F14" s="385">
        <v>11</v>
      </c>
      <c r="G14" s="388"/>
      <c r="H14" s="295">
        <v>72</v>
      </c>
      <c r="I14" s="286">
        <f t="shared" si="0"/>
        <v>72</v>
      </c>
      <c r="J14" s="289">
        <f t="shared" si="1"/>
        <v>36</v>
      </c>
      <c r="L14" s="276">
        <v>10</v>
      </c>
      <c r="M14" s="293">
        <v>20</v>
      </c>
      <c r="N14" s="297">
        <v>0</v>
      </c>
    </row>
    <row r="15" spans="1:14" ht="15" x14ac:dyDescent="0.2">
      <c r="A15" s="385">
        <v>12</v>
      </c>
      <c r="B15" s="276">
        <v>11</v>
      </c>
      <c r="C15" s="293">
        <v>0</v>
      </c>
      <c r="D15" s="297">
        <v>0</v>
      </c>
      <c r="E15" s="395"/>
      <c r="F15" s="385">
        <v>12</v>
      </c>
      <c r="G15" s="388"/>
      <c r="H15" s="295">
        <v>72</v>
      </c>
      <c r="I15" s="286">
        <f t="shared" si="0"/>
        <v>72</v>
      </c>
      <c r="J15" s="289">
        <f t="shared" si="1"/>
        <v>36</v>
      </c>
      <c r="L15" s="276">
        <v>11</v>
      </c>
      <c r="M15" s="293">
        <v>20</v>
      </c>
      <c r="N15" s="297">
        <v>0</v>
      </c>
    </row>
    <row r="16" spans="1:14" ht="15" x14ac:dyDescent="0.2">
      <c r="A16" s="385">
        <v>13</v>
      </c>
      <c r="B16" s="276">
        <v>12</v>
      </c>
      <c r="C16" s="293">
        <v>0</v>
      </c>
      <c r="D16" s="297">
        <v>0</v>
      </c>
      <c r="E16" s="395"/>
      <c r="F16" s="385">
        <v>13</v>
      </c>
      <c r="G16" s="388"/>
      <c r="H16" s="295">
        <v>72</v>
      </c>
      <c r="I16" s="286">
        <f t="shared" si="0"/>
        <v>72</v>
      </c>
      <c r="J16" s="289">
        <f t="shared" si="1"/>
        <v>36</v>
      </c>
      <c r="L16" s="276">
        <v>12</v>
      </c>
      <c r="M16" s="293">
        <v>20</v>
      </c>
      <c r="N16" s="297">
        <v>0</v>
      </c>
    </row>
    <row r="17" spans="1:14" ht="15" x14ac:dyDescent="0.2">
      <c r="A17" s="385">
        <v>14</v>
      </c>
      <c r="B17" s="276">
        <v>13</v>
      </c>
      <c r="C17" s="293">
        <v>0</v>
      </c>
      <c r="D17" s="297">
        <v>0</v>
      </c>
      <c r="E17" s="395"/>
      <c r="F17" s="385">
        <v>14</v>
      </c>
      <c r="G17" s="388"/>
      <c r="H17" s="295">
        <v>71</v>
      </c>
      <c r="I17" s="286">
        <f t="shared" si="0"/>
        <v>71</v>
      </c>
      <c r="J17" s="289">
        <f t="shared" si="1"/>
        <v>35.5</v>
      </c>
      <c r="L17" s="276">
        <v>13</v>
      </c>
      <c r="M17" s="293">
        <v>20</v>
      </c>
      <c r="N17" s="297">
        <v>0</v>
      </c>
    </row>
    <row r="18" spans="1:14" ht="15" x14ac:dyDescent="0.2">
      <c r="A18" s="385">
        <v>15</v>
      </c>
      <c r="B18" s="276">
        <v>14</v>
      </c>
      <c r="C18" s="293">
        <v>0</v>
      </c>
      <c r="D18" s="297">
        <v>0</v>
      </c>
      <c r="E18" s="395"/>
      <c r="F18" s="385">
        <v>15</v>
      </c>
      <c r="G18" s="388"/>
      <c r="H18" s="295">
        <v>72</v>
      </c>
      <c r="I18" s="286">
        <f t="shared" si="0"/>
        <v>72</v>
      </c>
      <c r="J18" s="289">
        <f t="shared" si="1"/>
        <v>36</v>
      </c>
      <c r="L18" s="276">
        <v>14</v>
      </c>
      <c r="M18" s="293">
        <v>20</v>
      </c>
      <c r="N18" s="297">
        <v>0</v>
      </c>
    </row>
    <row r="19" spans="1:14" ht="15" x14ac:dyDescent="0.2">
      <c r="A19" s="385">
        <v>16</v>
      </c>
      <c r="B19" s="276">
        <v>15</v>
      </c>
      <c r="C19" s="293">
        <v>0</v>
      </c>
      <c r="D19" s="297">
        <v>0</v>
      </c>
      <c r="E19" s="395"/>
      <c r="F19" s="385">
        <v>16</v>
      </c>
      <c r="G19" s="388"/>
      <c r="H19" s="295">
        <v>72</v>
      </c>
      <c r="I19" s="286">
        <f t="shared" si="0"/>
        <v>72</v>
      </c>
      <c r="J19" s="289">
        <f t="shared" si="1"/>
        <v>36</v>
      </c>
      <c r="L19" s="276">
        <v>15</v>
      </c>
      <c r="M19" s="293">
        <v>20</v>
      </c>
      <c r="N19" s="297">
        <v>0</v>
      </c>
    </row>
    <row r="20" spans="1:14" ht="15" x14ac:dyDescent="0.2">
      <c r="A20" s="385">
        <v>17</v>
      </c>
      <c r="B20" s="276">
        <v>16</v>
      </c>
      <c r="C20" s="293">
        <v>0</v>
      </c>
      <c r="D20" s="297">
        <v>0</v>
      </c>
      <c r="E20" s="395"/>
      <c r="F20" s="385">
        <v>17</v>
      </c>
      <c r="G20" s="388"/>
      <c r="H20" s="295">
        <v>72</v>
      </c>
      <c r="I20" s="286">
        <f t="shared" si="0"/>
        <v>72</v>
      </c>
      <c r="J20" s="289">
        <f t="shared" si="1"/>
        <v>36</v>
      </c>
      <c r="L20" s="276">
        <v>16</v>
      </c>
      <c r="M20" s="293">
        <v>20</v>
      </c>
      <c r="N20" s="297">
        <v>0</v>
      </c>
    </row>
    <row r="21" spans="1:14" ht="15" x14ac:dyDescent="0.2">
      <c r="A21" s="385">
        <v>18</v>
      </c>
      <c r="B21" s="276">
        <v>17</v>
      </c>
      <c r="C21" s="293">
        <v>0</v>
      </c>
      <c r="D21" s="297">
        <v>0</v>
      </c>
      <c r="E21" s="395"/>
      <c r="F21" s="385">
        <v>18</v>
      </c>
      <c r="G21" s="388"/>
      <c r="H21" s="295">
        <v>72</v>
      </c>
      <c r="I21" s="286">
        <f t="shared" si="0"/>
        <v>72</v>
      </c>
      <c r="J21" s="289">
        <f t="shared" si="1"/>
        <v>36</v>
      </c>
      <c r="L21" s="276">
        <v>17</v>
      </c>
      <c r="M21" s="293">
        <v>20</v>
      </c>
      <c r="N21" s="297">
        <v>0</v>
      </c>
    </row>
    <row r="22" spans="1:14" ht="15" x14ac:dyDescent="0.2">
      <c r="A22" s="385">
        <v>19</v>
      </c>
      <c r="B22" s="276">
        <v>18</v>
      </c>
      <c r="C22" s="293">
        <v>0</v>
      </c>
      <c r="D22" s="297">
        <v>0</v>
      </c>
      <c r="E22" s="395"/>
      <c r="F22" s="385">
        <v>19</v>
      </c>
      <c r="G22" s="388"/>
      <c r="H22" s="295">
        <v>70</v>
      </c>
      <c r="I22" s="286">
        <f t="shared" si="0"/>
        <v>70</v>
      </c>
      <c r="J22" s="289">
        <f t="shared" si="1"/>
        <v>35</v>
      </c>
      <c r="L22" s="276">
        <v>18</v>
      </c>
      <c r="M22" s="293">
        <v>20</v>
      </c>
      <c r="N22" s="297">
        <v>0</v>
      </c>
    </row>
    <row r="23" spans="1:14" ht="15" x14ac:dyDescent="0.2">
      <c r="A23" s="385">
        <v>20</v>
      </c>
      <c r="B23" s="276">
        <v>19</v>
      </c>
      <c r="C23" s="293">
        <v>0</v>
      </c>
      <c r="D23" s="297">
        <v>0</v>
      </c>
      <c r="E23" s="395"/>
      <c r="F23" s="385">
        <v>20</v>
      </c>
      <c r="G23" s="388"/>
      <c r="H23" s="295">
        <v>69</v>
      </c>
      <c r="I23" s="286">
        <f t="shared" si="0"/>
        <v>69</v>
      </c>
      <c r="J23" s="289">
        <f t="shared" si="1"/>
        <v>34.5</v>
      </c>
      <c r="L23" s="276">
        <v>19</v>
      </c>
      <c r="M23" s="293">
        <v>20</v>
      </c>
      <c r="N23" s="297">
        <v>0</v>
      </c>
    </row>
    <row r="24" spans="1:14" ht="15" x14ac:dyDescent="0.2">
      <c r="A24" s="385">
        <v>21</v>
      </c>
      <c r="B24" s="276">
        <v>20</v>
      </c>
      <c r="C24" s="293">
        <v>0</v>
      </c>
      <c r="D24" s="297">
        <v>0</v>
      </c>
      <c r="E24" s="395"/>
      <c r="F24" s="385">
        <v>21</v>
      </c>
      <c r="G24" s="388"/>
      <c r="H24" s="295">
        <v>69</v>
      </c>
      <c r="I24" s="286">
        <f t="shared" si="0"/>
        <v>69</v>
      </c>
      <c r="J24" s="289">
        <f t="shared" si="1"/>
        <v>34.5</v>
      </c>
      <c r="L24" s="276">
        <v>20</v>
      </c>
      <c r="M24" s="293">
        <v>20</v>
      </c>
      <c r="N24" s="297">
        <v>0</v>
      </c>
    </row>
    <row r="25" spans="1:14" ht="15" x14ac:dyDescent="0.2">
      <c r="A25" s="385">
        <v>22</v>
      </c>
      <c r="B25" s="276">
        <v>21</v>
      </c>
      <c r="C25" s="293">
        <v>0</v>
      </c>
      <c r="D25" s="297">
        <v>0</v>
      </c>
      <c r="E25" s="395"/>
      <c r="F25" s="385">
        <v>22</v>
      </c>
      <c r="G25" s="388"/>
      <c r="H25" s="295">
        <v>69</v>
      </c>
      <c r="I25" s="286">
        <f t="shared" si="0"/>
        <v>69</v>
      </c>
      <c r="J25" s="289">
        <f t="shared" si="1"/>
        <v>34.5</v>
      </c>
      <c r="L25" s="276">
        <v>21</v>
      </c>
      <c r="M25" s="293">
        <v>20</v>
      </c>
      <c r="N25" s="297">
        <v>0</v>
      </c>
    </row>
    <row r="26" spans="1:14" ht="15" x14ac:dyDescent="0.2">
      <c r="A26" s="385">
        <v>23</v>
      </c>
      <c r="B26" s="276">
        <v>22</v>
      </c>
      <c r="C26" s="293">
        <v>0</v>
      </c>
      <c r="D26" s="297">
        <v>0</v>
      </c>
      <c r="E26" s="395"/>
      <c r="F26" s="385">
        <v>23</v>
      </c>
      <c r="G26" s="388"/>
      <c r="H26" s="295">
        <v>70</v>
      </c>
      <c r="I26" s="286">
        <f t="shared" si="0"/>
        <v>70</v>
      </c>
      <c r="J26" s="289">
        <f t="shared" si="1"/>
        <v>35</v>
      </c>
      <c r="L26" s="276">
        <v>22</v>
      </c>
      <c r="M26" s="293">
        <v>20</v>
      </c>
      <c r="N26" s="297">
        <v>0</v>
      </c>
    </row>
    <row r="27" spans="1:14" ht="15" x14ac:dyDescent="0.2">
      <c r="A27" s="385">
        <v>24</v>
      </c>
      <c r="B27" s="276">
        <v>23</v>
      </c>
      <c r="C27" s="293">
        <v>0</v>
      </c>
      <c r="D27" s="297">
        <v>0</v>
      </c>
      <c r="E27" s="395"/>
      <c r="F27" s="385">
        <v>24</v>
      </c>
      <c r="G27" s="388"/>
      <c r="H27" s="295">
        <v>72</v>
      </c>
      <c r="I27" s="286">
        <f t="shared" si="0"/>
        <v>72</v>
      </c>
      <c r="J27" s="289">
        <f t="shared" si="1"/>
        <v>36</v>
      </c>
      <c r="L27" s="276">
        <v>23</v>
      </c>
      <c r="M27" s="293">
        <v>20</v>
      </c>
      <c r="N27" s="297">
        <v>0</v>
      </c>
    </row>
    <row r="28" spans="1:14" ht="15.75" thickBot="1" x14ac:dyDescent="0.25">
      <c r="A28" s="386">
        <v>1</v>
      </c>
      <c r="B28" s="276">
        <v>24</v>
      </c>
      <c r="C28" s="293">
        <v>0</v>
      </c>
      <c r="D28" s="297">
        <v>0</v>
      </c>
      <c r="E28" s="395"/>
      <c r="F28" s="386">
        <v>1</v>
      </c>
      <c r="G28" s="389"/>
      <c r="H28" s="296">
        <v>77</v>
      </c>
      <c r="I28" s="390">
        <f t="shared" si="0"/>
        <v>77</v>
      </c>
      <c r="J28" s="290">
        <f>(H28/2)</f>
        <v>38.5</v>
      </c>
      <c r="L28" s="276">
        <v>24</v>
      </c>
      <c r="M28" s="293">
        <v>20</v>
      </c>
      <c r="N28" s="297">
        <v>0</v>
      </c>
    </row>
    <row r="29" spans="1:14" ht="16.5" thickTop="1" thickBot="1" x14ac:dyDescent="0.25">
      <c r="B29" s="277"/>
      <c r="C29" s="278">
        <f>SUM(C5:C28)</f>
        <v>0</v>
      </c>
      <c r="D29" s="279">
        <f>SUM(D5:D28)</f>
        <v>0</v>
      </c>
      <c r="E29" s="291"/>
      <c r="F29" s="291"/>
      <c r="G29" s="291"/>
      <c r="H29" s="291"/>
      <c r="L29" s="277"/>
      <c r="M29" s="391">
        <f>SUM(M5:M28)</f>
        <v>480</v>
      </c>
      <c r="N29" s="279">
        <f>SUM(N5:N28)</f>
        <v>0</v>
      </c>
    </row>
    <row r="30" spans="1:14" x14ac:dyDescent="0.2">
      <c r="H30" s="261" t="s">
        <v>126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R37"/>
  <sheetViews>
    <sheetView showGridLines="0" zoomScale="85" workbookViewId="0"/>
  </sheetViews>
  <sheetFormatPr defaultRowHeight="12.75" x14ac:dyDescent="0.2"/>
  <cols>
    <col min="1" max="1" width="3.5703125" customWidth="1"/>
    <col min="2" max="2" width="13.28515625" customWidth="1"/>
    <col min="3" max="3" width="12.28515625" customWidth="1"/>
    <col min="4" max="4" width="13.28515625" customWidth="1"/>
    <col min="5" max="5" width="14.7109375" customWidth="1"/>
    <col min="8" max="8" width="11.7109375" customWidth="1"/>
    <col min="9" max="9" width="12.28515625" customWidth="1"/>
    <col min="10" max="10" width="15.28515625" customWidth="1"/>
    <col min="11" max="11" width="13.28515625" customWidth="1"/>
    <col min="12" max="12" width="10.42578125" customWidth="1"/>
    <col min="13" max="14" width="7.85546875" customWidth="1"/>
    <col min="15" max="15" width="8" customWidth="1"/>
    <col min="16" max="16" width="7.7109375" customWidth="1"/>
  </cols>
  <sheetData>
    <row r="1" spans="1:18" ht="15.75" x14ac:dyDescent="0.25">
      <c r="A1" s="50"/>
      <c r="B1" s="401" t="s">
        <v>16</v>
      </c>
      <c r="C1" s="401"/>
      <c r="D1" s="401"/>
      <c r="E1" s="401"/>
      <c r="F1" s="401"/>
      <c r="G1" s="401"/>
      <c r="H1" s="401"/>
      <c r="I1" s="401"/>
      <c r="J1" s="50"/>
      <c r="K1" s="350"/>
      <c r="L1" s="1"/>
      <c r="M1" s="1"/>
      <c r="N1" s="1"/>
      <c r="O1" s="1"/>
      <c r="P1" s="1"/>
    </row>
    <row r="2" spans="1:18" x14ac:dyDescent="0.2">
      <c r="A2" s="50"/>
      <c r="B2" s="50"/>
      <c r="C2" s="50"/>
      <c r="D2" s="50"/>
      <c r="E2" s="50"/>
      <c r="F2" s="50"/>
      <c r="G2" s="50"/>
      <c r="H2" s="129" t="s">
        <v>90</v>
      </c>
      <c r="I2" s="149">
        <v>19</v>
      </c>
      <c r="J2" s="50"/>
      <c r="K2" s="1"/>
      <c r="L2" s="1"/>
      <c r="M2" s="1"/>
      <c r="N2" s="1"/>
      <c r="O2" s="1"/>
      <c r="P2" s="1"/>
    </row>
    <row r="3" spans="1:18" ht="15" x14ac:dyDescent="0.25">
      <c r="A3" s="50"/>
      <c r="B3" s="51"/>
      <c r="C3" s="52"/>
      <c r="D3" s="53" t="s">
        <v>62</v>
      </c>
      <c r="E3" s="262">
        <f>P29</f>
        <v>446</v>
      </c>
      <c r="F3" s="51"/>
      <c r="G3" s="52"/>
      <c r="H3" s="53" t="s">
        <v>5</v>
      </c>
      <c r="I3" s="240">
        <v>838</v>
      </c>
      <c r="K3" s="112" t="s">
        <v>69</v>
      </c>
      <c r="L3" s="111">
        <f>E3</f>
        <v>446</v>
      </c>
      <c r="M3" s="1"/>
      <c r="N3" s="1"/>
      <c r="O3" s="1"/>
      <c r="P3" s="1"/>
    </row>
    <row r="4" spans="1:18" ht="15" x14ac:dyDescent="0.25">
      <c r="A4" s="50"/>
      <c r="B4" s="54"/>
      <c r="C4" s="55"/>
      <c r="D4" s="56" t="s">
        <v>0</v>
      </c>
      <c r="E4" s="303">
        <f>O32</f>
        <v>704</v>
      </c>
      <c r="F4" s="54"/>
      <c r="G4" s="55"/>
      <c r="H4" s="56" t="s">
        <v>3</v>
      </c>
      <c r="I4" s="7">
        <v>14</v>
      </c>
      <c r="K4" s="113" t="s">
        <v>70</v>
      </c>
      <c r="L4" s="313">
        <f>O29</f>
        <v>307</v>
      </c>
      <c r="M4" s="1"/>
      <c r="N4" s="1"/>
      <c r="O4" s="1"/>
      <c r="P4" s="1"/>
    </row>
    <row r="5" spans="1:18" ht="15" x14ac:dyDescent="0.25">
      <c r="A5" s="50"/>
      <c r="B5" s="54"/>
      <c r="C5" s="55"/>
      <c r="D5" s="56" t="s">
        <v>34</v>
      </c>
      <c r="E5" s="2">
        <v>0</v>
      </c>
      <c r="F5" s="54"/>
      <c r="G5" s="55"/>
      <c r="H5" s="56" t="s">
        <v>4</v>
      </c>
      <c r="I5" s="7">
        <v>25</v>
      </c>
      <c r="K5" s="114" t="s">
        <v>68</v>
      </c>
      <c r="L5" s="127">
        <f>L3-L4</f>
        <v>139</v>
      </c>
      <c r="M5" s="1"/>
      <c r="N5" s="1"/>
      <c r="O5" s="1"/>
      <c r="P5" s="1"/>
    </row>
    <row r="6" spans="1:18" ht="15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N6" s="1"/>
      <c r="O6" s="1"/>
      <c r="P6" s="1"/>
    </row>
    <row r="7" spans="1:18" ht="15" x14ac:dyDescent="0.25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30</v>
      </c>
      <c r="J7" s="124" t="s">
        <v>76</v>
      </c>
      <c r="K7" s="115">
        <v>118</v>
      </c>
      <c r="L7" s="109" t="s">
        <v>78</v>
      </c>
      <c r="M7" s="304">
        <f>P29</f>
        <v>446</v>
      </c>
      <c r="N7" s="128"/>
      <c r="O7" s="128"/>
      <c r="P7" s="1"/>
    </row>
    <row r="8" spans="1:18" ht="15" x14ac:dyDescent="0.25">
      <c r="A8" s="50"/>
      <c r="B8" s="57"/>
      <c r="C8" s="58"/>
      <c r="D8" s="59"/>
      <c r="E8" s="3">
        <v>0</v>
      </c>
      <c r="F8" s="57"/>
      <c r="G8" s="58"/>
      <c r="H8" s="59" t="s">
        <v>31</v>
      </c>
      <c r="I8" s="241">
        <v>0</v>
      </c>
      <c r="J8" s="125" t="s">
        <v>77</v>
      </c>
      <c r="K8" s="116">
        <v>50</v>
      </c>
      <c r="L8" s="126" t="s">
        <v>135</v>
      </c>
      <c r="M8" s="116">
        <v>69</v>
      </c>
      <c r="N8" s="128"/>
      <c r="O8" s="128"/>
      <c r="P8" s="1"/>
    </row>
    <row r="9" spans="1:18" ht="15.75" thickBot="1" x14ac:dyDescent="0.3">
      <c r="A9" s="50"/>
      <c r="B9" s="54"/>
      <c r="C9" s="55"/>
      <c r="D9" s="56" t="s">
        <v>2</v>
      </c>
      <c r="E9" s="60">
        <f>+SUM(E3:E7)</f>
        <v>1150</v>
      </c>
      <c r="F9" s="54"/>
      <c r="G9" s="55"/>
      <c r="H9" s="56" t="s">
        <v>6</v>
      </c>
      <c r="I9" s="61">
        <f>SUM(I3:I8)</f>
        <v>1057</v>
      </c>
      <c r="J9" s="50"/>
      <c r="K9" s="123">
        <f>K7-K8</f>
        <v>68</v>
      </c>
      <c r="M9" s="263">
        <f>SUM(M7:M8)</f>
        <v>515</v>
      </c>
      <c r="N9" s="37"/>
      <c r="O9" s="37"/>
      <c r="P9" s="1"/>
    </row>
    <row r="10" spans="1:18" ht="15" thickTop="1" x14ac:dyDescent="0.2">
      <c r="A10" s="50"/>
      <c r="B10" s="54"/>
      <c r="C10" s="55"/>
      <c r="D10" s="62"/>
      <c r="E10" s="63"/>
      <c r="F10" s="54"/>
      <c r="G10" s="55"/>
      <c r="H10" s="62"/>
      <c r="I10" s="64"/>
      <c r="J10" s="50"/>
      <c r="K10" s="1"/>
      <c r="L10" s="1"/>
      <c r="M10" s="1"/>
      <c r="N10" s="1"/>
      <c r="O10" s="1"/>
      <c r="P10" s="1"/>
    </row>
    <row r="11" spans="1:18" ht="15" x14ac:dyDescent="0.25">
      <c r="A11" s="50"/>
      <c r="B11" s="51"/>
      <c r="C11" s="52"/>
      <c r="D11" s="53" t="s">
        <v>7</v>
      </c>
      <c r="E11" s="105">
        <v>98</v>
      </c>
      <c r="F11" s="65"/>
      <c r="G11" s="52"/>
      <c r="H11" s="53" t="s">
        <v>9</v>
      </c>
      <c r="I11" s="309">
        <f>Calculations!M20</f>
        <v>53</v>
      </c>
      <c r="J11" s="117" t="s">
        <v>151</v>
      </c>
      <c r="K11" s="1"/>
      <c r="L11" s="184"/>
      <c r="M11" s="36"/>
      <c r="N11" s="185"/>
      <c r="O11" s="186"/>
      <c r="P11" s="187"/>
      <c r="Q11" s="185"/>
      <c r="R11" s="186"/>
    </row>
    <row r="12" spans="1:18" ht="15" x14ac:dyDescent="0.25">
      <c r="A12" s="50"/>
      <c r="B12" s="54"/>
      <c r="C12" s="55"/>
      <c r="D12" s="56" t="s">
        <v>36</v>
      </c>
      <c r="E12" s="106">
        <f>0.5*E11</f>
        <v>49</v>
      </c>
      <c r="F12" s="67"/>
      <c r="G12" s="55"/>
      <c r="H12" s="56" t="s">
        <v>39</v>
      </c>
      <c r="I12" s="310">
        <v>100</v>
      </c>
      <c r="J12" s="50"/>
      <c r="K12" s="1"/>
      <c r="L12" s="187"/>
      <c r="M12" s="261" t="s">
        <v>126</v>
      </c>
      <c r="N12" s="187"/>
      <c r="O12" s="187"/>
      <c r="P12" s="36"/>
      <c r="Q12" s="187"/>
      <c r="R12" s="187"/>
    </row>
    <row r="13" spans="1:18" ht="15" x14ac:dyDescent="0.25">
      <c r="A13" s="50"/>
      <c r="B13" s="54"/>
      <c r="C13" s="55"/>
      <c r="D13" s="56" t="s">
        <v>37</v>
      </c>
      <c r="E13" s="106">
        <f>+E11-E12</f>
        <v>49</v>
      </c>
      <c r="F13" s="67"/>
      <c r="G13" s="55"/>
      <c r="H13" s="56" t="s">
        <v>10</v>
      </c>
      <c r="I13" s="310">
        <v>25</v>
      </c>
      <c r="J13" s="50"/>
      <c r="K13" s="1"/>
      <c r="L13" s="187"/>
      <c r="M13" s="188"/>
      <c r="N13" s="188"/>
      <c r="O13" s="188"/>
      <c r="P13" s="187"/>
      <c r="Q13" s="187"/>
      <c r="R13" s="187"/>
    </row>
    <row r="14" spans="1:18" ht="15" x14ac:dyDescent="0.25">
      <c r="A14" s="50"/>
      <c r="B14" s="57"/>
      <c r="C14" s="58"/>
      <c r="D14" s="59" t="s">
        <v>65</v>
      </c>
      <c r="E14" s="107">
        <f>SpinReq+30</f>
        <v>67.5</v>
      </c>
      <c r="F14" s="68"/>
      <c r="G14" s="58"/>
      <c r="H14" s="59" t="s">
        <v>11</v>
      </c>
      <c r="I14" s="311">
        <v>0</v>
      </c>
      <c r="J14" s="50"/>
      <c r="K14" s="1"/>
      <c r="L14" s="187"/>
      <c r="M14" s="188"/>
      <c r="N14" s="188"/>
      <c r="O14" s="188"/>
      <c r="P14" s="188"/>
      <c r="Q14" s="188"/>
      <c r="R14" s="188"/>
    </row>
    <row r="15" spans="1:18" ht="15" thickBot="1" x14ac:dyDescent="0.25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85</v>
      </c>
      <c r="K15" s="194">
        <f>'Calculator-Hourly'!K15</f>
        <v>19.5</v>
      </c>
      <c r="L15" s="187"/>
      <c r="N15" s="188"/>
      <c r="O15" s="188"/>
      <c r="P15" s="188"/>
      <c r="Q15" s="188"/>
      <c r="R15" s="188"/>
    </row>
    <row r="16" spans="1:18" ht="15.75" thickTop="1" x14ac:dyDescent="0.25">
      <c r="A16" s="50"/>
      <c r="B16" s="51"/>
      <c r="C16" s="52"/>
      <c r="D16" s="53" t="s">
        <v>41</v>
      </c>
      <c r="E16" s="118">
        <f>+E9-I9</f>
        <v>93</v>
      </c>
      <c r="F16" s="108">
        <f>SpinReq+Nonspin</f>
        <v>75.5</v>
      </c>
      <c r="G16" s="402" t="s">
        <v>23</v>
      </c>
      <c r="H16" s="403"/>
      <c r="I16" s="403"/>
      <c r="J16" s="404"/>
      <c r="L16" s="187"/>
      <c r="M16" s="358"/>
      <c r="N16" s="382" t="s">
        <v>168</v>
      </c>
      <c r="O16" s="362" t="s">
        <v>133</v>
      </c>
      <c r="P16" s="362" t="s">
        <v>134</v>
      </c>
      <c r="Q16" s="371" t="s">
        <v>138</v>
      </c>
      <c r="R16" s="375" t="s">
        <v>167</v>
      </c>
    </row>
    <row r="17" spans="1:18" ht="15" x14ac:dyDescent="0.25">
      <c r="A17" s="50"/>
      <c r="B17" s="54"/>
      <c r="C17" s="55"/>
      <c r="D17" s="56" t="s">
        <v>12</v>
      </c>
      <c r="E17" s="119">
        <f>+IF((I14-E7+I4-I11+I5-I13+I6-I12-E6+I8)&lt;0,0,(I14-E7+I4-I11+I5-I13+I6-I12-E6+I8))</f>
        <v>11</v>
      </c>
      <c r="F17" s="108">
        <f>E14+Nonspin</f>
        <v>105.5</v>
      </c>
      <c r="G17" s="51"/>
      <c r="H17" s="71"/>
      <c r="I17" s="53" t="s">
        <v>17</v>
      </c>
      <c r="J17" s="72" t="s">
        <v>18</v>
      </c>
      <c r="K17" s="1"/>
      <c r="L17" s="187"/>
      <c r="M17" s="376"/>
      <c r="N17" s="351" t="s">
        <v>130</v>
      </c>
      <c r="O17" s="266">
        <v>0</v>
      </c>
      <c r="P17" s="368">
        <v>0</v>
      </c>
      <c r="Q17" s="372">
        <f>+MIN(P17-O17,R17*10)</f>
        <v>0</v>
      </c>
      <c r="R17" s="357">
        <v>3</v>
      </c>
    </row>
    <row r="18" spans="1:18" ht="15" x14ac:dyDescent="0.25">
      <c r="A18" s="50"/>
      <c r="B18" s="54"/>
      <c r="C18" s="55"/>
      <c r="D18" s="73" t="s">
        <v>45</v>
      </c>
      <c r="E18" s="74">
        <f>E16+E17</f>
        <v>104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376"/>
      <c r="N18" s="351">
        <v>2</v>
      </c>
      <c r="O18" s="266">
        <v>39</v>
      </c>
      <c r="P18" s="368">
        <v>46</v>
      </c>
      <c r="Q18" s="373">
        <f t="shared" ref="Q18:Q28" si="0">+MIN(P18-O18,R18*10)</f>
        <v>7</v>
      </c>
      <c r="R18" s="358">
        <v>4.5</v>
      </c>
    </row>
    <row r="19" spans="1:18" ht="15" x14ac:dyDescent="0.25">
      <c r="A19" s="50"/>
      <c r="B19" s="54"/>
      <c r="C19" s="55"/>
      <c r="D19" s="73" t="s">
        <v>38</v>
      </c>
      <c r="E19" s="75">
        <f>+E16-E12-IF((E17-E13)&lt;0,E13-E17,0)</f>
        <v>6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376"/>
      <c r="N19" s="351">
        <v>3</v>
      </c>
      <c r="O19" s="266">
        <v>39</v>
      </c>
      <c r="P19" s="368">
        <v>101</v>
      </c>
      <c r="Q19" s="373">
        <f t="shared" si="0"/>
        <v>33.700000000000003</v>
      </c>
      <c r="R19" s="358">
        <v>3.37</v>
      </c>
    </row>
    <row r="20" spans="1:18" ht="15" x14ac:dyDescent="0.25">
      <c r="A20" s="50"/>
      <c r="B20" s="54"/>
      <c r="C20" s="55"/>
      <c r="D20" s="56" t="s">
        <v>8</v>
      </c>
      <c r="E20" s="242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376"/>
      <c r="N20" s="351" t="s">
        <v>162</v>
      </c>
      <c r="O20" s="266">
        <v>0</v>
      </c>
      <c r="P20" s="368">
        <v>0</v>
      </c>
      <c r="Q20" s="373">
        <f t="shared" si="0"/>
        <v>0</v>
      </c>
      <c r="R20" s="358">
        <v>10</v>
      </c>
    </row>
    <row r="21" spans="1:18" ht="15" x14ac:dyDescent="0.25">
      <c r="A21" s="50"/>
      <c r="B21" s="54"/>
      <c r="C21" s="55"/>
      <c r="D21" s="56" t="s">
        <v>13</v>
      </c>
      <c r="E21" s="242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376"/>
      <c r="N21" s="353" t="s">
        <v>163</v>
      </c>
      <c r="O21" s="364">
        <v>0</v>
      </c>
      <c r="P21" s="344">
        <v>0</v>
      </c>
      <c r="Q21" s="373">
        <f t="shared" si="0"/>
        <v>0</v>
      </c>
      <c r="R21" s="358">
        <v>10</v>
      </c>
    </row>
    <row r="22" spans="1:18" ht="15.75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377"/>
      <c r="N22" s="353" t="s">
        <v>164</v>
      </c>
      <c r="O22" s="364">
        <v>0</v>
      </c>
      <c r="P22" s="344">
        <v>0</v>
      </c>
      <c r="Q22" s="373">
        <f t="shared" si="0"/>
        <v>0</v>
      </c>
      <c r="R22" s="358">
        <v>3.33</v>
      </c>
    </row>
    <row r="23" spans="1:18" ht="15.75" thickTop="1" x14ac:dyDescent="0.25">
      <c r="A23" s="50"/>
      <c r="B23" s="77"/>
      <c r="C23" s="78"/>
      <c r="D23" s="79" t="s">
        <v>43</v>
      </c>
      <c r="E23" s="80">
        <f>E19</f>
        <v>6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189"/>
      <c r="M23" s="377"/>
      <c r="N23" s="353" t="s">
        <v>165</v>
      </c>
      <c r="O23" s="364">
        <v>0</v>
      </c>
      <c r="P23" s="344">
        <v>0</v>
      </c>
      <c r="Q23" s="373">
        <f t="shared" si="0"/>
        <v>0</v>
      </c>
      <c r="R23" s="358">
        <v>3.6</v>
      </c>
    </row>
    <row r="24" spans="1:18" ht="14.25" x14ac:dyDescent="0.2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378"/>
      <c r="N24" s="351" t="s">
        <v>166</v>
      </c>
      <c r="O24" s="266">
        <v>165</v>
      </c>
      <c r="P24" s="368">
        <v>202</v>
      </c>
      <c r="Q24" s="373">
        <f t="shared" si="0"/>
        <v>36</v>
      </c>
      <c r="R24" s="358">
        <v>3.6</v>
      </c>
    </row>
    <row r="25" spans="1:18" ht="15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26.5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379"/>
      <c r="N25" s="355" t="s">
        <v>135</v>
      </c>
      <c r="O25" s="356">
        <v>0</v>
      </c>
      <c r="P25" s="369">
        <v>0</v>
      </c>
      <c r="Q25" s="373">
        <f t="shared" si="0"/>
        <v>0</v>
      </c>
      <c r="R25" s="358">
        <v>10</v>
      </c>
    </row>
    <row r="26" spans="1:18" ht="15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380"/>
      <c r="N26" s="352">
        <v>6</v>
      </c>
      <c r="O26" s="266">
        <v>32</v>
      </c>
      <c r="P26" s="368">
        <v>48</v>
      </c>
      <c r="Q26" s="373">
        <f t="shared" si="0"/>
        <v>16</v>
      </c>
      <c r="R26" s="358">
        <v>2</v>
      </c>
    </row>
    <row r="27" spans="1:18" ht="15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378"/>
      <c r="N27" s="352">
        <v>7</v>
      </c>
      <c r="O27" s="266">
        <v>32</v>
      </c>
      <c r="P27" s="368">
        <v>49</v>
      </c>
      <c r="Q27" s="373">
        <f t="shared" si="0"/>
        <v>17</v>
      </c>
      <c r="R27" s="358">
        <v>2.1</v>
      </c>
    </row>
    <row r="28" spans="1:18" ht="15.75" thickBot="1" x14ac:dyDescent="0.3">
      <c r="A28" s="50"/>
      <c r="B28" s="314"/>
      <c r="C28" s="314"/>
      <c r="D28" s="318"/>
      <c r="E28" s="314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381"/>
      <c r="N28" s="354">
        <v>8</v>
      </c>
      <c r="O28" s="267">
        <v>0</v>
      </c>
      <c r="P28" s="370">
        <v>0</v>
      </c>
      <c r="Q28" s="374">
        <f t="shared" si="0"/>
        <v>0</v>
      </c>
      <c r="R28" s="359">
        <v>2.1</v>
      </c>
    </row>
    <row r="29" spans="1:18" ht="16.5" thickTop="1" thickBot="1" x14ac:dyDescent="0.3">
      <c r="A29" s="50"/>
      <c r="B29" s="315"/>
      <c r="C29" s="314"/>
      <c r="D29" s="317"/>
      <c r="E29" s="314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72" t="s">
        <v>97</v>
      </c>
      <c r="O29" s="307">
        <f>SUM(O17:O28)</f>
        <v>307</v>
      </c>
      <c r="P29" s="366">
        <f>SUM(P17:P28)</f>
        <v>446</v>
      </c>
      <c r="Q29" s="367">
        <f>SUM(Q17:Q28)</f>
        <v>109.7</v>
      </c>
      <c r="R29" s="360"/>
    </row>
    <row r="30" spans="1:18" ht="15.75" thickTop="1" x14ac:dyDescent="0.25">
      <c r="A30" s="50"/>
      <c r="B30" s="315"/>
      <c r="C30" s="316"/>
      <c r="D30" s="317"/>
      <c r="E30" s="314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/>
      <c r="M30" s="1"/>
      <c r="N30" s="270" t="s">
        <v>131</v>
      </c>
      <c r="O30" s="268">
        <v>104</v>
      </c>
      <c r="P30" s="271">
        <v>104</v>
      </c>
      <c r="Q30" s="363"/>
      <c r="R30" s="1"/>
    </row>
    <row r="31" spans="1:18" ht="15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9" t="s">
        <v>132</v>
      </c>
      <c r="O31" s="268">
        <v>600</v>
      </c>
      <c r="P31" s="271">
        <v>600</v>
      </c>
      <c r="Q31" s="1"/>
      <c r="R31" s="1"/>
    </row>
    <row r="32" spans="1:18" ht="15.75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319">
        <f>K23-K30</f>
        <v>0</v>
      </c>
      <c r="L32" s="1"/>
      <c r="M32" s="1"/>
      <c r="N32" s="273"/>
      <c r="O32" s="302">
        <f>SUM(O30:O31)</f>
        <v>704</v>
      </c>
      <c r="P32" s="274">
        <f>SUM(P30:P31)</f>
        <v>704</v>
      </c>
      <c r="Q32" s="1"/>
      <c r="R32" s="1"/>
    </row>
    <row r="33" spans="1:16" ht="13.5" thickTop="1" x14ac:dyDescent="0.2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</row>
    <row r="34" spans="1:16" x14ac:dyDescent="0.2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383" t="s">
        <v>169</v>
      </c>
      <c r="O34" s="1"/>
      <c r="P34" s="1"/>
    </row>
    <row r="35" spans="1:16" x14ac:dyDescent="0.2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</row>
    <row r="36" spans="1:16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2">
    <mergeCell ref="B1:I1"/>
    <mergeCell ref="G16:J16"/>
  </mergeCells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Calculator-Hourly</vt:lpstr>
      <vt:lpstr>Load</vt:lpstr>
      <vt:lpstr>Last Year's Load</vt:lpstr>
      <vt:lpstr>Calculations</vt:lpstr>
      <vt:lpstr>Spin</vt:lpstr>
      <vt:lpstr>Calculator-Peak</vt:lpstr>
      <vt:lpstr>Deficiency</vt:lpstr>
      <vt:lpstr>NFPurchase</vt:lpstr>
      <vt:lpstr>Nonspin</vt:lpstr>
      <vt:lpstr>NonSpinReq</vt:lpstr>
      <vt:lpstr>Calculations!Print_Area</vt:lpstr>
      <vt:lpstr>'Calculator-Hourly'!Print_Area</vt:lpstr>
      <vt:lpstr>'Calculator-Peak'!Print_Area</vt:lpstr>
      <vt:lpstr>Load!Print_Area</vt:lpstr>
      <vt:lpstr>Spin</vt:lpstr>
      <vt:lpstr>SpinReq</vt:lpstr>
      <vt:lpstr>TotalSpin</vt:lpstr>
      <vt:lpstr>TotalSpinReq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Jan Havlíček</cp:lastModifiedBy>
  <cp:lastPrinted>2000-01-17T22:06:58Z</cp:lastPrinted>
  <dcterms:created xsi:type="dcterms:W3CDTF">1998-09-28T18:26:36Z</dcterms:created>
  <dcterms:modified xsi:type="dcterms:W3CDTF">2023-09-09T18:58:18Z</dcterms:modified>
</cp:coreProperties>
</file>