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946200-1ED3-4931-ABDA-C2F767F32B0E}" xr6:coauthVersionLast="47" xr6:coauthVersionMax="47" xr10:uidLastSave="{00000000-0000-0000-0000-000000000000}"/>
  <bookViews>
    <workbookView xWindow="-120" yWindow="-120" windowWidth="38640" windowHeight="15720"/>
  </bookViews>
  <sheets>
    <sheet name="Real Time" sheetId="1" r:id="rId1"/>
  </sheets>
  <externalReferences>
    <externalReference r:id="rId2"/>
  </externalReferences>
  <definedNames>
    <definedName name="_xlnm.Print_Area" localSheetId="0">'Real Time'!$A$1:$V$131</definedName>
    <definedName name="_xlnm.Print_Titles" localSheetId="0">'Real Time'!$1:$8</definedName>
    <definedName name="SAPFuncF4Help" localSheetId="0" hidden="1">Main.SAPF4Help()</definedName>
    <definedName name="SAPFuncF4Help" hidden="1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H23" i="1"/>
  <c r="J23" i="1"/>
  <c r="L23" i="1"/>
  <c r="N23" i="1"/>
  <c r="C24" i="1"/>
  <c r="D24" i="1"/>
  <c r="J26" i="1"/>
  <c r="N26" i="1"/>
  <c r="J27" i="1"/>
  <c r="J28" i="1"/>
  <c r="J29" i="1"/>
  <c r="N29" i="1"/>
  <c r="N31" i="1"/>
  <c r="P31" i="1"/>
  <c r="Q31" i="1"/>
  <c r="N36" i="1"/>
  <c r="J39" i="1"/>
  <c r="N39" i="1"/>
  <c r="P39" i="1"/>
  <c r="S39" i="1"/>
  <c r="H40" i="1"/>
  <c r="J40" i="1"/>
  <c r="L40" i="1"/>
  <c r="N40" i="1"/>
  <c r="P40" i="1"/>
  <c r="Q40" i="1"/>
  <c r="S40" i="1"/>
  <c r="H43" i="1"/>
  <c r="J43" i="1"/>
  <c r="L43" i="1"/>
  <c r="N43" i="1"/>
  <c r="P43" i="1"/>
  <c r="Q43" i="1"/>
  <c r="H44" i="1"/>
  <c r="J44" i="1"/>
  <c r="L44" i="1"/>
  <c r="N44" i="1"/>
  <c r="H45" i="1"/>
  <c r="J45" i="1"/>
  <c r="L45" i="1"/>
  <c r="N45" i="1"/>
  <c r="P46" i="1"/>
  <c r="Q46" i="1"/>
  <c r="J49" i="1"/>
  <c r="P49" i="1"/>
  <c r="Q49" i="1"/>
  <c r="H50" i="1"/>
  <c r="J50" i="1"/>
  <c r="L50" i="1"/>
  <c r="P50" i="1"/>
  <c r="Q50" i="1"/>
  <c r="H51" i="1"/>
  <c r="J51" i="1"/>
  <c r="L51" i="1"/>
  <c r="P51" i="1"/>
  <c r="Q51" i="1"/>
  <c r="H52" i="1"/>
  <c r="J52" i="1"/>
  <c r="L52" i="1"/>
  <c r="H53" i="1"/>
  <c r="J53" i="1"/>
  <c r="L53" i="1"/>
  <c r="P53" i="1"/>
  <c r="Q53" i="1"/>
  <c r="H54" i="1"/>
  <c r="J54" i="1"/>
  <c r="L54" i="1"/>
  <c r="H55" i="1"/>
  <c r="J55" i="1"/>
  <c r="L55" i="1"/>
  <c r="H56" i="1"/>
  <c r="J56" i="1"/>
  <c r="L56" i="1"/>
  <c r="P56" i="1"/>
  <c r="Q56" i="1"/>
  <c r="S56" i="1"/>
  <c r="H57" i="1"/>
  <c r="J57" i="1"/>
  <c r="L57" i="1"/>
  <c r="N57" i="1"/>
  <c r="P57" i="1"/>
  <c r="Q57" i="1"/>
  <c r="S57" i="1"/>
  <c r="H60" i="1"/>
  <c r="J60" i="1"/>
  <c r="L60" i="1"/>
  <c r="J61" i="1"/>
  <c r="J62" i="1"/>
  <c r="J63" i="1"/>
  <c r="J64" i="1"/>
  <c r="H65" i="1"/>
  <c r="J65" i="1"/>
  <c r="L65" i="1"/>
  <c r="N65" i="1"/>
  <c r="H66" i="1"/>
  <c r="J66" i="1"/>
  <c r="L66" i="1"/>
  <c r="J67" i="1"/>
  <c r="H68" i="1"/>
  <c r="J68" i="1"/>
  <c r="L68" i="1"/>
  <c r="N68" i="1"/>
  <c r="J71" i="1"/>
  <c r="Q71" i="1"/>
  <c r="J72" i="1"/>
  <c r="P72" i="1"/>
  <c r="Q72" i="1"/>
  <c r="H73" i="1"/>
  <c r="J73" i="1"/>
  <c r="L73" i="1"/>
  <c r="N73" i="1"/>
  <c r="P73" i="1"/>
  <c r="Q73" i="1"/>
  <c r="S73" i="1"/>
  <c r="H76" i="1"/>
  <c r="J76" i="1"/>
  <c r="L76" i="1"/>
  <c r="P76" i="1"/>
  <c r="Q76" i="1"/>
  <c r="J77" i="1"/>
  <c r="N77" i="1"/>
  <c r="P77" i="1"/>
  <c r="Q77" i="1"/>
  <c r="J78" i="1"/>
  <c r="N78" i="1"/>
  <c r="H79" i="1"/>
  <c r="J79" i="1"/>
  <c r="L79" i="1"/>
  <c r="H80" i="1"/>
  <c r="J80" i="1"/>
  <c r="L80" i="1"/>
  <c r="H81" i="1"/>
  <c r="J81" i="1"/>
  <c r="L81" i="1"/>
  <c r="J82" i="1"/>
  <c r="N82" i="1"/>
  <c r="J83" i="1"/>
  <c r="N83" i="1"/>
  <c r="H84" i="1"/>
  <c r="J84" i="1"/>
  <c r="L84" i="1"/>
  <c r="H85" i="1"/>
  <c r="J85" i="1"/>
  <c r="L85" i="1"/>
  <c r="N85" i="1"/>
  <c r="P85" i="1"/>
  <c r="Q85" i="1"/>
  <c r="S85" i="1"/>
  <c r="H88" i="1"/>
  <c r="J88" i="1"/>
  <c r="L88" i="1"/>
  <c r="P88" i="1"/>
  <c r="Q88" i="1"/>
  <c r="H89" i="1"/>
  <c r="J89" i="1"/>
  <c r="L89" i="1"/>
  <c r="P89" i="1"/>
  <c r="Q89" i="1"/>
  <c r="H90" i="1"/>
  <c r="J90" i="1"/>
  <c r="L90" i="1"/>
  <c r="Q90" i="1"/>
  <c r="H91" i="1"/>
  <c r="J91" i="1"/>
  <c r="L91" i="1"/>
  <c r="N91" i="1"/>
  <c r="P91" i="1"/>
  <c r="Q91" i="1"/>
  <c r="S91" i="1"/>
  <c r="H94" i="1"/>
  <c r="J94" i="1"/>
  <c r="L94" i="1"/>
  <c r="P94" i="1"/>
  <c r="Q94" i="1"/>
  <c r="P95" i="1"/>
  <c r="Q95" i="1"/>
  <c r="S95" i="1"/>
  <c r="H98" i="1"/>
  <c r="J98" i="1"/>
  <c r="L98" i="1"/>
  <c r="Q98" i="1"/>
  <c r="P99" i="1"/>
  <c r="Q99" i="1"/>
  <c r="S99" i="1"/>
  <c r="H102" i="1"/>
  <c r="J102" i="1"/>
  <c r="L102" i="1"/>
  <c r="Q102" i="1"/>
  <c r="H103" i="1"/>
  <c r="J103" i="1"/>
  <c r="L103" i="1"/>
  <c r="P103" i="1"/>
  <c r="Q103" i="1"/>
  <c r="H104" i="1"/>
  <c r="J104" i="1"/>
  <c r="L104" i="1"/>
  <c r="N104" i="1"/>
  <c r="P104" i="1"/>
  <c r="Q104" i="1"/>
  <c r="S104" i="1"/>
  <c r="P106" i="1"/>
  <c r="Q106" i="1"/>
  <c r="H107" i="1"/>
  <c r="J107" i="1"/>
  <c r="L107" i="1"/>
  <c r="N110" i="1"/>
  <c r="Q110" i="1"/>
  <c r="H112" i="1"/>
  <c r="J112" i="1"/>
  <c r="P112" i="1"/>
  <c r="Q112" i="1"/>
  <c r="H114" i="1"/>
  <c r="J114" i="1"/>
  <c r="L114" i="1"/>
  <c r="P114" i="1"/>
  <c r="Q114" i="1"/>
  <c r="P117" i="1"/>
  <c r="Q117" i="1"/>
  <c r="J118" i="1"/>
  <c r="N118" i="1"/>
  <c r="H119" i="1"/>
  <c r="J119" i="1"/>
  <c r="L119" i="1"/>
  <c r="H120" i="1"/>
  <c r="J120" i="1"/>
  <c r="L120" i="1"/>
  <c r="N121" i="1"/>
  <c r="H122" i="1"/>
  <c r="J122" i="1"/>
  <c r="L122" i="1"/>
  <c r="N122" i="1"/>
  <c r="H124" i="1"/>
  <c r="J124" i="1"/>
  <c r="L124" i="1"/>
  <c r="H126" i="1"/>
  <c r="J126" i="1"/>
  <c r="L126" i="1"/>
  <c r="Q126" i="1"/>
  <c r="N127" i="1"/>
  <c r="Q127" i="1"/>
  <c r="H130" i="1"/>
  <c r="J130" i="1"/>
  <c r="L130" i="1"/>
  <c r="N130" i="1"/>
  <c r="P130" i="1"/>
  <c r="Q130" i="1"/>
  <c r="S130" i="1"/>
</calcChain>
</file>

<file path=xl/comments1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<sst xmlns="http://schemas.openxmlformats.org/spreadsheetml/2006/main" count="134" uniqueCount="132">
  <si>
    <t>West Power</t>
  </si>
  <si>
    <t>G &amp; A Expense Worksheet</t>
  </si>
  <si>
    <t>2002 Plan</t>
  </si>
  <si>
    <t>CC Name: Real Time Trading</t>
  </si>
  <si>
    <t>CC #:  107302</t>
  </si>
  <si>
    <t xml:space="preserve">June YTD </t>
  </si>
  <si>
    <t>2001</t>
  </si>
  <si>
    <t>TOTAL</t>
  </si>
  <si>
    <t>Estimated</t>
  </si>
  <si>
    <t xml:space="preserve">Planned </t>
  </si>
  <si>
    <t>Actuals 2001</t>
  </si>
  <si>
    <t>Forecast</t>
  </si>
  <si>
    <t>Plan</t>
  </si>
  <si>
    <t>2002</t>
  </si>
  <si>
    <t>2000 *</t>
  </si>
  <si>
    <t>Variance</t>
  </si>
  <si>
    <t>2000</t>
  </si>
  <si>
    <t>Assumptions</t>
  </si>
  <si>
    <t>Staffing Summary:</t>
  </si>
  <si>
    <t>Title</t>
  </si>
  <si>
    <t>Current HC</t>
  </si>
  <si>
    <t>2002 HC</t>
  </si>
  <si>
    <t xml:space="preserve">  Managing Dir</t>
  </si>
  <si>
    <t>Anderson, John  C. - Spec Trading Supt</t>
  </si>
  <si>
    <t xml:space="preserve">  VP</t>
  </si>
  <si>
    <t>Dean, Craig  G. - Specialist</t>
  </si>
  <si>
    <t xml:space="preserve">  Dir</t>
  </si>
  <si>
    <t>Guzman, Mark  A - Spec Trading Supt</t>
  </si>
  <si>
    <t xml:space="preserve">  Mgr</t>
  </si>
  <si>
    <t>Harasin, Leaf   - Specialist</t>
  </si>
  <si>
    <t xml:space="preserve">  Sr. Specialist</t>
  </si>
  <si>
    <t>Linder, Eric  R. - Specialist</t>
  </si>
  <si>
    <t xml:space="preserve">  Specialist</t>
  </si>
  <si>
    <t>Merriss, Steven  J. - Specialist</t>
  </si>
  <si>
    <t xml:space="preserve">  Associate</t>
  </si>
  <si>
    <t>Meyers, Albert  L. - Spec Trading Supt</t>
  </si>
  <si>
    <t xml:space="preserve">  Analyst</t>
  </si>
  <si>
    <t>Mier, Michael  G. - Specialist</t>
  </si>
  <si>
    <t xml:space="preserve">  Technical</t>
  </si>
  <si>
    <t>Porter, David  V - Spec Sr Trading Supt</t>
  </si>
  <si>
    <t xml:space="preserve">  Admin</t>
  </si>
  <si>
    <t>Presto, Darin  L. - Specialist</t>
  </si>
  <si>
    <t xml:space="preserve">  Other</t>
  </si>
  <si>
    <t>Slinger, Ryan   - Spec Trading Supt</t>
  </si>
  <si>
    <t xml:space="preserve">Solberg, Geir  R - Analyst </t>
  </si>
  <si>
    <t xml:space="preserve">  Total Headcount.</t>
  </si>
  <si>
    <t>Symes, Mary  K - Staff Tradind Supt</t>
  </si>
  <si>
    <t xml:space="preserve">  Total Hdcnt w/o A &amp; A</t>
  </si>
  <si>
    <t>Williams, William  J - Analyst - Rotation 2</t>
  </si>
  <si>
    <t xml:space="preserve">  Jan Salaries</t>
  </si>
  <si>
    <t>Jan</t>
  </si>
  <si>
    <t xml:space="preserve"> Merit Increase </t>
  </si>
  <si>
    <t xml:space="preserve"> Prom, Equity, Increase</t>
  </si>
  <si>
    <t xml:space="preserve">  Feb - Dec Salaries</t>
  </si>
  <si>
    <t>Feb-Dec</t>
  </si>
  <si>
    <t>Total 2002 Salaries Post Merit</t>
  </si>
  <si>
    <t>Other Compensation:</t>
  </si>
  <si>
    <t>Severance</t>
  </si>
  <si>
    <t>Personal Best Awards</t>
  </si>
  <si>
    <t>Interns &amp; Summer Hires</t>
  </si>
  <si>
    <t>Special Payments (Includes Employment Agreements)</t>
  </si>
  <si>
    <t>$5k in March, $5k in April</t>
  </si>
  <si>
    <t>Cost of Living Adjustments</t>
  </si>
  <si>
    <t xml:space="preserve">   Total Other Compensation</t>
  </si>
  <si>
    <t>Total Salaries &amp; Compensation</t>
  </si>
  <si>
    <t>Benefits/Payroll Taxes (excludes contract labor):</t>
  </si>
  <si>
    <t xml:space="preserve">   Total Benefits</t>
  </si>
  <si>
    <t xml:space="preserve">   Total Payroll Taxes</t>
  </si>
  <si>
    <t xml:space="preserve">    Total Benefits/Payroll Taxes</t>
  </si>
  <si>
    <t>Employee Expenses: (use rate per Avg Commercial employee)</t>
  </si>
  <si>
    <t xml:space="preserve">Conferences &amp; Training </t>
  </si>
  <si>
    <t>Employee Memberships &amp; Dues</t>
  </si>
  <si>
    <t>Overtime/Working Meals</t>
  </si>
  <si>
    <t>Employee Entertainment (Group Functions, etc.)</t>
  </si>
  <si>
    <t>Communications Exp (Pager/Cellular Exp)</t>
  </si>
  <si>
    <t>Club Dues</t>
  </si>
  <si>
    <t>Tuition Reimbursement</t>
  </si>
  <si>
    <t>Other Employee Expense</t>
  </si>
  <si>
    <t xml:space="preserve">  Total Employee Expenses</t>
  </si>
  <si>
    <t>Travel &amp; Entertainment Expense: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</si>
  <si>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</si>
  <si>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</si>
  <si>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</si>
  <si>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</si>
  <si>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</si>
  <si>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 xml:space="preserve">Total Travel </t>
  </si>
  <si>
    <t>Client Entertainment</t>
  </si>
  <si>
    <t>Customer Meetings</t>
  </si>
  <si>
    <t>Total Travel &amp; Entertainment Expense</t>
  </si>
  <si>
    <t>Recruiting &amp; Relocations: (use rate per Avg Commercial employee)</t>
  </si>
  <si>
    <t>Recruiting Expenses</t>
  </si>
  <si>
    <t>Relocation Expenses</t>
  </si>
  <si>
    <t xml:space="preserve">   Total Recruiting &amp; Relocations</t>
  </si>
  <si>
    <t>Outside Services: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</si>
  <si>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</si>
  <si>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</si>
  <si>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</si>
  <si>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</si>
  <si>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</si>
  <si>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</si>
  <si>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</si>
  <si>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</si>
  <si>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</si>
  <si>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 xml:space="preserve">  Total Outside Services</t>
  </si>
  <si>
    <t>Supplies &amp; Other Expenses: (use rate per Avg Total Employee)</t>
  </si>
  <si>
    <t>Subscriptions &amp; Periodicals</t>
  </si>
  <si>
    <t>Postage &amp; Freight Expenses</t>
  </si>
  <si>
    <t>Office Supplies &amp; Expense</t>
  </si>
  <si>
    <t xml:space="preserve">  Total Supplies &amp; Expenses</t>
  </si>
  <si>
    <t>Marketing: (use rate per Avg Commercial Employee)</t>
  </si>
  <si>
    <t>Advertising &amp; Promotions</t>
  </si>
  <si>
    <t>Charitable Contributions:</t>
  </si>
  <si>
    <t>Rents: (use current rental expense, increase by 5%)</t>
  </si>
  <si>
    <t>Rent - Office &amp; Warehouse</t>
  </si>
  <si>
    <t>Rent - Personal Property (Equipment, Parking, etc)</t>
  </si>
  <si>
    <t>Monthly: Tri-Met - $224, Parking Lot 108 - $346</t>
  </si>
  <si>
    <t xml:space="preserve">  Total Rents</t>
  </si>
  <si>
    <t>Technology (Computers, Monitors, Palm Pilots, etc.)</t>
  </si>
  <si>
    <t>Transportation</t>
  </si>
  <si>
    <t>Controllable Infrastructure (EIS charges)</t>
  </si>
  <si>
    <t>Corporate Rent (EPSC charges)</t>
  </si>
  <si>
    <t>(Includes graphics, concierge,  mail service, TAP svc fee, etc)</t>
  </si>
  <si>
    <t>Other Expenses</t>
  </si>
  <si>
    <t>Associate/Analyst (Use Flat Rates assigned)</t>
  </si>
  <si>
    <t>Analyst &amp; Associates were planned in Salaries, Benefits &amp; Other for 2001.</t>
  </si>
  <si>
    <t>Company Membership &amp; Dues</t>
  </si>
  <si>
    <t>Billable Expense Clearing</t>
  </si>
  <si>
    <t>Total Other Expenses</t>
  </si>
  <si>
    <t>Taxes Other than Income</t>
  </si>
  <si>
    <t>Depreciation</t>
  </si>
  <si>
    <t>Amortization</t>
  </si>
  <si>
    <t>Total G &amp; A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</si>
</sst>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69" formatCode="#,##0.0_);[Red]\(#,##0.0\)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name val="Arial"/>
      <family val="2"/>
    </font>
    <font>
      <b/>
      <sz val="12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168" fontId="2" fillId="0" borderId="0" applyFill="0" applyBorder="0" applyAlignment="0"/>
    <xf numFmtId="43" fontId="1" fillId="0" borderId="0" applyFont="0" applyFill="0" applyBorder="0" applyAlignment="0" applyProtection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4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4">
    <xf numFmtId="0" fontId="0" fillId="0" borderId="0" xfId="0"/>
    <xf numFmtId="38" fontId="6" fillId="0" borderId="0" xfId="2" applyNumberFormat="1" applyFont="1"/>
    <xf numFmtId="38" fontId="7" fillId="0" borderId="0" xfId="2" applyNumberFormat="1" applyFont="1" applyAlignment="1">
      <alignment horizontal="left"/>
    </xf>
    <xf numFmtId="38" fontId="7" fillId="0" borderId="0" xfId="2" applyNumberFormat="1" applyFont="1" applyAlignment="1">
      <alignment horizontal="centerContinuous"/>
    </xf>
    <xf numFmtId="38" fontId="6" fillId="0" borderId="0" xfId="2" applyNumberFormat="1" applyFont="1" applyAlignment="1">
      <alignment horizontal="centerContinuous"/>
    </xf>
    <xf numFmtId="38" fontId="8" fillId="0" borderId="0" xfId="2" applyNumberFormat="1" applyFont="1" applyAlignment="1">
      <alignment horizontal="centerContinuous"/>
    </xf>
    <xf numFmtId="38" fontId="7" fillId="0" borderId="0" xfId="2" applyNumberFormat="1" applyFont="1" applyAlignment="1">
      <alignment horizontal="center"/>
    </xf>
    <xf numFmtId="38" fontId="7" fillId="0" borderId="0" xfId="2" applyNumberFormat="1" applyFont="1"/>
    <xf numFmtId="38" fontId="7" fillId="0" borderId="0" xfId="2" quotePrefix="1" applyNumberFormat="1" applyFont="1" applyAlignment="1">
      <alignment horizontal="center"/>
    </xf>
    <xf numFmtId="38" fontId="9" fillId="0" borderId="0" xfId="2" applyNumberFormat="1" applyFont="1" applyAlignment="1">
      <alignment horizontal="center"/>
    </xf>
    <xf numFmtId="38" fontId="7" fillId="0" borderId="4" xfId="2" applyNumberFormat="1" applyFont="1" applyBorder="1" applyAlignment="1">
      <alignment horizontal="center"/>
    </xf>
    <xf numFmtId="38" fontId="7" fillId="0" borderId="0" xfId="2" applyNumberFormat="1" applyFont="1" applyBorder="1" applyAlignment="1">
      <alignment horizontal="center"/>
    </xf>
    <xf numFmtId="43" fontId="7" fillId="0" borderId="4" xfId="2" quotePrefix="1" applyFont="1" applyBorder="1" applyAlignment="1">
      <alignment horizontal="center"/>
    </xf>
    <xf numFmtId="166" fontId="9" fillId="0" borderId="4" xfId="2" quotePrefix="1" applyNumberFormat="1" applyFont="1" applyBorder="1" applyAlignment="1">
      <alignment horizontal="center"/>
    </xf>
    <xf numFmtId="166" fontId="9" fillId="0" borderId="4" xfId="2" applyNumberFormat="1" applyFont="1" applyBorder="1" applyAlignment="1">
      <alignment horizontal="center"/>
    </xf>
    <xf numFmtId="38" fontId="9" fillId="0" borderId="4" xfId="2" quotePrefix="1" applyNumberFormat="1" applyFont="1" applyBorder="1" applyAlignment="1">
      <alignment horizontal="center"/>
    </xf>
    <xf numFmtId="38" fontId="7" fillId="0" borderId="4" xfId="2" applyNumberFormat="1" applyFont="1" applyBorder="1"/>
    <xf numFmtId="38" fontId="6" fillId="0" borderId="0" xfId="2" applyNumberFormat="1" applyFont="1" applyBorder="1"/>
    <xf numFmtId="38" fontId="8" fillId="0" borderId="0" xfId="2" applyNumberFormat="1" applyFont="1"/>
    <xf numFmtId="38" fontId="10" fillId="0" borderId="0" xfId="2" applyNumberFormat="1" applyFont="1" applyBorder="1" applyAlignment="1">
      <alignment horizontal="left"/>
    </xf>
    <xf numFmtId="38" fontId="10" fillId="0" borderId="0" xfId="2" applyNumberFormat="1" applyFont="1" applyBorder="1" applyAlignment="1">
      <alignment horizontal="center"/>
    </xf>
    <xf numFmtId="38" fontId="6" fillId="0" borderId="0" xfId="2" applyNumberFormat="1" applyFont="1" applyAlignment="1">
      <alignment horizontal="center"/>
    </xf>
    <xf numFmtId="38" fontId="6" fillId="0" borderId="0" xfId="2" applyNumberFormat="1" applyFont="1" applyAlignment="1">
      <alignment wrapText="1"/>
    </xf>
    <xf numFmtId="37" fontId="11" fillId="0" borderId="0" xfId="2" applyNumberFormat="1" applyFont="1" applyAlignment="1">
      <alignment horizontal="right"/>
    </xf>
    <xf numFmtId="38" fontId="11" fillId="0" borderId="0" xfId="2" applyNumberFormat="1" applyFont="1" applyFill="1"/>
    <xf numFmtId="38" fontId="6" fillId="0" borderId="0" xfId="2" applyNumberFormat="1" applyFont="1" applyFill="1"/>
    <xf numFmtId="0" fontId="3" fillId="0" borderId="0" xfId="0" applyFont="1" applyBorder="1"/>
    <xf numFmtId="38" fontId="6" fillId="0" borderId="0" xfId="2" applyNumberFormat="1" applyFont="1" applyFill="1" applyBorder="1"/>
    <xf numFmtId="38" fontId="8" fillId="0" borderId="0" xfId="2" applyNumberFormat="1" applyFont="1" applyFill="1" applyBorder="1"/>
    <xf numFmtId="37" fontId="11" fillId="0" borderId="0" xfId="2" applyNumberFormat="1" applyFont="1" applyBorder="1" applyAlignment="1">
      <alignment horizontal="right"/>
    </xf>
    <xf numFmtId="38" fontId="6" fillId="0" borderId="4" xfId="2" applyNumberFormat="1" applyFont="1" applyFill="1" applyBorder="1"/>
    <xf numFmtId="37" fontId="6" fillId="0" borderId="5" xfId="2" applyNumberFormat="1" applyFont="1" applyBorder="1" applyAlignment="1">
      <alignment horizontal="right"/>
    </xf>
    <xf numFmtId="38" fontId="6" fillId="0" borderId="0" xfId="2" applyNumberFormat="1" applyFont="1" applyAlignment="1">
      <alignment horizontal="right"/>
    </xf>
    <xf numFmtId="38" fontId="7" fillId="0" borderId="0" xfId="2" applyNumberFormat="1" applyFont="1" applyFill="1"/>
    <xf numFmtId="38" fontId="7" fillId="0" borderId="0" xfId="2" applyNumberFormat="1" applyFont="1" applyFill="1" applyBorder="1"/>
    <xf numFmtId="38" fontId="8" fillId="0" borderId="0" xfId="2" applyNumberFormat="1" applyFont="1" applyFill="1"/>
    <xf numFmtId="169" fontId="6" fillId="0" borderId="5" xfId="2" applyNumberFormat="1" applyFont="1" applyFill="1" applyBorder="1" applyAlignment="1">
      <alignment horizontal="right"/>
    </xf>
    <xf numFmtId="38" fontId="7" fillId="0" borderId="0" xfId="2" applyNumberFormat="1" applyFont="1" applyFill="1" applyAlignment="1">
      <alignment horizontal="center"/>
    </xf>
    <xf numFmtId="0" fontId="6" fillId="0" borderId="0" xfId="0" applyFont="1" applyFill="1"/>
    <xf numFmtId="38" fontId="6" fillId="0" borderId="0" xfId="2" applyNumberFormat="1" applyFont="1" applyFill="1" applyAlignment="1">
      <alignment horizontal="center"/>
    </xf>
    <xf numFmtId="10" fontId="11" fillId="0" borderId="0" xfId="8" applyNumberFormat="1" applyFont="1" applyFill="1" applyAlignment="1">
      <alignment horizontal="center"/>
    </xf>
    <xf numFmtId="38" fontId="6" fillId="0" borderId="0" xfId="2" applyNumberFormat="1" applyFont="1" applyBorder="1" applyAlignment="1">
      <alignment horizontal="center"/>
    </xf>
    <xf numFmtId="38" fontId="6" fillId="0" borderId="4" xfId="2" applyNumberFormat="1" applyFont="1" applyBorder="1"/>
    <xf numFmtId="40" fontId="6" fillId="0" borderId="0" xfId="2" applyNumberFormat="1" applyFont="1" applyFill="1" applyAlignment="1">
      <alignment horizontal="right"/>
    </xf>
    <xf numFmtId="38" fontId="8" fillId="0" borderId="4" xfId="2" applyNumberFormat="1" applyFont="1" applyBorder="1"/>
    <xf numFmtId="40" fontId="7" fillId="0" borderId="0" xfId="2" applyNumberFormat="1" applyFont="1" applyFill="1" applyAlignment="1">
      <alignment horizontal="right"/>
    </xf>
    <xf numFmtId="38" fontId="7" fillId="0" borderId="0" xfId="2" applyNumberFormat="1" applyFont="1" applyBorder="1"/>
    <xf numFmtId="38" fontId="9" fillId="0" borderId="0" xfId="2" applyNumberFormat="1" applyFont="1"/>
    <xf numFmtId="40" fontId="6" fillId="0" borderId="0" xfId="2" applyNumberFormat="1" applyFont="1" applyAlignment="1">
      <alignment horizontal="right"/>
    </xf>
    <xf numFmtId="38" fontId="11" fillId="0" borderId="0" xfId="2" applyNumberFormat="1" applyFont="1" applyBorder="1"/>
    <xf numFmtId="38" fontId="12" fillId="0" borderId="0" xfId="2" applyNumberFormat="1" applyFont="1"/>
    <xf numFmtId="38" fontId="6" fillId="0" borderId="0" xfId="2" applyNumberFormat="1" applyFont="1" applyBorder="1" applyAlignment="1">
      <alignment horizontal="right"/>
    </xf>
    <xf numFmtId="38" fontId="8" fillId="0" borderId="0" xfId="2" applyNumberFormat="1" applyFont="1" applyBorder="1"/>
    <xf numFmtId="38" fontId="8" fillId="0" borderId="6" xfId="2" applyNumberFormat="1" applyFont="1" applyBorder="1"/>
    <xf numFmtId="40" fontId="7" fillId="0" borderId="0" xfId="2" applyNumberFormat="1" applyFont="1" applyAlignment="1">
      <alignment horizontal="right"/>
    </xf>
    <xf numFmtId="38" fontId="9" fillId="0" borderId="0" xfId="2" applyNumberFormat="1" applyFont="1" applyBorder="1"/>
    <xf numFmtId="38" fontId="7" fillId="0" borderId="0" xfId="2" applyNumberFormat="1" applyFont="1" applyAlignment="1">
      <alignment wrapText="1"/>
    </xf>
    <xf numFmtId="0" fontId="6" fillId="0" borderId="0" xfId="0" applyFont="1"/>
    <xf numFmtId="38" fontId="11" fillId="0" borderId="0" xfId="2" quotePrefix="1" applyNumberFormat="1" applyFont="1"/>
    <xf numFmtId="41" fontId="6" fillId="0" borderId="0" xfId="2" applyNumberFormat="1" applyFont="1"/>
    <xf numFmtId="41" fontId="6" fillId="0" borderId="0" xfId="0" applyNumberFormat="1" applyFont="1"/>
    <xf numFmtId="41" fontId="8" fillId="0" borderId="0" xfId="2" applyNumberFormat="1" applyFont="1" applyAlignment="1">
      <alignment horizontal="right"/>
    </xf>
    <xf numFmtId="37" fontId="7" fillId="0" borderId="0" xfId="2" applyNumberFormat="1" applyFont="1" applyBorder="1"/>
    <xf numFmtId="41" fontId="7" fillId="0" borderId="0" xfId="2" applyNumberFormat="1" applyFont="1" applyBorder="1"/>
    <xf numFmtId="37" fontId="7" fillId="0" borderId="0" xfId="0" applyNumberFormat="1" applyFont="1" applyBorder="1"/>
    <xf numFmtId="41" fontId="8" fillId="0" borderId="0" xfId="2" applyNumberFormat="1" applyFont="1"/>
    <xf numFmtId="41" fontId="7" fillId="0" borderId="0" xfId="2" applyNumberFormat="1" applyFont="1"/>
    <xf numFmtId="37" fontId="6" fillId="0" borderId="0" xfId="2" applyNumberFormat="1" applyFont="1"/>
    <xf numFmtId="37" fontId="11" fillId="0" borderId="0" xfId="2" applyNumberFormat="1" applyFont="1"/>
    <xf numFmtId="37" fontId="6" fillId="0" borderId="4" xfId="2" applyNumberFormat="1" applyFont="1" applyBorder="1"/>
    <xf numFmtId="37" fontId="6" fillId="0" borderId="0" xfId="2" applyNumberFormat="1" applyFont="1" applyBorder="1"/>
    <xf numFmtId="37" fontId="7" fillId="0" borderId="0" xfId="2" applyNumberFormat="1" applyFont="1"/>
    <xf numFmtId="41" fontId="9" fillId="0" borderId="0" xfId="2" applyNumberFormat="1" applyFont="1"/>
    <xf numFmtId="3" fontId="7" fillId="0" borderId="0" xfId="2" applyNumberFormat="1" applyFont="1"/>
    <xf numFmtId="3" fontId="6" fillId="0" borderId="0" xfId="2" applyNumberFormat="1" applyFont="1"/>
    <xf numFmtId="3" fontId="6" fillId="0" borderId="0" xfId="2" applyNumberFormat="1" applyFont="1" applyBorder="1"/>
    <xf numFmtId="41" fontId="8" fillId="0" borderId="0" xfId="2" applyNumberFormat="1" applyFont="1" applyBorder="1" applyAlignment="1">
      <alignment horizontal="right"/>
    </xf>
    <xf numFmtId="38" fontId="6" fillId="0" borderId="0" xfId="2" applyNumberFormat="1" applyFont="1" applyBorder="1" applyAlignment="1">
      <alignment wrapText="1"/>
    </xf>
    <xf numFmtId="3" fontId="7" fillId="0" borderId="7" xfId="2" applyNumberFormat="1" applyFont="1" applyBorder="1"/>
    <xf numFmtId="3" fontId="7" fillId="0" borderId="0" xfId="2" applyNumberFormat="1" applyFont="1" applyBorder="1"/>
    <xf numFmtId="42" fontId="9" fillId="0" borderId="7" xfId="2" applyNumberFormat="1" applyFont="1" applyBorder="1"/>
    <xf numFmtId="38" fontId="7" fillId="0" borderId="0" xfId="2" applyNumberFormat="1" applyFont="1" applyAlignment="1">
      <alignment horizontal="left"/>
    </xf>
    <xf numFmtId="38" fontId="5" fillId="0" borderId="0" xfId="2" applyNumberFormat="1" applyFont="1" applyAlignment="1">
      <alignment horizontal="center"/>
    </xf>
    <xf numFmtId="0" fontId="0" fillId="0" borderId="0" xfId="0" applyAlignment="1"/>
  </cellXfs>
  <cellStyles count="11">
    <cellStyle name="Calc Currency (0)" xfId="1"/>
    <cellStyle name="Comma" xfId="2" builtinId="3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  <cellStyle name="SAPOutpu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lan%20Wk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Plan"/>
      <sheetName val="Trading"/>
      <sheetName val="Admin"/>
      <sheetName val="Pre-Sched"/>
      <sheetName val="Real Time"/>
      <sheetName val="Volume Mgmt"/>
      <sheetName val="Mid-Mkt"/>
      <sheetName val="Services"/>
      <sheetName val="Fund"/>
      <sheetName val="Executive Orig"/>
    </sheetNames>
    <sheetDataSet>
      <sheetData sheetId="0">
        <row r="4">
          <cell r="M4">
            <v>299452.69</v>
          </cell>
        </row>
        <row r="5">
          <cell r="M5">
            <v>44006.27</v>
          </cell>
        </row>
        <row r="6">
          <cell r="M6">
            <v>24333.89</v>
          </cell>
        </row>
        <row r="8">
          <cell r="M8">
            <v>100</v>
          </cell>
        </row>
        <row r="9">
          <cell r="M9">
            <v>37</v>
          </cell>
        </row>
        <row r="10">
          <cell r="M10">
            <v>4113.3999999999996</v>
          </cell>
        </row>
        <row r="11">
          <cell r="M11">
            <v>10596.76</v>
          </cell>
        </row>
        <row r="14">
          <cell r="M14">
            <v>22560.39</v>
          </cell>
        </row>
        <row r="15">
          <cell r="M15">
            <v>1856.57</v>
          </cell>
        </row>
        <row r="19">
          <cell r="M19">
            <v>371.15</v>
          </cell>
        </row>
        <row r="20">
          <cell r="M20">
            <v>195.38</v>
          </cell>
        </row>
        <row r="23">
          <cell r="M23">
            <v>5695.11</v>
          </cell>
        </row>
        <row r="25">
          <cell r="M25">
            <v>109.15</v>
          </cell>
        </row>
        <row r="26">
          <cell r="M26">
            <v>5476.4</v>
          </cell>
        </row>
        <row r="28">
          <cell r="M28">
            <v>1511.62</v>
          </cell>
        </row>
        <row r="29">
          <cell r="M29">
            <v>169.49</v>
          </cell>
        </row>
        <row r="32">
          <cell r="M32">
            <v>4518.8100000000004</v>
          </cell>
        </row>
        <row r="37">
          <cell r="M37">
            <v>9773</v>
          </cell>
        </row>
        <row r="41">
          <cell r="M41">
            <v>12460.87</v>
          </cell>
        </row>
        <row r="42">
          <cell r="M42">
            <v>124</v>
          </cell>
        </row>
        <row r="45">
          <cell r="M45">
            <v>1272.8599999999999</v>
          </cell>
        </row>
        <row r="47">
          <cell r="M47">
            <v>18800</v>
          </cell>
        </row>
        <row r="49">
          <cell r="M49">
            <v>2675.1</v>
          </cell>
        </row>
        <row r="51">
          <cell r="M51">
            <v>313.77999999999997</v>
          </cell>
        </row>
      </sheetData>
      <sheetData sheetId="1">
        <row r="4">
          <cell r="M4">
            <v>816628</v>
          </cell>
        </row>
        <row r="5">
          <cell r="M5">
            <v>147529</v>
          </cell>
        </row>
        <row r="6">
          <cell r="M6">
            <v>73482</v>
          </cell>
        </row>
        <row r="9">
          <cell r="M9">
            <v>2400</v>
          </cell>
        </row>
        <row r="10">
          <cell r="M10">
            <v>23508</v>
          </cell>
        </row>
        <row r="11">
          <cell r="M11">
            <v>9996</v>
          </cell>
        </row>
        <row r="14">
          <cell r="M14">
            <v>20004</v>
          </cell>
        </row>
        <row r="15">
          <cell r="M15">
            <v>26004</v>
          </cell>
        </row>
        <row r="26">
          <cell r="M26">
            <v>2496</v>
          </cell>
        </row>
        <row r="28">
          <cell r="M28">
            <v>480</v>
          </cell>
        </row>
        <row r="29">
          <cell r="M29">
            <v>2496</v>
          </cell>
        </row>
        <row r="32">
          <cell r="M32">
            <v>17700</v>
          </cell>
        </row>
        <row r="37">
          <cell r="M37">
            <v>5004</v>
          </cell>
        </row>
        <row r="41">
          <cell r="M41">
            <v>60768</v>
          </cell>
        </row>
        <row r="51">
          <cell r="M51">
            <v>2400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84"/>
  <sheetViews>
    <sheetView tabSelected="1" zoomScaleNormal="100" workbookViewId="0">
      <pane ySplit="8" topLeftCell="A9" activePane="bottomLeft" state="frozen"/>
      <selection activeCell="B104" sqref="B104"/>
      <selection pane="bottomLeft" activeCell="A2" sqref="A2:V2"/>
    </sheetView>
  </sheetViews>
  <sheetFormatPr defaultRowHeight="12.75" x14ac:dyDescent="0.2"/>
  <cols>
    <col min="1" max="1" width="9.140625" style="1"/>
    <col min="2" max="2" width="14.28515625" style="1" customWidth="1"/>
    <col min="3" max="6" width="9.140625" style="1"/>
    <col min="7" max="7" width="4.140625" style="1" customWidth="1"/>
    <col min="8" max="8" width="12.42578125" style="1" customWidth="1"/>
    <col min="9" max="9" width="2.42578125" style="1" customWidth="1"/>
    <col min="10" max="10" width="12.42578125" style="1" customWidth="1"/>
    <col min="11" max="11" width="2.42578125" style="1" customWidth="1"/>
    <col min="12" max="12" width="12.42578125" style="1" customWidth="1"/>
    <col min="13" max="13" width="3.28515625" style="1" customWidth="1"/>
    <col min="14" max="14" width="12.42578125" style="1" customWidth="1"/>
    <col min="15" max="15" width="2.85546875" style="1" customWidth="1"/>
    <col min="16" max="17" width="11.7109375" style="18" hidden="1" customWidth="1"/>
    <col min="18" max="18" width="3.140625" style="1" hidden="1" customWidth="1"/>
    <col min="19" max="19" width="10.85546875" style="1" hidden="1" customWidth="1"/>
    <col min="20" max="20" width="2.85546875" style="1" hidden="1" customWidth="1"/>
    <col min="21" max="21" width="3.42578125" style="1" hidden="1" customWidth="1"/>
    <col min="22" max="22" width="75.85546875" style="1" customWidth="1"/>
    <col min="23" max="23" width="14.28515625" style="1" bestFit="1" customWidth="1"/>
    <col min="24" max="24" width="9.42578125" style="1" bestFit="1" customWidth="1"/>
    <col min="25" max="16384" width="9.140625" style="1"/>
  </cols>
  <sheetData>
    <row r="1" spans="1:23" ht="15.75" x14ac:dyDescent="0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3" ht="15.75" x14ac:dyDescent="0.25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3" ht="15.75" x14ac:dyDescent="0.25">
      <c r="A3" s="82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</row>
    <row r="4" spans="1:23" x14ac:dyDescent="0.2">
      <c r="A4" s="81" t="s">
        <v>3</v>
      </c>
      <c r="B4" s="81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4"/>
      <c r="S4" s="4"/>
    </row>
    <row r="5" spans="1:23" x14ac:dyDescent="0.2">
      <c r="A5" s="81" t="s">
        <v>4</v>
      </c>
      <c r="B5" s="81"/>
      <c r="C5" s="3"/>
      <c r="D5" s="4"/>
      <c r="E5" s="4"/>
      <c r="F5" s="4"/>
      <c r="G5" s="4"/>
      <c r="H5" s="6"/>
      <c r="I5" s="4"/>
      <c r="J5" s="6"/>
      <c r="K5" s="6"/>
      <c r="L5" s="6"/>
      <c r="M5" s="4"/>
      <c r="N5" s="4"/>
      <c r="O5" s="4"/>
      <c r="P5" s="5"/>
      <c r="Q5" s="5"/>
      <c r="R5" s="4"/>
      <c r="S5" s="4"/>
    </row>
    <row r="6" spans="1:23" x14ac:dyDescent="0.2">
      <c r="A6" s="2"/>
      <c r="B6" s="2"/>
      <c r="C6" s="3"/>
      <c r="D6" s="4"/>
      <c r="E6" s="4"/>
      <c r="F6" s="4"/>
      <c r="G6" s="4"/>
      <c r="H6" s="6"/>
      <c r="I6" s="4"/>
      <c r="J6" s="6"/>
      <c r="K6" s="6"/>
      <c r="L6" s="6"/>
      <c r="M6" s="4"/>
      <c r="N6" s="4"/>
      <c r="O6" s="4"/>
      <c r="P6" s="5"/>
      <c r="Q6" s="5"/>
      <c r="R6" s="4"/>
      <c r="S6" s="4"/>
    </row>
    <row r="7" spans="1:23" x14ac:dyDescent="0.2">
      <c r="A7" s="7"/>
      <c r="B7" s="7"/>
      <c r="C7" s="7"/>
      <c r="H7" s="6" t="s">
        <v>5</v>
      </c>
      <c r="J7" s="8" t="s">
        <v>6</v>
      </c>
      <c r="K7" s="8"/>
      <c r="L7" s="8" t="s">
        <v>6</v>
      </c>
      <c r="M7" s="6"/>
      <c r="N7" s="6" t="s">
        <v>7</v>
      </c>
      <c r="P7" s="9" t="s">
        <v>8</v>
      </c>
      <c r="Q7" s="9"/>
      <c r="S7" s="9" t="s">
        <v>9</v>
      </c>
    </row>
    <row r="8" spans="1:23" x14ac:dyDescent="0.2">
      <c r="A8" s="7"/>
      <c r="B8" s="7"/>
      <c r="C8" s="7"/>
      <c r="H8" s="10" t="s">
        <v>10</v>
      </c>
      <c r="J8" s="10" t="s">
        <v>11</v>
      </c>
      <c r="K8" s="11"/>
      <c r="L8" s="10" t="s">
        <v>12</v>
      </c>
      <c r="M8" s="11"/>
      <c r="N8" s="12" t="s">
        <v>13</v>
      </c>
      <c r="P8" s="13" t="s">
        <v>14</v>
      </c>
      <c r="Q8" s="14" t="s">
        <v>15</v>
      </c>
      <c r="S8" s="15" t="s">
        <v>16</v>
      </c>
      <c r="V8" s="16" t="s">
        <v>17</v>
      </c>
    </row>
    <row r="9" spans="1:23" x14ac:dyDescent="0.2">
      <c r="A9" s="7" t="s">
        <v>18</v>
      </c>
      <c r="I9" s="17"/>
      <c r="K9" s="17"/>
      <c r="M9" s="17"/>
    </row>
    <row r="10" spans="1:23" x14ac:dyDescent="0.2">
      <c r="B10" s="19" t="s">
        <v>19</v>
      </c>
      <c r="C10" s="20" t="s">
        <v>20</v>
      </c>
      <c r="D10" s="20" t="s">
        <v>21</v>
      </c>
      <c r="E10" s="20"/>
      <c r="F10" s="21"/>
      <c r="G10" s="21"/>
      <c r="I10" s="21"/>
      <c r="V10" s="22"/>
    </row>
    <row r="11" spans="1:23" x14ac:dyDescent="0.2">
      <c r="B11" s="1" t="s">
        <v>22</v>
      </c>
      <c r="C11" s="23">
        <v>0</v>
      </c>
      <c r="D11" s="23">
        <v>0</v>
      </c>
      <c r="E11" s="24"/>
      <c r="F11" s="25"/>
      <c r="G11" s="25"/>
      <c r="H11" s="25">
        <v>0</v>
      </c>
      <c r="I11" s="25"/>
      <c r="J11" s="25">
        <v>0</v>
      </c>
      <c r="K11" s="25"/>
      <c r="L11" s="25">
        <v>0</v>
      </c>
      <c r="M11" s="25"/>
      <c r="N11" s="25">
        <v>0</v>
      </c>
      <c r="V11" s="26" t="s">
        <v>23</v>
      </c>
      <c r="W11" s="26"/>
    </row>
    <row r="12" spans="1:23" x14ac:dyDescent="0.2">
      <c r="B12" s="1" t="s">
        <v>24</v>
      </c>
      <c r="C12" s="23">
        <v>0</v>
      </c>
      <c r="D12" s="23">
        <v>0</v>
      </c>
      <c r="E12" s="24"/>
      <c r="F12" s="25"/>
      <c r="G12" s="25"/>
      <c r="H12" s="25">
        <v>0</v>
      </c>
      <c r="I12" s="25"/>
      <c r="J12" s="25">
        <v>0</v>
      </c>
      <c r="K12" s="25"/>
      <c r="L12" s="25">
        <v>0</v>
      </c>
      <c r="M12" s="25"/>
      <c r="N12" s="25">
        <v>0</v>
      </c>
      <c r="V12" s="26" t="s">
        <v>25</v>
      </c>
      <c r="W12" s="26"/>
    </row>
    <row r="13" spans="1:23" x14ac:dyDescent="0.2">
      <c r="B13" s="1" t="s">
        <v>26</v>
      </c>
      <c r="C13" s="23">
        <v>0</v>
      </c>
      <c r="D13" s="23">
        <v>0</v>
      </c>
      <c r="E13" s="25"/>
      <c r="F13" s="25"/>
      <c r="G13" s="25"/>
      <c r="H13" s="25">
        <v>0</v>
      </c>
      <c r="I13" s="25"/>
      <c r="J13" s="25">
        <v>0</v>
      </c>
      <c r="K13" s="25"/>
      <c r="L13" s="25">
        <v>0</v>
      </c>
      <c r="M13" s="25"/>
      <c r="N13" s="25">
        <v>0</v>
      </c>
      <c r="V13" s="26" t="s">
        <v>27</v>
      </c>
      <c r="W13" s="26"/>
    </row>
    <row r="14" spans="1:23" x14ac:dyDescent="0.2">
      <c r="B14" s="1" t="s">
        <v>28</v>
      </c>
      <c r="C14" s="23">
        <v>0</v>
      </c>
      <c r="D14" s="23">
        <v>0</v>
      </c>
      <c r="E14" s="25"/>
      <c r="F14" s="27"/>
      <c r="G14" s="27"/>
      <c r="H14" s="25">
        <v>0</v>
      </c>
      <c r="I14" s="27"/>
      <c r="J14" s="25">
        <v>0</v>
      </c>
      <c r="K14" s="27"/>
      <c r="L14" s="25">
        <v>0</v>
      </c>
      <c r="M14" s="27"/>
      <c r="N14" s="25">
        <v>0</v>
      </c>
      <c r="V14" s="26" t="s">
        <v>29</v>
      </c>
      <c r="W14" s="26"/>
    </row>
    <row r="15" spans="1:23" x14ac:dyDescent="0.2">
      <c r="B15" s="1" t="s">
        <v>30</v>
      </c>
      <c r="C15" s="23">
        <v>1</v>
      </c>
      <c r="D15" s="23">
        <v>1</v>
      </c>
      <c r="E15" s="25"/>
      <c r="F15" s="27"/>
      <c r="G15" s="27"/>
      <c r="H15" s="25">
        <v>0</v>
      </c>
      <c r="I15" s="27"/>
      <c r="J15" s="25">
        <v>0</v>
      </c>
      <c r="K15" s="25"/>
      <c r="L15" s="25">
        <v>0</v>
      </c>
      <c r="M15" s="25"/>
      <c r="N15" s="25">
        <v>0</v>
      </c>
      <c r="V15" s="26" t="s">
        <v>31</v>
      </c>
      <c r="W15" s="26"/>
    </row>
    <row r="16" spans="1:23" x14ac:dyDescent="0.2">
      <c r="B16" s="1" t="s">
        <v>32</v>
      </c>
      <c r="C16" s="23">
        <v>10</v>
      </c>
      <c r="D16" s="23">
        <v>10</v>
      </c>
      <c r="E16" s="25"/>
      <c r="F16" s="28"/>
      <c r="G16" s="28"/>
      <c r="H16" s="25">
        <v>0</v>
      </c>
      <c r="I16" s="28"/>
      <c r="J16" s="25">
        <v>0</v>
      </c>
      <c r="K16" s="25"/>
      <c r="L16" s="25">
        <v>0</v>
      </c>
      <c r="M16" s="25"/>
      <c r="N16" s="25">
        <v>0</v>
      </c>
      <c r="V16" s="26" t="s">
        <v>33</v>
      </c>
      <c r="W16" s="26"/>
    </row>
    <row r="17" spans="1:23" x14ac:dyDescent="0.2">
      <c r="B17" s="1" t="s">
        <v>34</v>
      </c>
      <c r="C17" s="23">
        <v>0</v>
      </c>
      <c r="D17" s="23">
        <v>0</v>
      </c>
      <c r="E17" s="25"/>
      <c r="F17" s="27"/>
      <c r="G17" s="27"/>
      <c r="H17" s="25">
        <v>0</v>
      </c>
      <c r="I17" s="27"/>
      <c r="J17" s="25">
        <v>0</v>
      </c>
      <c r="K17" s="27"/>
      <c r="L17" s="25">
        <v>0</v>
      </c>
      <c r="M17" s="25"/>
      <c r="N17" s="25">
        <v>0</v>
      </c>
      <c r="V17" s="26" t="s">
        <v>35</v>
      </c>
      <c r="W17" s="26"/>
    </row>
    <row r="18" spans="1:23" x14ac:dyDescent="0.2">
      <c r="B18" s="1" t="s">
        <v>36</v>
      </c>
      <c r="C18" s="23">
        <v>2</v>
      </c>
      <c r="D18" s="23">
        <v>2</v>
      </c>
      <c r="E18" s="25"/>
      <c r="F18" s="27"/>
      <c r="G18" s="27"/>
      <c r="H18" s="25">
        <v>0</v>
      </c>
      <c r="I18" s="27"/>
      <c r="J18" s="25">
        <v>0</v>
      </c>
      <c r="K18" s="27"/>
      <c r="L18" s="25">
        <v>0</v>
      </c>
      <c r="M18" s="25"/>
      <c r="N18" s="25">
        <v>0</v>
      </c>
      <c r="V18" s="26" t="s">
        <v>37</v>
      </c>
      <c r="W18" s="26"/>
    </row>
    <row r="19" spans="1:23" x14ac:dyDescent="0.2">
      <c r="B19" s="1" t="s">
        <v>38</v>
      </c>
      <c r="C19" s="23">
        <v>0</v>
      </c>
      <c r="D19" s="23">
        <v>0</v>
      </c>
      <c r="E19" s="25"/>
      <c r="F19" s="27"/>
      <c r="G19" s="27"/>
      <c r="H19" s="25">
        <v>0</v>
      </c>
      <c r="I19" s="27"/>
      <c r="J19" s="25">
        <v>0</v>
      </c>
      <c r="K19" s="27"/>
      <c r="L19" s="25">
        <v>0</v>
      </c>
      <c r="M19" s="25"/>
      <c r="N19" s="25">
        <v>0</v>
      </c>
      <c r="V19" s="26" t="s">
        <v>39</v>
      </c>
      <c r="W19" s="26"/>
    </row>
    <row r="20" spans="1:23" x14ac:dyDescent="0.2">
      <c r="B20" s="1" t="s">
        <v>40</v>
      </c>
      <c r="C20" s="23">
        <v>0</v>
      </c>
      <c r="D20" s="23">
        <v>0</v>
      </c>
      <c r="E20" s="25"/>
      <c r="F20" s="27"/>
      <c r="G20" s="27"/>
      <c r="H20" s="25">
        <v>0</v>
      </c>
      <c r="I20" s="27"/>
      <c r="J20" s="25">
        <v>0</v>
      </c>
      <c r="K20" s="27"/>
      <c r="L20" s="25">
        <v>0</v>
      </c>
      <c r="M20" s="25"/>
      <c r="N20" s="25">
        <v>0</v>
      </c>
      <c r="V20" s="26" t="s">
        <v>41</v>
      </c>
      <c r="W20" s="26"/>
    </row>
    <row r="21" spans="1:23" x14ac:dyDescent="0.2">
      <c r="B21" s="1" t="s">
        <v>42</v>
      </c>
      <c r="C21" s="23">
        <v>1</v>
      </c>
      <c r="D21" s="23">
        <v>1</v>
      </c>
      <c r="E21" s="25"/>
      <c r="F21" s="27"/>
      <c r="G21" s="27"/>
      <c r="H21" s="25">
        <v>0</v>
      </c>
      <c r="I21" s="27"/>
      <c r="J21" s="25">
        <v>0</v>
      </c>
      <c r="K21" s="27"/>
      <c r="L21" s="25">
        <v>0</v>
      </c>
      <c r="M21" s="25"/>
      <c r="N21" s="25">
        <v>0</v>
      </c>
      <c r="V21" s="26" t="s">
        <v>43</v>
      </c>
      <c r="W21" s="26"/>
    </row>
    <row r="22" spans="1:23" ht="13.5" thickBot="1" x14ac:dyDescent="0.25">
      <c r="C22" s="29"/>
      <c r="D22" s="24"/>
      <c r="E22" s="25"/>
      <c r="F22" s="27"/>
      <c r="G22" s="27"/>
      <c r="H22" s="30">
        <v>0</v>
      </c>
      <c r="I22" s="27"/>
      <c r="J22" s="30">
        <v>0</v>
      </c>
      <c r="K22" s="27"/>
      <c r="L22" s="30">
        <v>0</v>
      </c>
      <c r="M22" s="25"/>
      <c r="N22" s="30">
        <v>0</v>
      </c>
      <c r="V22" s="26" t="s">
        <v>44</v>
      </c>
      <c r="W22" s="26"/>
    </row>
    <row r="23" spans="1:23" ht="13.5" thickBot="1" x14ac:dyDescent="0.25">
      <c r="A23" s="1" t="s">
        <v>45</v>
      </c>
      <c r="C23" s="31">
        <f>SUM(C11:C22)</f>
        <v>14</v>
      </c>
      <c r="D23" s="31">
        <f>SUM(D11:D22)</f>
        <v>14</v>
      </c>
      <c r="E23" s="25"/>
      <c r="F23" s="27"/>
      <c r="G23" s="27"/>
      <c r="H23" s="27">
        <f>SUM(H11:H22)</f>
        <v>0</v>
      </c>
      <c r="I23" s="27"/>
      <c r="J23" s="27">
        <f>SUM(J11:J22)</f>
        <v>0</v>
      </c>
      <c r="K23" s="27"/>
      <c r="L23" s="27">
        <f>SUM(L11:L22)</f>
        <v>0</v>
      </c>
      <c r="M23" s="27"/>
      <c r="N23" s="27">
        <f>SUM(N11:N22)</f>
        <v>0</v>
      </c>
      <c r="V23" s="26" t="s">
        <v>46</v>
      </c>
      <c r="W23" s="26"/>
    </row>
    <row r="24" spans="1:23" x14ac:dyDescent="0.2">
      <c r="A24" s="1" t="s">
        <v>47</v>
      </c>
      <c r="B24" s="7"/>
      <c r="C24" s="32">
        <f>SUM(C11,C12,C13,C14,C15,C16,C19,C20,C21)</f>
        <v>12</v>
      </c>
      <c r="D24" s="32">
        <f>SUM(D11,D12,D13,D14,D15,D16,D19,D20,D21)</f>
        <v>12</v>
      </c>
      <c r="E24" s="33"/>
      <c r="F24" s="34"/>
      <c r="G24" s="34"/>
      <c r="H24" s="34"/>
      <c r="I24" s="34"/>
      <c r="J24" s="34"/>
      <c r="K24" s="34"/>
      <c r="L24" s="34"/>
      <c r="M24" s="34"/>
      <c r="N24" s="34"/>
      <c r="P24" s="35"/>
      <c r="Q24" s="35"/>
      <c r="V24" s="26" t="s">
        <v>48</v>
      </c>
      <c r="W24" s="26"/>
    </row>
    <row r="25" spans="1:23" ht="13.5" thickBot="1" x14ac:dyDescent="0.25">
      <c r="C25" s="32"/>
      <c r="F25" s="17"/>
      <c r="G25" s="17"/>
      <c r="I25" s="17"/>
      <c r="V25" s="22"/>
    </row>
    <row r="26" spans="1:23" ht="13.5" thickBot="1" x14ac:dyDescent="0.25">
      <c r="A26" s="25" t="s">
        <v>49</v>
      </c>
      <c r="B26" s="25"/>
      <c r="C26" s="36"/>
      <c r="D26" s="25"/>
      <c r="E26" s="25"/>
      <c r="F26" s="37" t="s">
        <v>50</v>
      </c>
      <c r="G26" s="37"/>
      <c r="H26" s="17"/>
      <c r="I26" s="37"/>
      <c r="J26" s="17">
        <f>J23+J15</f>
        <v>0</v>
      </c>
      <c r="K26" s="17"/>
      <c r="L26" s="17"/>
      <c r="M26" s="17"/>
      <c r="N26" s="17">
        <f>554807/12</f>
        <v>46233.916666666664</v>
      </c>
      <c r="V26" s="22"/>
    </row>
    <row r="27" spans="1:23" x14ac:dyDescent="0.2">
      <c r="A27" s="38"/>
      <c r="B27" s="25"/>
      <c r="C27" s="25" t="s">
        <v>51</v>
      </c>
      <c r="D27" s="39"/>
      <c r="E27" s="40">
        <v>4.2500000000000003E-2</v>
      </c>
      <c r="F27" s="25"/>
      <c r="G27" s="25"/>
      <c r="H27" s="17"/>
      <c r="I27" s="25"/>
      <c r="J27" s="17">
        <f>+J26*E27</f>
        <v>0</v>
      </c>
      <c r="K27" s="17"/>
      <c r="L27" s="17"/>
      <c r="M27" s="41"/>
      <c r="N27" s="17"/>
      <c r="V27" s="22"/>
    </row>
    <row r="28" spans="1:23" ht="13.5" thickBot="1" x14ac:dyDescent="0.25">
      <c r="A28" s="38"/>
      <c r="B28" s="25"/>
      <c r="C28" s="25" t="s">
        <v>52</v>
      </c>
      <c r="D28" s="39"/>
      <c r="E28" s="40">
        <v>2.5000000000000001E-2</v>
      </c>
      <c r="F28" s="25"/>
      <c r="G28" s="25"/>
      <c r="H28" s="42"/>
      <c r="I28" s="25"/>
      <c r="J28" s="42">
        <f>+J26*E28</f>
        <v>0</v>
      </c>
      <c r="K28" s="17"/>
      <c r="L28" s="42"/>
      <c r="M28" s="41"/>
      <c r="N28" s="42"/>
      <c r="V28" s="22"/>
    </row>
    <row r="29" spans="1:23" ht="13.5" thickBot="1" x14ac:dyDescent="0.25">
      <c r="A29" s="25" t="s">
        <v>53</v>
      </c>
      <c r="B29" s="25"/>
      <c r="C29" s="36"/>
      <c r="D29" s="25"/>
      <c r="E29" s="25"/>
      <c r="F29" s="37" t="s">
        <v>54</v>
      </c>
      <c r="G29" s="37"/>
      <c r="H29" s="17"/>
      <c r="I29" s="37"/>
      <c r="J29" s="17">
        <f>SUM(J26:J28)</f>
        <v>0</v>
      </c>
      <c r="K29" s="17"/>
      <c r="L29" s="17"/>
      <c r="M29" s="17"/>
      <c r="N29" s="17">
        <f>+(N26*1.0425)*11</f>
        <v>530187.43937499996</v>
      </c>
      <c r="V29" s="22"/>
    </row>
    <row r="30" spans="1:23" x14ac:dyDescent="0.2">
      <c r="A30" s="25"/>
      <c r="B30" s="25"/>
      <c r="C30" s="43"/>
      <c r="D30" s="25"/>
      <c r="E30" s="25"/>
      <c r="F30" s="25"/>
      <c r="G30" s="25"/>
      <c r="H30" s="17"/>
      <c r="I30" s="25"/>
      <c r="J30" s="17"/>
      <c r="K30" s="17"/>
      <c r="L30" s="17"/>
      <c r="M30" s="17"/>
      <c r="N30" s="42"/>
      <c r="P30" s="44"/>
      <c r="Q30" s="44"/>
      <c r="S30" s="42"/>
      <c r="V30" s="22"/>
    </row>
    <row r="31" spans="1:23" x14ac:dyDescent="0.2">
      <c r="A31" s="25" t="s">
        <v>55</v>
      </c>
      <c r="B31" s="33"/>
      <c r="C31" s="45"/>
      <c r="D31" s="33"/>
      <c r="E31" s="33"/>
      <c r="F31" s="33"/>
      <c r="G31" s="33"/>
      <c r="H31" s="46"/>
      <c r="I31" s="33"/>
      <c r="J31" s="46"/>
      <c r="K31" s="46"/>
      <c r="L31" s="46"/>
      <c r="M31" s="46"/>
      <c r="N31" s="46">
        <f>SUM(N26:N30)</f>
        <v>576421.35604166659</v>
      </c>
      <c r="O31" s="7"/>
      <c r="P31" s="47">
        <f>1427861+2017416</f>
        <v>3445277</v>
      </c>
      <c r="Q31" s="47">
        <f>+N31-P31</f>
        <v>-2868855.6439583334</v>
      </c>
      <c r="S31" s="1">
        <v>3721931</v>
      </c>
      <c r="V31" s="22"/>
    </row>
    <row r="32" spans="1:23" x14ac:dyDescent="0.2">
      <c r="C32" s="48"/>
      <c r="H32" s="17"/>
      <c r="J32" s="17"/>
      <c r="K32" s="17"/>
      <c r="L32" s="17"/>
      <c r="M32" s="17"/>
      <c r="N32" s="17"/>
      <c r="V32" s="22"/>
    </row>
    <row r="33" spans="1:22" x14ac:dyDescent="0.2">
      <c r="A33" s="7" t="s">
        <v>56</v>
      </c>
      <c r="C33" s="48"/>
      <c r="H33" s="17"/>
      <c r="J33" s="17"/>
      <c r="K33" s="17"/>
      <c r="L33" s="17"/>
      <c r="M33" s="17"/>
      <c r="N33" s="17"/>
      <c r="V33" s="22"/>
    </row>
    <row r="34" spans="1:22" hidden="1" x14ac:dyDescent="0.2">
      <c r="B34" s="1" t="s">
        <v>57</v>
      </c>
      <c r="C34" s="48"/>
      <c r="H34" s="49"/>
      <c r="J34" s="49">
        <v>0</v>
      </c>
      <c r="K34" s="49"/>
      <c r="L34" s="49"/>
      <c r="M34" s="17"/>
      <c r="N34" s="49">
        <v>0</v>
      </c>
      <c r="V34" s="22"/>
    </row>
    <row r="35" spans="1:22" x14ac:dyDescent="0.2">
      <c r="B35" s="1" t="s">
        <v>58</v>
      </c>
      <c r="C35" s="48"/>
      <c r="H35" s="17"/>
      <c r="J35" s="17">
        <v>0</v>
      </c>
      <c r="K35" s="17"/>
      <c r="L35" s="17"/>
      <c r="M35" s="17"/>
      <c r="N35" s="17">
        <v>0</v>
      </c>
      <c r="V35" s="22"/>
    </row>
    <row r="36" spans="1:22" x14ac:dyDescent="0.2">
      <c r="B36" s="1" t="s">
        <v>59</v>
      </c>
      <c r="C36" s="48"/>
      <c r="H36" s="17"/>
      <c r="J36" s="17">
        <v>0</v>
      </c>
      <c r="K36" s="17"/>
      <c r="L36" s="17"/>
      <c r="M36" s="17"/>
      <c r="N36" s="17">
        <f>J36*3</f>
        <v>0</v>
      </c>
      <c r="T36" s="17"/>
      <c r="V36" s="22"/>
    </row>
    <row r="37" spans="1:22" x14ac:dyDescent="0.2">
      <c r="B37" s="50" t="s">
        <v>60</v>
      </c>
      <c r="C37" s="48"/>
      <c r="H37" s="51"/>
      <c r="J37" s="51">
        <v>0</v>
      </c>
      <c r="K37" s="51"/>
      <c r="L37" s="51"/>
      <c r="M37" s="17"/>
      <c r="N37" s="17">
        <v>10000</v>
      </c>
      <c r="P37" s="18">
        <v>131000</v>
      </c>
      <c r="S37" s="1">
        <v>790000</v>
      </c>
      <c r="V37" s="22" t="s">
        <v>61</v>
      </c>
    </row>
    <row r="38" spans="1:22" x14ac:dyDescent="0.2">
      <c r="B38" s="1" t="s">
        <v>62</v>
      </c>
      <c r="C38" s="48"/>
      <c r="H38" s="42"/>
      <c r="J38" s="42">
        <v>0</v>
      </c>
      <c r="K38" s="17"/>
      <c r="L38" s="42"/>
      <c r="M38" s="17"/>
      <c r="N38" s="42">
        <v>0</v>
      </c>
      <c r="V38" s="22"/>
    </row>
    <row r="39" spans="1:22" x14ac:dyDescent="0.2">
      <c r="A39" s="1" t="s">
        <v>63</v>
      </c>
      <c r="C39" s="48"/>
      <c r="H39" s="17"/>
      <c r="J39" s="17">
        <f>SUM(J34:J38)</f>
        <v>0</v>
      </c>
      <c r="K39" s="17"/>
      <c r="L39" s="17"/>
      <c r="M39" s="17"/>
      <c r="N39" s="17">
        <f>SUM(N34:N38)</f>
        <v>10000</v>
      </c>
      <c r="P39" s="52">
        <f>SUM(P34:P38)</f>
        <v>131000</v>
      </c>
      <c r="Q39" s="52"/>
      <c r="S39" s="53">
        <f>SUM(S34:S38)</f>
        <v>790000</v>
      </c>
      <c r="V39" s="22"/>
    </row>
    <row r="40" spans="1:22" s="7" customFormat="1" x14ac:dyDescent="0.2">
      <c r="A40" s="7" t="s">
        <v>64</v>
      </c>
      <c r="C40" s="54"/>
      <c r="H40" s="34">
        <f>+[1]YTD!M4-28000</f>
        <v>271452.69</v>
      </c>
      <c r="J40" s="34">
        <f>+H40*2</f>
        <v>542905.38</v>
      </c>
      <c r="K40" s="34"/>
      <c r="L40" s="34">
        <f>+[1]Plan!M4</f>
        <v>816628</v>
      </c>
      <c r="M40" s="46"/>
      <c r="N40" s="46">
        <f>N39+N31</f>
        <v>586421.35604166659</v>
      </c>
      <c r="P40" s="55">
        <f>P31+P39</f>
        <v>3576277</v>
      </c>
      <c r="Q40" s="55">
        <f>Q31+Q39</f>
        <v>-2868855.6439583334</v>
      </c>
      <c r="S40" s="55">
        <f>S31+S39</f>
        <v>4511931</v>
      </c>
      <c r="V40" s="56"/>
    </row>
    <row r="41" spans="1:22" x14ac:dyDescent="0.2">
      <c r="C41" s="48"/>
      <c r="H41" s="17"/>
      <c r="J41" s="17"/>
      <c r="K41" s="17"/>
      <c r="L41" s="17"/>
      <c r="M41" s="17"/>
      <c r="N41" s="17"/>
      <c r="S41" s="18"/>
      <c r="V41" s="22"/>
    </row>
    <row r="42" spans="1:22" x14ac:dyDescent="0.2">
      <c r="A42" s="7" t="s">
        <v>65</v>
      </c>
      <c r="S42" s="18"/>
      <c r="V42" s="22"/>
    </row>
    <row r="43" spans="1:22" x14ac:dyDescent="0.2">
      <c r="B43" s="1" t="s">
        <v>66</v>
      </c>
      <c r="H43" s="1">
        <f>+[1]YTD!M5-5418</f>
        <v>38588.269999999997</v>
      </c>
      <c r="J43" s="1">
        <f>+H43*2</f>
        <v>77176.539999999994</v>
      </c>
      <c r="L43" s="1">
        <f>+[1]Plan!M5</f>
        <v>147529</v>
      </c>
      <c r="N43" s="17">
        <f>(4800*D24)+(N40*0.091)</f>
        <v>110964.34339979166</v>
      </c>
      <c r="P43" s="18">
        <f>164412+279889</f>
        <v>444301</v>
      </c>
      <c r="Q43" s="18">
        <f>+N43-P43</f>
        <v>-333336.65660020837</v>
      </c>
      <c r="S43" s="18">
        <v>577677</v>
      </c>
      <c r="V43" s="22"/>
    </row>
    <row r="44" spans="1:22" x14ac:dyDescent="0.2">
      <c r="B44" s="1" t="s">
        <v>67</v>
      </c>
      <c r="H44" s="42">
        <f>+[1]YTD!M6-2520</f>
        <v>21813.89</v>
      </c>
      <c r="J44" s="42">
        <f>+H44*2</f>
        <v>43627.78</v>
      </c>
      <c r="L44" s="42">
        <f>+[1]Plan!M6</f>
        <v>73482</v>
      </c>
      <c r="N44" s="42">
        <f>+N40*0.0765</f>
        <v>44861.233737187496</v>
      </c>
      <c r="S44" s="18"/>
      <c r="V44" s="22"/>
    </row>
    <row r="45" spans="1:22" x14ac:dyDescent="0.2">
      <c r="A45" s="1" t="s">
        <v>68</v>
      </c>
      <c r="H45" s="7">
        <f>SUM(H43:H44)</f>
        <v>60402.159999999996</v>
      </c>
      <c r="I45" s="7"/>
      <c r="J45" s="7">
        <f>SUM(J43:J44)</f>
        <v>120804.31999999999</v>
      </c>
      <c r="K45" s="7"/>
      <c r="L45" s="7">
        <f>SUM(L43:L44)</f>
        <v>221011</v>
      </c>
      <c r="M45" s="7"/>
      <c r="N45" s="7">
        <f>SUM(N43:N44)</f>
        <v>155825.57713697915</v>
      </c>
      <c r="S45" s="18"/>
      <c r="V45" s="22"/>
    </row>
    <row r="46" spans="1:22" x14ac:dyDescent="0.2">
      <c r="H46" s="17"/>
      <c r="J46" s="17"/>
      <c r="K46" s="17"/>
      <c r="L46" s="17"/>
      <c r="N46" s="49"/>
      <c r="P46" s="18">
        <f>106795+130236</f>
        <v>237031</v>
      </c>
      <c r="Q46" s="18">
        <f>+N46-P46</f>
        <v>-237031</v>
      </c>
      <c r="S46" s="18">
        <v>257026</v>
      </c>
      <c r="V46" s="22"/>
    </row>
    <row r="47" spans="1:22" x14ac:dyDescent="0.2">
      <c r="C47" s="57"/>
      <c r="S47" s="18"/>
      <c r="V47" s="22"/>
    </row>
    <row r="48" spans="1:22" x14ac:dyDescent="0.2">
      <c r="A48" s="7" t="s">
        <v>69</v>
      </c>
      <c r="S48" s="18"/>
      <c r="V48" s="22"/>
    </row>
    <row r="49" spans="1:22" x14ac:dyDescent="0.2">
      <c r="A49" s="7"/>
      <c r="B49" s="1" t="s">
        <v>70</v>
      </c>
      <c r="H49" s="1">
        <v>0</v>
      </c>
      <c r="J49" s="1">
        <f t="shared" ref="J49:J56" si="0">+H49*2</f>
        <v>0</v>
      </c>
      <c r="L49" s="1">
        <v>0</v>
      </c>
      <c r="N49" s="1">
        <v>0</v>
      </c>
      <c r="P49" s="18">
        <f>85195+39594</f>
        <v>124789</v>
      </c>
      <c r="Q49" s="18">
        <f>+N49-P49</f>
        <v>-124789</v>
      </c>
      <c r="S49" s="18">
        <v>79187</v>
      </c>
      <c r="V49" s="22"/>
    </row>
    <row r="50" spans="1:22" x14ac:dyDescent="0.2">
      <c r="A50" s="7"/>
      <c r="B50" s="1" t="s">
        <v>71</v>
      </c>
      <c r="H50" s="1">
        <f>+[1]YTD!M8</f>
        <v>100</v>
      </c>
      <c r="J50" s="1">
        <f t="shared" si="0"/>
        <v>200</v>
      </c>
      <c r="L50" s="1">
        <f>+[1]Plan!M8</f>
        <v>0</v>
      </c>
      <c r="N50" s="1">
        <v>0</v>
      </c>
      <c r="P50" s="18">
        <f>2146+3690</f>
        <v>5836</v>
      </c>
      <c r="Q50" s="18">
        <f>+N50-P50</f>
        <v>-5836</v>
      </c>
      <c r="S50" s="18">
        <v>6149</v>
      </c>
      <c r="V50" s="22"/>
    </row>
    <row r="51" spans="1:22" x14ac:dyDescent="0.2">
      <c r="A51" s="7"/>
      <c r="B51" s="1" t="s">
        <v>72</v>
      </c>
      <c r="H51" s="1">
        <f>+[1]YTD!M9</f>
        <v>37</v>
      </c>
      <c r="J51" s="1">
        <f t="shared" si="0"/>
        <v>74</v>
      </c>
      <c r="L51" s="1">
        <f>+[1]Plan!M9</f>
        <v>2400</v>
      </c>
      <c r="N51" s="1">
        <v>0</v>
      </c>
      <c r="P51" s="18">
        <f>26465+16770</f>
        <v>43235</v>
      </c>
      <c r="Q51" s="18">
        <f>+N51-P51</f>
        <v>-43235</v>
      </c>
      <c r="S51" s="18">
        <v>32919</v>
      </c>
      <c r="V51" s="22"/>
    </row>
    <row r="52" spans="1:22" x14ac:dyDescent="0.2">
      <c r="A52" s="7"/>
      <c r="B52" s="1" t="s">
        <v>73</v>
      </c>
      <c r="H52" s="1">
        <f>+[1]YTD!M10</f>
        <v>4113.3999999999996</v>
      </c>
      <c r="J52" s="1">
        <f t="shared" si="0"/>
        <v>8226.7999999999993</v>
      </c>
      <c r="K52" s="25"/>
      <c r="L52" s="1">
        <f>+[1]Plan!M10</f>
        <v>23508</v>
      </c>
      <c r="N52" s="1">
        <v>0</v>
      </c>
      <c r="S52" s="18"/>
      <c r="V52" s="22"/>
    </row>
    <row r="53" spans="1:22" x14ac:dyDescent="0.2">
      <c r="A53" s="7"/>
      <c r="B53" s="1" t="s">
        <v>74</v>
      </c>
      <c r="H53" s="1">
        <f>+[1]YTD!M11</f>
        <v>10596.76</v>
      </c>
      <c r="J53" s="1">
        <f t="shared" si="0"/>
        <v>21193.52</v>
      </c>
      <c r="K53" s="25"/>
      <c r="L53" s="1">
        <f>+[1]Plan!M11</f>
        <v>9996</v>
      </c>
      <c r="N53" s="1">
        <v>0</v>
      </c>
      <c r="P53" s="18">
        <f>29602+67548</f>
        <v>97150</v>
      </c>
      <c r="Q53" s="18">
        <f>+N53-P53</f>
        <v>-97150</v>
      </c>
      <c r="S53" s="18">
        <v>134475</v>
      </c>
      <c r="V53" s="22"/>
    </row>
    <row r="54" spans="1:22" x14ac:dyDescent="0.2">
      <c r="A54" s="7"/>
      <c r="B54" s="1" t="s">
        <v>75</v>
      </c>
      <c r="H54" s="1">
        <f>+[1]YTD!M12</f>
        <v>0</v>
      </c>
      <c r="J54" s="1">
        <f t="shared" si="0"/>
        <v>0</v>
      </c>
      <c r="K54" s="25"/>
      <c r="L54" s="1">
        <f>+[1]Plan!M12</f>
        <v>0</v>
      </c>
      <c r="N54" s="1">
        <v>0</v>
      </c>
      <c r="S54" s="18"/>
      <c r="V54" s="22"/>
    </row>
    <row r="55" spans="1:22" x14ac:dyDescent="0.2">
      <c r="A55" s="7"/>
      <c r="B55" s="1" t="s">
        <v>76</v>
      </c>
      <c r="H55" s="1">
        <f>+[1]YTD!M13</f>
        <v>0</v>
      </c>
      <c r="J55" s="1">
        <f t="shared" si="0"/>
        <v>0</v>
      </c>
      <c r="K55" s="25"/>
      <c r="L55" s="1">
        <f>+[1]Plan!M13</f>
        <v>0</v>
      </c>
      <c r="N55" s="1">
        <v>0</v>
      </c>
      <c r="S55" s="18"/>
      <c r="V55" s="22"/>
    </row>
    <row r="56" spans="1:22" x14ac:dyDescent="0.2">
      <c r="B56" s="1" t="s">
        <v>77</v>
      </c>
      <c r="H56" s="42">
        <f>+[1]YTD!M51</f>
        <v>313.77999999999997</v>
      </c>
      <c r="J56" s="42">
        <f t="shared" si="0"/>
        <v>627.55999999999995</v>
      </c>
      <c r="K56" s="17"/>
      <c r="L56" s="42">
        <f>+[1]Plan!M51</f>
        <v>2400</v>
      </c>
      <c r="N56" s="42">
        <v>0</v>
      </c>
      <c r="P56" s="44">
        <f>47692+22026+126</f>
        <v>69844</v>
      </c>
      <c r="Q56" s="44">
        <f>+N56-P56</f>
        <v>-69844</v>
      </c>
      <c r="S56" s="44">
        <f>126+43435</f>
        <v>43561</v>
      </c>
      <c r="V56" s="22"/>
    </row>
    <row r="57" spans="1:22" x14ac:dyDescent="0.2">
      <c r="A57" s="1" t="s">
        <v>78</v>
      </c>
      <c r="H57" s="7">
        <f>SUM(H49:H56)</f>
        <v>15160.94</v>
      </c>
      <c r="I57" s="7"/>
      <c r="J57" s="7">
        <f>SUM(J49:J56)</f>
        <v>30321.88</v>
      </c>
      <c r="K57" s="7"/>
      <c r="L57" s="7">
        <f>SUM(L49:L56)</f>
        <v>38304</v>
      </c>
      <c r="M57" s="7"/>
      <c r="N57" s="7">
        <f>SUM(N49:N56)</f>
        <v>0</v>
      </c>
      <c r="P57" s="18">
        <f>SUM(P49:P56)</f>
        <v>340854</v>
      </c>
      <c r="Q57" s="18">
        <f>SUM(Q49:Q56)</f>
        <v>-340854</v>
      </c>
      <c r="S57" s="18">
        <f>SUM(S49:S56)</f>
        <v>296291</v>
      </c>
      <c r="V57" s="22"/>
    </row>
    <row r="58" spans="1:22" x14ac:dyDescent="0.2">
      <c r="S58" s="18"/>
      <c r="V58" s="22"/>
    </row>
    <row r="59" spans="1:22" x14ac:dyDescent="0.2">
      <c r="A59" s="7" t="s">
        <v>79</v>
      </c>
      <c r="S59" s="18"/>
      <c r="V59" s="22"/>
    </row>
    <row r="60" spans="1:22" x14ac:dyDescent="0.2">
      <c r="B60" s="1" t="s">
        <v>80</v>
      </c>
      <c r="H60" s="1">
        <f>[1]YTD!M14</f>
        <v>22560.39</v>
      </c>
      <c r="J60" s="1">
        <f>+H60*2</f>
        <v>45120.78</v>
      </c>
      <c r="L60" s="1">
        <f>[1]Plan!M14</f>
        <v>20004</v>
      </c>
      <c r="N60" s="1">
        <v>0</v>
      </c>
      <c r="S60" s="18"/>
      <c r="V60" s="22"/>
    </row>
    <row r="61" spans="1:22" x14ac:dyDescent="0.2">
      <c r="B61" s="57" t="s">
        <v>81</v>
      </c>
      <c r="J61" s="1">
        <f>+H61*2</f>
        <v>0</v>
      </c>
      <c r="N61" s="1">
        <v>0</v>
      </c>
      <c r="S61" s="18"/>
      <c r="V61" s="22"/>
    </row>
    <row r="62" spans="1:22" x14ac:dyDescent="0.2">
      <c r="B62" s="57" t="s">
        <v>82</v>
      </c>
      <c r="J62" s="1">
        <f>+H62*2</f>
        <v>0</v>
      </c>
      <c r="N62" s="1">
        <v>0</v>
      </c>
      <c r="S62" s="18"/>
      <c r="V62" s="22"/>
    </row>
    <row r="63" spans="1:22" x14ac:dyDescent="0.2">
      <c r="B63" s="57" t="s">
        <v>83</v>
      </c>
      <c r="J63" s="1">
        <f>+H63*2</f>
        <v>0</v>
      </c>
      <c r="N63" s="1">
        <v>0</v>
      </c>
      <c r="S63" s="18"/>
      <c r="V63" s="22"/>
    </row>
    <row r="64" spans="1:22" x14ac:dyDescent="0.2">
      <c r="B64" s="57" t="s">
        <v>84</v>
      </c>
      <c r="H64" s="42"/>
      <c r="J64" s="42">
        <f>+H64*2</f>
        <v>0</v>
      </c>
      <c r="K64" s="17"/>
      <c r="L64" s="42"/>
      <c r="N64" s="42">
        <v>0</v>
      </c>
      <c r="S64" s="18"/>
      <c r="V64" s="22"/>
    </row>
    <row r="65" spans="1:22" x14ac:dyDescent="0.2">
      <c r="B65" s="1" t="s">
        <v>85</v>
      </c>
      <c r="H65" s="7">
        <f>SUM(H60:H64)</f>
        <v>22560.39</v>
      </c>
      <c r="I65" s="7"/>
      <c r="J65" s="7">
        <f>SUM(J60:J64)</f>
        <v>45120.78</v>
      </c>
      <c r="K65" s="7"/>
      <c r="L65" s="7">
        <f>SUM(L60:L64)</f>
        <v>20004</v>
      </c>
      <c r="M65" s="7"/>
      <c r="N65" s="7">
        <f>SUM(N60:N64)</f>
        <v>0</v>
      </c>
      <c r="S65" s="18"/>
      <c r="V65" s="22"/>
    </row>
    <row r="66" spans="1:22" x14ac:dyDescent="0.2">
      <c r="B66" s="57" t="s">
        <v>86</v>
      </c>
      <c r="H66" s="1">
        <f>[1]YTD!M15</f>
        <v>1856.57</v>
      </c>
      <c r="J66" s="1">
        <f>+H66*2</f>
        <v>3713.14</v>
      </c>
      <c r="L66" s="1">
        <f>[1]Plan!M15</f>
        <v>26004</v>
      </c>
      <c r="N66" s="1">
        <v>0</v>
      </c>
      <c r="S66" s="18"/>
      <c r="V66" s="22"/>
    </row>
    <row r="67" spans="1:22" x14ac:dyDescent="0.2">
      <c r="B67" s="57" t="s">
        <v>87</v>
      </c>
      <c r="H67" s="42"/>
      <c r="J67" s="42">
        <f>+H67*2</f>
        <v>0</v>
      </c>
      <c r="K67" s="17"/>
      <c r="L67" s="42"/>
      <c r="N67" s="42">
        <v>0</v>
      </c>
      <c r="S67" s="18"/>
      <c r="V67" s="22"/>
    </row>
    <row r="68" spans="1:22" x14ac:dyDescent="0.2">
      <c r="A68" s="1" t="s">
        <v>88</v>
      </c>
      <c r="H68" s="7">
        <f>+H67+H66+H65</f>
        <v>24416.959999999999</v>
      </c>
      <c r="I68" s="7"/>
      <c r="J68" s="7">
        <f>+J67+J66+J65</f>
        <v>48833.919999999998</v>
      </c>
      <c r="K68" s="7"/>
      <c r="L68" s="7">
        <f>+L67+L66+L65</f>
        <v>46008</v>
      </c>
      <c r="M68" s="7"/>
      <c r="N68" s="7">
        <f>+N67+N66+N65</f>
        <v>0</v>
      </c>
      <c r="S68" s="18"/>
      <c r="V68" s="22"/>
    </row>
    <row r="69" spans="1:22" x14ac:dyDescent="0.2">
      <c r="S69" s="18"/>
      <c r="V69" s="22"/>
    </row>
    <row r="70" spans="1:22" x14ac:dyDescent="0.2">
      <c r="A70" s="7" t="s">
        <v>89</v>
      </c>
      <c r="S70" s="18"/>
      <c r="V70" s="22"/>
    </row>
    <row r="71" spans="1:22" x14ac:dyDescent="0.2">
      <c r="B71" s="1" t="s">
        <v>90</v>
      </c>
      <c r="H71" s="1">
        <v>0</v>
      </c>
      <c r="J71" s="1">
        <f>+H71*2</f>
        <v>0</v>
      </c>
      <c r="L71" s="1">
        <v>0</v>
      </c>
      <c r="N71" s="1">
        <v>0</v>
      </c>
      <c r="P71" s="18">
        <v>40415</v>
      </c>
      <c r="Q71" s="18">
        <f>+N71-P71</f>
        <v>-40415</v>
      </c>
      <c r="S71" s="18">
        <v>0</v>
      </c>
      <c r="V71" s="22"/>
    </row>
    <row r="72" spans="1:22" x14ac:dyDescent="0.2">
      <c r="B72" s="1" t="s">
        <v>91</v>
      </c>
      <c r="H72" s="42">
        <v>0</v>
      </c>
      <c r="J72" s="42">
        <f>+H72*2</f>
        <v>0</v>
      </c>
      <c r="K72" s="17"/>
      <c r="L72" s="42">
        <v>0</v>
      </c>
      <c r="N72" s="42">
        <v>0</v>
      </c>
      <c r="P72" s="44">
        <f>1539+2418</f>
        <v>3957</v>
      </c>
      <c r="Q72" s="44">
        <f>+N72-P72</f>
        <v>-3957</v>
      </c>
      <c r="S72" s="44">
        <v>4832</v>
      </c>
      <c r="V72" s="22"/>
    </row>
    <row r="73" spans="1:22" x14ac:dyDescent="0.2">
      <c r="A73" s="1" t="s">
        <v>92</v>
      </c>
      <c r="H73" s="7">
        <f>SUM(H71:H72)</f>
        <v>0</v>
      </c>
      <c r="I73" s="7"/>
      <c r="J73" s="7">
        <f>SUM(J71:J72)</f>
        <v>0</v>
      </c>
      <c r="K73" s="7"/>
      <c r="L73" s="7">
        <f>SUM(L71:L72)</f>
        <v>0</v>
      </c>
      <c r="M73" s="7"/>
      <c r="N73" s="7">
        <f>SUM(N71:N72)</f>
        <v>0</v>
      </c>
      <c r="P73" s="18">
        <f>SUM(P71:P72)</f>
        <v>44372</v>
      </c>
      <c r="Q73" s="18">
        <f>SUM(Q71:Q72)</f>
        <v>-44372</v>
      </c>
      <c r="S73" s="18">
        <f>SUM(S71:S72)</f>
        <v>4832</v>
      </c>
      <c r="V73" s="22"/>
    </row>
    <row r="74" spans="1:22" x14ac:dyDescent="0.2">
      <c r="S74" s="18"/>
      <c r="V74" s="22"/>
    </row>
    <row r="75" spans="1:22" x14ac:dyDescent="0.2">
      <c r="A75" s="7" t="s">
        <v>93</v>
      </c>
      <c r="S75" s="18"/>
      <c r="V75" s="22"/>
    </row>
    <row r="76" spans="1:22" x14ac:dyDescent="0.2">
      <c r="B76" s="57" t="s">
        <v>94</v>
      </c>
      <c r="H76" s="1">
        <f>[1]YTD!M16</f>
        <v>0</v>
      </c>
      <c r="J76" s="1">
        <f t="shared" ref="J76:J84" si="1">+H76*2</f>
        <v>0</v>
      </c>
      <c r="L76" s="1">
        <f>[1]Plan!M16</f>
        <v>0</v>
      </c>
      <c r="N76" s="1">
        <v>0</v>
      </c>
      <c r="P76" s="18">
        <f>-107758+250002</f>
        <v>142244</v>
      </c>
      <c r="Q76" s="18">
        <f>+N76-P76</f>
        <v>-142244</v>
      </c>
      <c r="S76" s="18">
        <v>500000</v>
      </c>
      <c r="V76" s="22"/>
    </row>
    <row r="77" spans="1:22" hidden="1" x14ac:dyDescent="0.2">
      <c r="B77" s="57" t="s">
        <v>95</v>
      </c>
      <c r="J77" s="1">
        <f t="shared" si="1"/>
        <v>0</v>
      </c>
      <c r="M77" s="18"/>
      <c r="N77" s="1">
        <f>J77*12</f>
        <v>0</v>
      </c>
      <c r="P77" s="18">
        <f>8184+4218</f>
        <v>12402</v>
      </c>
      <c r="Q77" s="18">
        <f>+N77-P77</f>
        <v>-12402</v>
      </c>
      <c r="S77" s="18">
        <v>7818</v>
      </c>
      <c r="V77" s="22"/>
    </row>
    <row r="78" spans="1:22" hidden="1" x14ac:dyDescent="0.2">
      <c r="B78" s="57" t="s">
        <v>96</v>
      </c>
      <c r="J78" s="1">
        <f t="shared" si="1"/>
        <v>0</v>
      </c>
      <c r="M78" s="18"/>
      <c r="N78" s="1">
        <f>J78*12</f>
        <v>0</v>
      </c>
      <c r="S78" s="18"/>
      <c r="V78" s="22"/>
    </row>
    <row r="79" spans="1:22" x14ac:dyDescent="0.2">
      <c r="B79" s="57" t="s">
        <v>97</v>
      </c>
      <c r="H79" s="1">
        <f>[1]YTD!M19</f>
        <v>371.15</v>
      </c>
      <c r="J79" s="1">
        <f t="shared" si="1"/>
        <v>742.3</v>
      </c>
      <c r="L79" s="1">
        <f>[1]Plan!M19</f>
        <v>0</v>
      </c>
      <c r="M79" s="18"/>
      <c r="N79" s="1">
        <v>0</v>
      </c>
      <c r="S79" s="18"/>
      <c r="V79" s="22"/>
    </row>
    <row r="80" spans="1:22" x14ac:dyDescent="0.2">
      <c r="B80" s="57" t="s">
        <v>98</v>
      </c>
      <c r="H80" s="1">
        <f>[1]YTD!M20</f>
        <v>195.38</v>
      </c>
      <c r="J80" s="1">
        <f t="shared" si="1"/>
        <v>390.76</v>
      </c>
      <c r="L80" s="1">
        <f>[1]Plan!M20</f>
        <v>0</v>
      </c>
      <c r="M80" s="18"/>
      <c r="N80" s="1">
        <v>0</v>
      </c>
      <c r="S80" s="18"/>
      <c r="V80" s="22"/>
    </row>
    <row r="81" spans="1:22" x14ac:dyDescent="0.2">
      <c r="B81" s="57" t="s">
        <v>99</v>
      </c>
      <c r="H81" s="1">
        <f>[1]YTD!M21</f>
        <v>0</v>
      </c>
      <c r="J81" s="1">
        <f t="shared" si="1"/>
        <v>0</v>
      </c>
      <c r="L81" s="1">
        <f>[1]Plan!M21</f>
        <v>0</v>
      </c>
      <c r="M81" s="18"/>
      <c r="N81" s="1">
        <v>0</v>
      </c>
      <c r="S81" s="18"/>
      <c r="V81" s="22"/>
    </row>
    <row r="82" spans="1:22" hidden="1" x14ac:dyDescent="0.2">
      <c r="B82" s="57" t="s">
        <v>100</v>
      </c>
      <c r="J82" s="1">
        <f t="shared" si="1"/>
        <v>0</v>
      </c>
      <c r="M82" s="18"/>
      <c r="N82" s="1">
        <f>J82*12</f>
        <v>0</v>
      </c>
      <c r="S82" s="18"/>
      <c r="V82" s="22"/>
    </row>
    <row r="83" spans="1:22" hidden="1" x14ac:dyDescent="0.2">
      <c r="B83" s="57" t="s">
        <v>101</v>
      </c>
      <c r="J83" s="1">
        <f t="shared" si="1"/>
        <v>0</v>
      </c>
      <c r="M83" s="18"/>
      <c r="N83" s="1">
        <f>J83*12</f>
        <v>0</v>
      </c>
      <c r="S83" s="18"/>
      <c r="V83" s="22"/>
    </row>
    <row r="84" spans="1:22" x14ac:dyDescent="0.2">
      <c r="B84" s="57" t="s">
        <v>102</v>
      </c>
      <c r="H84" s="42">
        <f>[1]YTD!M23</f>
        <v>5695.11</v>
      </c>
      <c r="J84" s="42">
        <f t="shared" si="1"/>
        <v>11390.22</v>
      </c>
      <c r="K84" s="17"/>
      <c r="L84" s="42">
        <f>[1]Plan!M23</f>
        <v>0</v>
      </c>
      <c r="M84" s="18"/>
      <c r="N84" s="42">
        <v>0</v>
      </c>
      <c r="S84" s="18"/>
      <c r="V84" s="22"/>
    </row>
    <row r="85" spans="1:22" x14ac:dyDescent="0.2">
      <c r="A85" s="1" t="s">
        <v>103</v>
      </c>
      <c r="H85" s="7">
        <f>SUM(H76:H84)</f>
        <v>6261.6399999999994</v>
      </c>
      <c r="I85" s="7"/>
      <c r="J85" s="7">
        <f>SUM(J76:J84)</f>
        <v>12523.279999999999</v>
      </c>
      <c r="K85" s="7"/>
      <c r="L85" s="7">
        <f>SUM(L76:L84)</f>
        <v>0</v>
      </c>
      <c r="M85" s="7"/>
      <c r="N85" s="7">
        <f>SUM(N76:N84)</f>
        <v>0</v>
      </c>
      <c r="P85" s="18">
        <f>SUM(P76:P84)</f>
        <v>154646</v>
      </c>
      <c r="Q85" s="18">
        <f>SUM(Q76:Q84)</f>
        <v>-154646</v>
      </c>
      <c r="S85" s="18">
        <f>SUM(S76:S84)</f>
        <v>507818</v>
      </c>
      <c r="V85" s="22"/>
    </row>
    <row r="86" spans="1:22" x14ac:dyDescent="0.2">
      <c r="S86" s="18"/>
      <c r="V86" s="22"/>
    </row>
    <row r="87" spans="1:22" x14ac:dyDescent="0.2">
      <c r="A87" s="7" t="s">
        <v>104</v>
      </c>
      <c r="S87" s="18"/>
      <c r="V87" s="22"/>
    </row>
    <row r="88" spans="1:22" x14ac:dyDescent="0.2">
      <c r="B88" s="57" t="s">
        <v>105</v>
      </c>
      <c r="H88" s="25">
        <f>[1]YTD!M24</f>
        <v>0</v>
      </c>
      <c r="J88" s="25">
        <f>+H88*2</f>
        <v>0</v>
      </c>
      <c r="K88" s="25"/>
      <c r="L88" s="25">
        <f>[1]Plan!M24</f>
        <v>0</v>
      </c>
      <c r="N88" s="1">
        <v>0</v>
      </c>
      <c r="P88" s="18">
        <f>425+22422</f>
        <v>22847</v>
      </c>
      <c r="Q88" s="18">
        <f>+N88-P88</f>
        <v>-22847</v>
      </c>
      <c r="S88" s="18">
        <v>44846</v>
      </c>
      <c r="V88" s="22"/>
    </row>
    <row r="89" spans="1:22" x14ac:dyDescent="0.2">
      <c r="B89" s="57" t="s">
        <v>106</v>
      </c>
      <c r="H89" s="25">
        <f>[1]YTD!M25</f>
        <v>109.15</v>
      </c>
      <c r="J89" s="25">
        <f>+H89*2</f>
        <v>218.3</v>
      </c>
      <c r="K89" s="25"/>
      <c r="L89" s="25">
        <f>[1]Plan!M25</f>
        <v>0</v>
      </c>
      <c r="N89" s="1">
        <v>0</v>
      </c>
      <c r="P89" s="52">
        <f>5333+5778</f>
        <v>11111</v>
      </c>
      <c r="Q89" s="18">
        <f>+N89-P89</f>
        <v>-11111</v>
      </c>
      <c r="S89" s="52">
        <v>11250</v>
      </c>
      <c r="V89" s="22"/>
    </row>
    <row r="90" spans="1:22" x14ac:dyDescent="0.2">
      <c r="B90" s="57" t="s">
        <v>107</v>
      </c>
      <c r="H90" s="30">
        <f>[1]YTD!M26</f>
        <v>5476.4</v>
      </c>
      <c r="J90" s="30">
        <f>+H90*2</f>
        <v>10952.8</v>
      </c>
      <c r="K90" s="27"/>
      <c r="L90" s="30">
        <f>[1]Plan!M26</f>
        <v>2496</v>
      </c>
      <c r="N90" s="42">
        <v>0</v>
      </c>
      <c r="P90" s="44">
        <v>1428</v>
      </c>
      <c r="Q90" s="44">
        <f>+N90-P90</f>
        <v>-1428</v>
      </c>
      <c r="S90" s="44">
        <v>2858</v>
      </c>
      <c r="V90" s="22"/>
    </row>
    <row r="91" spans="1:22" x14ac:dyDescent="0.2">
      <c r="A91" s="1" t="s">
        <v>108</v>
      </c>
      <c r="H91" s="7">
        <f>SUM(H88:H90)</f>
        <v>5585.5499999999993</v>
      </c>
      <c r="I91" s="7"/>
      <c r="J91" s="7">
        <f>SUM(J88:J90)</f>
        <v>11171.099999999999</v>
      </c>
      <c r="K91" s="7"/>
      <c r="L91" s="7">
        <f>SUM(L88:L90)</f>
        <v>2496</v>
      </c>
      <c r="M91" s="7"/>
      <c r="N91" s="7">
        <f>SUM(N88:N90)</f>
        <v>0</v>
      </c>
      <c r="P91" s="18">
        <f>SUM(P88:P90)</f>
        <v>35386</v>
      </c>
      <c r="Q91" s="18">
        <f>SUM(Q88:Q90)</f>
        <v>-35386</v>
      </c>
      <c r="S91" s="18">
        <f>SUM(S88:S90)</f>
        <v>58954</v>
      </c>
      <c r="V91" s="22"/>
    </row>
    <row r="92" spans="1:22" x14ac:dyDescent="0.2">
      <c r="S92" s="18"/>
      <c r="V92" s="22"/>
    </row>
    <row r="93" spans="1:22" x14ac:dyDescent="0.2">
      <c r="A93" s="7" t="s">
        <v>109</v>
      </c>
      <c r="S93" s="18"/>
      <c r="V93" s="22"/>
    </row>
    <row r="94" spans="1:22" x14ac:dyDescent="0.2">
      <c r="B94" s="1" t="s">
        <v>110</v>
      </c>
      <c r="H94" s="46">
        <f>[1]YTD!M29</f>
        <v>169.49</v>
      </c>
      <c r="I94" s="46"/>
      <c r="J94" s="46">
        <f>+H94*2</f>
        <v>338.98</v>
      </c>
      <c r="K94" s="46"/>
      <c r="L94" s="46">
        <f>[1]Plan!M29</f>
        <v>2496</v>
      </c>
      <c r="M94" s="46"/>
      <c r="N94" s="46">
        <v>0</v>
      </c>
      <c r="P94" s="18">
        <f>5492+4752</f>
        <v>10244</v>
      </c>
      <c r="Q94" s="18">
        <f>+N94-P94</f>
        <v>-10244</v>
      </c>
      <c r="S94" s="18">
        <v>9500</v>
      </c>
      <c r="V94" s="22"/>
    </row>
    <row r="95" spans="1:22" x14ac:dyDescent="0.2">
      <c r="P95" s="18">
        <f>SUM(P94:P94)</f>
        <v>10244</v>
      </c>
      <c r="Q95" s="18">
        <f>SUM(Q94:Q94)</f>
        <v>-10244</v>
      </c>
      <c r="S95" s="18">
        <f>SUM(S94:S94)</f>
        <v>9500</v>
      </c>
      <c r="V95" s="22"/>
    </row>
    <row r="96" spans="1:22" x14ac:dyDescent="0.2">
      <c r="S96" s="18"/>
      <c r="V96" s="22"/>
    </row>
    <row r="97" spans="1:22" x14ac:dyDescent="0.2">
      <c r="S97" s="18"/>
      <c r="V97" s="22"/>
    </row>
    <row r="98" spans="1:22" x14ac:dyDescent="0.2">
      <c r="A98" s="7" t="s">
        <v>111</v>
      </c>
      <c r="H98" s="34">
        <f>[1]YTD!M30</f>
        <v>0</v>
      </c>
      <c r="I98" s="46"/>
      <c r="J98" s="34">
        <f>+H98*2</f>
        <v>0</v>
      </c>
      <c r="K98" s="34"/>
      <c r="L98" s="34">
        <f>[1]Plan!M30</f>
        <v>0</v>
      </c>
      <c r="M98" s="46"/>
      <c r="N98" s="46">
        <v>0</v>
      </c>
      <c r="P98" s="44">
        <v>17614</v>
      </c>
      <c r="Q98" s="44">
        <f>+N98-P98</f>
        <v>-17614</v>
      </c>
      <c r="R98" s="58"/>
      <c r="S98" s="44">
        <v>0</v>
      </c>
      <c r="V98" s="22"/>
    </row>
    <row r="99" spans="1:22" x14ac:dyDescent="0.2">
      <c r="H99" s="17"/>
      <c r="I99" s="17"/>
      <c r="J99" s="17"/>
      <c r="K99" s="17"/>
      <c r="L99" s="17"/>
      <c r="M99" s="17"/>
      <c r="N99" s="17"/>
      <c r="P99" s="18">
        <f>SUM(P98)</f>
        <v>17614</v>
      </c>
      <c r="Q99" s="18">
        <f>SUM(Q98)</f>
        <v>-17614</v>
      </c>
      <c r="S99" s="18">
        <f>SUM(S98)</f>
        <v>0</v>
      </c>
      <c r="V99" s="22"/>
    </row>
    <row r="100" spans="1:22" x14ac:dyDescent="0.2">
      <c r="S100" s="18"/>
      <c r="V100" s="22"/>
    </row>
    <row r="101" spans="1:22" x14ac:dyDescent="0.2">
      <c r="A101" s="7" t="s">
        <v>112</v>
      </c>
      <c r="S101" s="18"/>
      <c r="V101" s="22"/>
    </row>
    <row r="102" spans="1:22" x14ac:dyDescent="0.2">
      <c r="A102" s="7"/>
      <c r="B102" s="1" t="s">
        <v>113</v>
      </c>
      <c r="H102" s="1">
        <f>[1]YTD!M27</f>
        <v>0</v>
      </c>
      <c r="J102" s="1">
        <f>+H102*2</f>
        <v>0</v>
      </c>
      <c r="L102" s="1">
        <f>[1]Plan!M27</f>
        <v>0</v>
      </c>
      <c r="N102" s="1">
        <v>0</v>
      </c>
      <c r="P102" s="18">
        <v>0</v>
      </c>
      <c r="Q102" s="18">
        <f>+N102-P102</f>
        <v>0</v>
      </c>
      <c r="S102" s="18">
        <v>0</v>
      </c>
      <c r="V102" s="22"/>
    </row>
    <row r="103" spans="1:22" x14ac:dyDescent="0.2">
      <c r="A103" s="7"/>
      <c r="B103" s="1" t="s">
        <v>114</v>
      </c>
      <c r="H103" s="42">
        <f>[1]YTD!M28</f>
        <v>1511.62</v>
      </c>
      <c r="J103" s="42">
        <f>+H103*2</f>
        <v>3023.24</v>
      </c>
      <c r="K103" s="17"/>
      <c r="L103" s="42">
        <f>[1]Plan!M28</f>
        <v>480</v>
      </c>
      <c r="N103" s="42">
        <v>0</v>
      </c>
      <c r="P103" s="44">
        <f>244+1968</f>
        <v>2212</v>
      </c>
      <c r="Q103" s="44">
        <f>+N103-P103</f>
        <v>-2212</v>
      </c>
      <c r="S103" s="44">
        <v>3941</v>
      </c>
      <c r="V103" s="22" t="s">
        <v>115</v>
      </c>
    </row>
    <row r="104" spans="1:22" x14ac:dyDescent="0.2">
      <c r="A104" s="1" t="s">
        <v>116</v>
      </c>
      <c r="H104" s="7">
        <f>SUM(H102:H103)</f>
        <v>1511.62</v>
      </c>
      <c r="I104" s="7"/>
      <c r="J104" s="7">
        <f>SUM(J102:J103)</f>
        <v>3023.24</v>
      </c>
      <c r="K104" s="7"/>
      <c r="L104" s="7">
        <f>SUM(L102:L103)</f>
        <v>480</v>
      </c>
      <c r="M104" s="7"/>
      <c r="N104" s="7">
        <f>SUM(N102:N103)</f>
        <v>0</v>
      </c>
      <c r="P104" s="18">
        <f>SUM(P102:P103)</f>
        <v>2212</v>
      </c>
      <c r="Q104" s="18">
        <f>SUM(Q102:Q103)</f>
        <v>-2212</v>
      </c>
      <c r="S104" s="18">
        <f>SUM(S102:S103)</f>
        <v>3941</v>
      </c>
      <c r="V104" s="22"/>
    </row>
    <row r="105" spans="1:22" x14ac:dyDescent="0.2">
      <c r="A105" s="7"/>
      <c r="S105" s="18"/>
      <c r="V105" s="22"/>
    </row>
    <row r="106" spans="1:22" x14ac:dyDescent="0.2">
      <c r="A106" s="7"/>
      <c r="M106" s="59"/>
      <c r="N106" s="60"/>
      <c r="O106" s="59"/>
      <c r="P106" s="61">
        <f>18954+8652</f>
        <v>27606</v>
      </c>
      <c r="Q106" s="61">
        <f>+N106-P106</f>
        <v>-27606</v>
      </c>
      <c r="S106" s="61">
        <v>15249</v>
      </c>
      <c r="V106" s="22"/>
    </row>
    <row r="107" spans="1:22" x14ac:dyDescent="0.2">
      <c r="A107" s="7" t="s">
        <v>117</v>
      </c>
      <c r="H107" s="62">
        <f>[1]YTD!M37</f>
        <v>9773</v>
      </c>
      <c r="I107" s="46"/>
      <c r="J107" s="62">
        <f>+H107*2</f>
        <v>19546</v>
      </c>
      <c r="K107" s="62"/>
      <c r="L107" s="62">
        <f>[1]Plan!M37</f>
        <v>5004</v>
      </c>
      <c r="M107" s="63"/>
      <c r="N107" s="64">
        <v>0</v>
      </c>
      <c r="O107" s="59"/>
      <c r="P107" s="61"/>
      <c r="Q107" s="61"/>
      <c r="S107" s="61"/>
      <c r="V107" s="22"/>
    </row>
    <row r="108" spans="1:22" x14ac:dyDescent="0.2">
      <c r="H108" s="17"/>
      <c r="I108" s="17"/>
      <c r="J108" s="17"/>
      <c r="K108" s="17"/>
      <c r="L108" s="17"/>
      <c r="M108" s="17"/>
      <c r="N108" s="17"/>
      <c r="O108" s="59"/>
      <c r="P108" s="61"/>
      <c r="Q108" s="61"/>
      <c r="S108" s="61"/>
      <c r="V108" s="22"/>
    </row>
    <row r="109" spans="1:22" hidden="1" x14ac:dyDescent="0.2">
      <c r="H109" s="59"/>
      <c r="J109" s="59"/>
      <c r="K109" s="59"/>
      <c r="L109" s="59"/>
      <c r="M109" s="59"/>
      <c r="N109" s="59"/>
      <c r="O109" s="59"/>
      <c r="P109" s="65"/>
      <c r="Q109" s="65"/>
      <c r="S109" s="65"/>
      <c r="V109" s="22"/>
    </row>
    <row r="110" spans="1:22" hidden="1" x14ac:dyDescent="0.2">
      <c r="A110" s="7" t="s">
        <v>118</v>
      </c>
      <c r="J110" s="1">
        <v>0</v>
      </c>
      <c r="M110" s="59"/>
      <c r="N110" s="17">
        <f>J110*12</f>
        <v>0</v>
      </c>
      <c r="O110" s="59"/>
      <c r="P110" s="61">
        <v>0</v>
      </c>
      <c r="Q110" s="61">
        <f>+N110-P110</f>
        <v>0</v>
      </c>
      <c r="S110" s="61">
        <v>0</v>
      </c>
      <c r="V110" s="22"/>
    </row>
    <row r="111" spans="1:22" hidden="1" x14ac:dyDescent="0.2">
      <c r="H111" s="59"/>
      <c r="J111" s="59"/>
      <c r="K111" s="59"/>
      <c r="L111" s="59"/>
      <c r="M111" s="59"/>
      <c r="N111" s="59"/>
      <c r="O111" s="59"/>
      <c r="P111" s="65"/>
      <c r="Q111" s="65"/>
      <c r="S111" s="65"/>
      <c r="V111" s="22"/>
    </row>
    <row r="112" spans="1:22" x14ac:dyDescent="0.2">
      <c r="A112" s="7" t="s">
        <v>119</v>
      </c>
      <c r="H112" s="7">
        <f>[1]YTD!M39</f>
        <v>0</v>
      </c>
      <c r="I112" s="7"/>
      <c r="J112" s="7">
        <f>+H112*2</f>
        <v>0</v>
      </c>
      <c r="K112" s="7"/>
      <c r="L112" s="7">
        <v>0</v>
      </c>
      <c r="M112" s="66"/>
      <c r="N112" s="46">
        <v>0</v>
      </c>
      <c r="O112" s="59"/>
      <c r="P112" s="65">
        <f>71114+125628</f>
        <v>196742</v>
      </c>
      <c r="Q112" s="61">
        <f>+N112-P112</f>
        <v>-196742</v>
      </c>
      <c r="S112" s="65">
        <v>249410</v>
      </c>
      <c r="V112" s="22"/>
    </row>
    <row r="113" spans="1:22" x14ac:dyDescent="0.2">
      <c r="M113" s="59"/>
      <c r="N113" s="59"/>
      <c r="O113" s="59"/>
      <c r="P113" s="65"/>
      <c r="Q113" s="65"/>
      <c r="S113" s="65"/>
      <c r="V113" s="22"/>
    </row>
    <row r="114" spans="1:22" x14ac:dyDescent="0.2">
      <c r="A114" s="7" t="s">
        <v>120</v>
      </c>
      <c r="H114" s="7">
        <f>[1]YTD!M32</f>
        <v>4518.8100000000004</v>
      </c>
      <c r="I114" s="7"/>
      <c r="J114" s="7">
        <f>+H114*2</f>
        <v>9037.6200000000008</v>
      </c>
      <c r="K114" s="7"/>
      <c r="L114" s="7">
        <f>[1]Plan!M32</f>
        <v>17700</v>
      </c>
      <c r="M114" s="66"/>
      <c r="N114" s="46">
        <v>0</v>
      </c>
      <c r="O114" s="59"/>
      <c r="P114" s="65">
        <f>126342+208338</f>
        <v>334680</v>
      </c>
      <c r="Q114" s="61">
        <f>+N114-P114</f>
        <v>-334680</v>
      </c>
      <c r="S114" s="65">
        <v>408678</v>
      </c>
      <c r="V114" s="22"/>
    </row>
    <row r="115" spans="1:22" x14ac:dyDescent="0.2">
      <c r="A115" s="7"/>
      <c r="B115" s="1" t="s">
        <v>121</v>
      </c>
      <c r="M115" s="59"/>
      <c r="N115" s="59"/>
      <c r="O115" s="59"/>
      <c r="P115" s="65"/>
      <c r="Q115" s="65"/>
      <c r="S115" s="65"/>
      <c r="V115" s="22"/>
    </row>
    <row r="116" spans="1:22" x14ac:dyDescent="0.2">
      <c r="M116" s="59"/>
      <c r="N116" s="59"/>
      <c r="O116" s="59"/>
      <c r="P116" s="65"/>
      <c r="Q116" s="65"/>
      <c r="S116" s="65"/>
      <c r="V116" s="22"/>
    </row>
    <row r="117" spans="1:22" x14ac:dyDescent="0.2">
      <c r="A117" s="7" t="s">
        <v>122</v>
      </c>
      <c r="H117" s="59"/>
      <c r="J117" s="59"/>
      <c r="K117" s="59"/>
      <c r="L117" s="59"/>
      <c r="M117" s="59"/>
      <c r="N117" s="59"/>
      <c r="O117" s="59"/>
      <c r="P117" s="65">
        <f>25011+78348</f>
        <v>103359</v>
      </c>
      <c r="Q117" s="61">
        <f>+N117-P117</f>
        <v>-103359</v>
      </c>
      <c r="S117" s="65">
        <v>140348</v>
      </c>
      <c r="V117" s="22"/>
    </row>
    <row r="118" spans="1:22" x14ac:dyDescent="0.2">
      <c r="A118" s="7"/>
      <c r="B118" s="1" t="s">
        <v>123</v>
      </c>
      <c r="H118" s="67">
        <v>63600</v>
      </c>
      <c r="J118" s="67">
        <f>+H118*2</f>
        <v>127200</v>
      </c>
      <c r="K118" s="68"/>
      <c r="L118" s="67">
        <v>0</v>
      </c>
      <c r="M118" s="67"/>
      <c r="N118" s="67">
        <f>+(7800+7800)*12</f>
        <v>187200</v>
      </c>
      <c r="O118" s="67"/>
      <c r="P118" s="65"/>
      <c r="Q118" s="65"/>
      <c r="S118" s="65"/>
      <c r="V118" s="22" t="s">
        <v>124</v>
      </c>
    </row>
    <row r="119" spans="1:22" x14ac:dyDescent="0.2">
      <c r="A119" s="7"/>
      <c r="B119" s="1" t="s">
        <v>125</v>
      </c>
      <c r="H119" s="67">
        <f>[1]YTD!M42</f>
        <v>124</v>
      </c>
      <c r="J119" s="67">
        <f>+H119*2</f>
        <v>248</v>
      </c>
      <c r="K119" s="67"/>
      <c r="L119" s="67">
        <f>[1]Plan!M42</f>
        <v>0</v>
      </c>
      <c r="M119" s="67"/>
      <c r="N119" s="67">
        <v>0</v>
      </c>
      <c r="O119" s="67"/>
      <c r="P119" s="65"/>
      <c r="Q119" s="65"/>
      <c r="S119" s="65"/>
      <c r="V119" s="22"/>
    </row>
    <row r="120" spans="1:22" x14ac:dyDescent="0.2">
      <c r="A120" s="7"/>
      <c r="B120" s="1" t="s">
        <v>122</v>
      </c>
      <c r="H120" s="69">
        <f>[1]YTD!M41+[1]YTD!M47+[1]YTD!M48+[1]YTD!M49+[1]YTD!M50+[1]YTD!M46-8862-18800</f>
        <v>6273.9700000000012</v>
      </c>
      <c r="J120" s="69">
        <f>+H120*2</f>
        <v>12547.940000000002</v>
      </c>
      <c r="K120" s="67"/>
      <c r="L120" s="69">
        <f>[1]Plan!M41+[1]Plan!M47+[1]Plan!M48+[1]Plan!M49+[1]Plan!M50+[1]Plan!M46</f>
        <v>60768</v>
      </c>
      <c r="M120" s="67"/>
      <c r="N120" s="69">
        <v>0</v>
      </c>
      <c r="O120" s="67"/>
      <c r="P120" s="65"/>
      <c r="Q120" s="65"/>
      <c r="S120" s="65"/>
      <c r="V120" s="22"/>
    </row>
    <row r="121" spans="1:22" hidden="1" x14ac:dyDescent="0.2">
      <c r="A121" s="7"/>
      <c r="B121" s="1" t="s">
        <v>126</v>
      </c>
      <c r="H121" s="69"/>
      <c r="J121" s="69">
        <v>0</v>
      </c>
      <c r="K121" s="70"/>
      <c r="L121" s="69"/>
      <c r="M121" s="67"/>
      <c r="N121" s="69">
        <f>+J121*12</f>
        <v>0</v>
      </c>
      <c r="O121" s="67"/>
      <c r="P121" s="65"/>
      <c r="Q121" s="65"/>
      <c r="S121" s="65"/>
      <c r="V121" s="22"/>
    </row>
    <row r="122" spans="1:22" s="7" customFormat="1" x14ac:dyDescent="0.2">
      <c r="A122" s="7" t="s">
        <v>127</v>
      </c>
      <c r="H122" s="71">
        <f>SUM(H118:H120)</f>
        <v>69997.97</v>
      </c>
      <c r="J122" s="71">
        <f>SUM(J118:J121)</f>
        <v>139995.94</v>
      </c>
      <c r="K122" s="71"/>
      <c r="L122" s="71">
        <f>SUM(L118:L120)</f>
        <v>60768</v>
      </c>
      <c r="M122" s="71"/>
      <c r="N122" s="71">
        <f>SUM(N118:N121)</f>
        <v>187200</v>
      </c>
      <c r="O122" s="71"/>
      <c r="P122" s="72"/>
      <c r="Q122" s="72"/>
      <c r="S122" s="72"/>
      <c r="V122" s="56"/>
    </row>
    <row r="123" spans="1:22" x14ac:dyDescent="0.2">
      <c r="H123" s="59"/>
      <c r="J123" s="59"/>
      <c r="K123" s="59"/>
      <c r="L123" s="59"/>
      <c r="M123" s="59"/>
      <c r="N123" s="59"/>
      <c r="O123" s="59"/>
      <c r="P123" s="65"/>
      <c r="Q123" s="65"/>
      <c r="S123" s="65"/>
      <c r="V123" s="22"/>
    </row>
    <row r="124" spans="1:22" s="7" customFormat="1" x14ac:dyDescent="0.2">
      <c r="A124" s="7" t="s">
        <v>128</v>
      </c>
      <c r="H124" s="71">
        <f>[1]YTD!M45</f>
        <v>1272.8599999999999</v>
      </c>
      <c r="J124" s="71">
        <f>+H124*2</f>
        <v>2545.7199999999998</v>
      </c>
      <c r="K124" s="71"/>
      <c r="L124" s="71">
        <f>[1]Plan!M45</f>
        <v>0</v>
      </c>
      <c r="M124" s="66"/>
      <c r="N124" s="71">
        <v>0</v>
      </c>
      <c r="O124" s="66"/>
      <c r="P124" s="72"/>
      <c r="Q124" s="72"/>
      <c r="S124" s="72"/>
      <c r="V124" s="56"/>
    </row>
    <row r="125" spans="1:22" x14ac:dyDescent="0.2">
      <c r="H125" s="59"/>
      <c r="J125" s="59"/>
      <c r="K125" s="59"/>
      <c r="L125" s="59"/>
      <c r="M125" s="59"/>
      <c r="N125" s="59"/>
      <c r="O125" s="59"/>
      <c r="P125" s="65"/>
      <c r="Q125" s="65"/>
      <c r="S125" s="65"/>
      <c r="V125" s="22"/>
    </row>
    <row r="126" spans="1:22" x14ac:dyDescent="0.2">
      <c r="A126" s="7" t="s">
        <v>129</v>
      </c>
      <c r="H126" s="73">
        <f>[1]YTD!M43</f>
        <v>0</v>
      </c>
      <c r="I126" s="7"/>
      <c r="J126" s="73">
        <f>+H126*2</f>
        <v>0</v>
      </c>
      <c r="K126" s="73"/>
      <c r="L126" s="73">
        <f>[1]Plan!M43</f>
        <v>0</v>
      </c>
      <c r="M126" s="73"/>
      <c r="N126" s="73">
        <v>0</v>
      </c>
      <c r="O126" s="74"/>
      <c r="P126" s="61">
        <v>0</v>
      </c>
      <c r="Q126" s="61">
        <f>+N126-P126</f>
        <v>0</v>
      </c>
      <c r="S126" s="61">
        <v>0</v>
      </c>
      <c r="V126" s="22"/>
    </row>
    <row r="127" spans="1:22" hidden="1" x14ac:dyDescent="0.2">
      <c r="A127" s="7" t="s">
        <v>130</v>
      </c>
      <c r="H127" s="74"/>
      <c r="J127" s="74">
        <v>0</v>
      </c>
      <c r="K127" s="74"/>
      <c r="L127" s="74"/>
      <c r="M127" s="74"/>
      <c r="N127" s="74">
        <f>+J127*12</f>
        <v>0</v>
      </c>
      <c r="O127" s="74"/>
      <c r="P127" s="61">
        <v>540000</v>
      </c>
      <c r="Q127" s="61">
        <f>+N127-P127</f>
        <v>-540000</v>
      </c>
      <c r="S127" s="61">
        <v>434772</v>
      </c>
      <c r="V127" s="22"/>
    </row>
    <row r="128" spans="1:22" s="17" customFormat="1" x14ac:dyDescent="0.2">
      <c r="A128" s="46"/>
      <c r="H128" s="75"/>
      <c r="J128" s="75"/>
      <c r="K128" s="75"/>
      <c r="L128" s="75"/>
      <c r="M128" s="75"/>
      <c r="N128" s="75"/>
      <c r="O128" s="75"/>
      <c r="P128" s="76"/>
      <c r="Q128" s="76"/>
      <c r="S128" s="76"/>
      <c r="V128" s="77"/>
    </row>
    <row r="129" spans="1:22" x14ac:dyDescent="0.2">
      <c r="H129" s="74"/>
      <c r="J129" s="74"/>
      <c r="K129" s="74"/>
      <c r="L129" s="74"/>
      <c r="M129" s="74"/>
      <c r="N129" s="74"/>
      <c r="O129" s="74"/>
      <c r="P129" s="65"/>
      <c r="Q129" s="65"/>
      <c r="S129" s="65"/>
      <c r="V129" s="22"/>
    </row>
    <row r="130" spans="1:22" ht="13.5" thickBot="1" x14ac:dyDescent="0.25">
      <c r="A130" s="7" t="s">
        <v>131</v>
      </c>
      <c r="H130" s="78">
        <f>+H40+H45+H57+H68+H73+H85+H91+H94+H98+H104+H107+H112+H114+H122+H124+H126</f>
        <v>470523.68999999994</v>
      </c>
      <c r="J130" s="78">
        <f>+J40+J45+J57+J68+J73+J85+J91+J94+J98+J104+J107+J112+J114+J122+J124+J126</f>
        <v>941047.37999999989</v>
      </c>
      <c r="K130" s="79"/>
      <c r="L130" s="78">
        <f>+L40+L45+L57+L68+L73+L85+L91+L94+L98+L104+L107+L112+L114+L122+L124+L126</f>
        <v>1210895</v>
      </c>
      <c r="M130" s="74"/>
      <c r="N130" s="78">
        <f>+N40+N45+N57+N68+N73+N85+N91+N94+N98+N104+N107+N112+N114+N122+N124+N126</f>
        <v>929446.93317864579</v>
      </c>
      <c r="O130" s="74"/>
      <c r="P130" s="80" t="e">
        <f>P40+P43+P46+P57+P73+P85+P91+P95+P99+P104+P106+P110+P112+P114+P117+P126+#REF!</f>
        <v>#REF!</v>
      </c>
      <c r="Q130" s="80" t="e">
        <f>Q40+Q43+Q46+Q57+Q73+Q85+Q91+Q95+Q99+Q104+Q106+Q110+Q112+Q114+Q117+Q126+#REF!</f>
        <v>#REF!</v>
      </c>
      <c r="S130" s="80" t="e">
        <f>S40+S43+S46+S57+S73+S85+S91+S95+S99+S104+S106+S110+S112+S114+S117+S126+#REF!</f>
        <v>#REF!</v>
      </c>
      <c r="V130" s="22"/>
    </row>
    <row r="131" spans="1:22" ht="13.5" thickTop="1" x14ac:dyDescent="0.2">
      <c r="H131" s="74"/>
      <c r="J131" s="74"/>
      <c r="K131" s="74"/>
      <c r="L131" s="74"/>
      <c r="M131" s="74"/>
      <c r="N131" s="74"/>
      <c r="O131" s="74"/>
      <c r="P131" s="65"/>
      <c r="Q131" s="65"/>
      <c r="V131" s="22"/>
    </row>
    <row r="132" spans="1:22" x14ac:dyDescent="0.2">
      <c r="V132" s="22"/>
    </row>
    <row r="133" spans="1:22" x14ac:dyDescent="0.2">
      <c r="V133" s="22"/>
    </row>
    <row r="134" spans="1:22" x14ac:dyDescent="0.2">
      <c r="V134" s="22"/>
    </row>
    <row r="135" spans="1:22" x14ac:dyDescent="0.2">
      <c r="V135" s="22"/>
    </row>
    <row r="136" spans="1:22" x14ac:dyDescent="0.2">
      <c r="V136" s="22"/>
    </row>
    <row r="137" spans="1:22" x14ac:dyDescent="0.2">
      <c r="V137" s="22"/>
    </row>
    <row r="138" spans="1:22" x14ac:dyDescent="0.2">
      <c r="V138" s="22"/>
    </row>
    <row r="139" spans="1:22" x14ac:dyDescent="0.2">
      <c r="V139" s="22"/>
    </row>
    <row r="140" spans="1:22" x14ac:dyDescent="0.2">
      <c r="V140" s="22"/>
    </row>
    <row r="141" spans="1:22" x14ac:dyDescent="0.2">
      <c r="V141" s="22"/>
    </row>
    <row r="142" spans="1:22" x14ac:dyDescent="0.2">
      <c r="V142" s="22"/>
    </row>
    <row r="143" spans="1:22" x14ac:dyDescent="0.2">
      <c r="V143" s="22"/>
    </row>
    <row r="144" spans="1:22" x14ac:dyDescent="0.2">
      <c r="V144" s="22"/>
    </row>
    <row r="145" spans="22:22" x14ac:dyDescent="0.2">
      <c r="V145" s="22"/>
    </row>
    <row r="146" spans="22:22" x14ac:dyDescent="0.2">
      <c r="V146" s="22"/>
    </row>
    <row r="147" spans="22:22" x14ac:dyDescent="0.2">
      <c r="V147" s="22"/>
    </row>
    <row r="148" spans="22:22" x14ac:dyDescent="0.2">
      <c r="V148" s="22"/>
    </row>
    <row r="149" spans="22:22" x14ac:dyDescent="0.2">
      <c r="V149" s="22"/>
    </row>
    <row r="150" spans="22:22" x14ac:dyDescent="0.2">
      <c r="V150" s="22"/>
    </row>
    <row r="151" spans="22:22" x14ac:dyDescent="0.2">
      <c r="V151" s="22"/>
    </row>
    <row r="152" spans="22:22" x14ac:dyDescent="0.2">
      <c r="V152" s="22"/>
    </row>
    <row r="153" spans="22:22" x14ac:dyDescent="0.2">
      <c r="V153" s="22"/>
    </row>
    <row r="154" spans="22:22" x14ac:dyDescent="0.2">
      <c r="V154" s="22"/>
    </row>
    <row r="155" spans="22:22" x14ac:dyDescent="0.2">
      <c r="V155" s="22"/>
    </row>
    <row r="156" spans="22:22" x14ac:dyDescent="0.2">
      <c r="V156" s="22"/>
    </row>
    <row r="157" spans="22:22" x14ac:dyDescent="0.2">
      <c r="V157" s="22"/>
    </row>
    <row r="158" spans="22:22" x14ac:dyDescent="0.2">
      <c r="V158" s="22"/>
    </row>
    <row r="159" spans="22:22" x14ac:dyDescent="0.2">
      <c r="V159" s="22"/>
    </row>
    <row r="160" spans="22:22" x14ac:dyDescent="0.2">
      <c r="V160" s="22"/>
    </row>
    <row r="161" spans="22:22" x14ac:dyDescent="0.2">
      <c r="V161" s="22"/>
    </row>
    <row r="162" spans="22:22" x14ac:dyDescent="0.2">
      <c r="V162" s="22"/>
    </row>
    <row r="163" spans="22:22" x14ac:dyDescent="0.2">
      <c r="V163" s="22"/>
    </row>
    <row r="164" spans="22:22" x14ac:dyDescent="0.2">
      <c r="V164" s="22"/>
    </row>
    <row r="165" spans="22:22" x14ac:dyDescent="0.2">
      <c r="V165" s="22"/>
    </row>
    <row r="166" spans="22:22" x14ac:dyDescent="0.2">
      <c r="V166" s="22"/>
    </row>
    <row r="167" spans="22:22" x14ac:dyDescent="0.2">
      <c r="V167" s="22"/>
    </row>
    <row r="168" spans="22:22" x14ac:dyDescent="0.2">
      <c r="V168" s="22"/>
    </row>
    <row r="169" spans="22:22" x14ac:dyDescent="0.2">
      <c r="V169" s="22"/>
    </row>
    <row r="170" spans="22:22" x14ac:dyDescent="0.2">
      <c r="V170" s="22"/>
    </row>
    <row r="171" spans="22:22" x14ac:dyDescent="0.2">
      <c r="V171" s="22"/>
    </row>
    <row r="172" spans="22:22" x14ac:dyDescent="0.2">
      <c r="V172" s="22"/>
    </row>
    <row r="173" spans="22:22" x14ac:dyDescent="0.2">
      <c r="V173" s="22"/>
    </row>
    <row r="174" spans="22:22" x14ac:dyDescent="0.2">
      <c r="V174" s="22"/>
    </row>
    <row r="175" spans="22:22" x14ac:dyDescent="0.2">
      <c r="V175" s="22"/>
    </row>
    <row r="176" spans="22:22" x14ac:dyDescent="0.2">
      <c r="V176" s="22"/>
    </row>
    <row r="177" spans="22:22" x14ac:dyDescent="0.2">
      <c r="V177" s="22"/>
    </row>
    <row r="178" spans="22:22" x14ac:dyDescent="0.2">
      <c r="V178" s="22"/>
    </row>
    <row r="179" spans="22:22" x14ac:dyDescent="0.2">
      <c r="V179" s="22"/>
    </row>
    <row r="180" spans="22:22" x14ac:dyDescent="0.2">
      <c r="V180" s="22"/>
    </row>
    <row r="181" spans="22:22" x14ac:dyDescent="0.2">
      <c r="V181" s="22"/>
    </row>
    <row r="182" spans="22:22" x14ac:dyDescent="0.2">
      <c r="V182" s="22"/>
    </row>
    <row r="183" spans="22:22" x14ac:dyDescent="0.2">
      <c r="V183" s="22"/>
    </row>
    <row r="184" spans="22:22" x14ac:dyDescent="0.2">
      <c r="V184" s="22"/>
    </row>
    <row r="185" spans="22:22" x14ac:dyDescent="0.2">
      <c r="V185" s="22"/>
    </row>
    <row r="186" spans="22:22" x14ac:dyDescent="0.2">
      <c r="V186" s="22"/>
    </row>
    <row r="187" spans="22:22" x14ac:dyDescent="0.2">
      <c r="V187" s="22"/>
    </row>
    <row r="188" spans="22:22" x14ac:dyDescent="0.2">
      <c r="V188" s="22"/>
    </row>
    <row r="189" spans="22:22" x14ac:dyDescent="0.2">
      <c r="V189" s="22"/>
    </row>
    <row r="190" spans="22:22" x14ac:dyDescent="0.2">
      <c r="V190" s="22"/>
    </row>
    <row r="191" spans="22:22" x14ac:dyDescent="0.2">
      <c r="V191" s="22"/>
    </row>
    <row r="192" spans="22:22" x14ac:dyDescent="0.2">
      <c r="V192" s="22"/>
    </row>
    <row r="193" spans="22:22" x14ac:dyDescent="0.2">
      <c r="V193" s="22"/>
    </row>
    <row r="194" spans="22:22" x14ac:dyDescent="0.2">
      <c r="V194" s="22"/>
    </row>
    <row r="195" spans="22:22" x14ac:dyDescent="0.2">
      <c r="V195" s="22"/>
    </row>
    <row r="196" spans="22:22" x14ac:dyDescent="0.2">
      <c r="V196" s="22"/>
    </row>
    <row r="197" spans="22:22" x14ac:dyDescent="0.2">
      <c r="V197" s="22"/>
    </row>
    <row r="198" spans="22:22" x14ac:dyDescent="0.2">
      <c r="V198" s="22"/>
    </row>
    <row r="199" spans="22:22" x14ac:dyDescent="0.2">
      <c r="V199" s="22"/>
    </row>
    <row r="200" spans="22:22" x14ac:dyDescent="0.2">
      <c r="V200" s="22"/>
    </row>
    <row r="201" spans="22:22" x14ac:dyDescent="0.2">
      <c r="V201" s="22"/>
    </row>
    <row r="202" spans="22:22" x14ac:dyDescent="0.2">
      <c r="V202" s="22"/>
    </row>
    <row r="203" spans="22:22" x14ac:dyDescent="0.2">
      <c r="V203" s="22"/>
    </row>
    <row r="204" spans="22:22" x14ac:dyDescent="0.2">
      <c r="V204" s="22"/>
    </row>
    <row r="205" spans="22:22" x14ac:dyDescent="0.2">
      <c r="V205" s="22"/>
    </row>
    <row r="206" spans="22:22" x14ac:dyDescent="0.2">
      <c r="V206" s="22"/>
    </row>
    <row r="207" spans="22:22" x14ac:dyDescent="0.2">
      <c r="V207" s="22"/>
    </row>
    <row r="208" spans="22:22" x14ac:dyDescent="0.2">
      <c r="V208" s="22"/>
    </row>
    <row r="209" spans="22:22" x14ac:dyDescent="0.2">
      <c r="V209" s="22"/>
    </row>
    <row r="210" spans="22:22" x14ac:dyDescent="0.2">
      <c r="V210" s="22"/>
    </row>
    <row r="211" spans="22:22" x14ac:dyDescent="0.2">
      <c r="V211" s="22"/>
    </row>
    <row r="212" spans="22:22" x14ac:dyDescent="0.2">
      <c r="V212" s="22"/>
    </row>
    <row r="213" spans="22:22" x14ac:dyDescent="0.2">
      <c r="V213" s="22"/>
    </row>
    <row r="214" spans="22:22" x14ac:dyDescent="0.2">
      <c r="V214" s="22"/>
    </row>
    <row r="215" spans="22:22" x14ac:dyDescent="0.2">
      <c r="V215" s="22"/>
    </row>
    <row r="216" spans="22:22" x14ac:dyDescent="0.2">
      <c r="V216" s="22"/>
    </row>
    <row r="217" spans="22:22" x14ac:dyDescent="0.2">
      <c r="V217" s="22"/>
    </row>
    <row r="218" spans="22:22" x14ac:dyDescent="0.2">
      <c r="V218" s="22"/>
    </row>
    <row r="219" spans="22:22" x14ac:dyDescent="0.2">
      <c r="V219" s="22"/>
    </row>
    <row r="220" spans="22:22" x14ac:dyDescent="0.2">
      <c r="V220" s="22"/>
    </row>
    <row r="221" spans="22:22" x14ac:dyDescent="0.2">
      <c r="V221" s="22"/>
    </row>
    <row r="222" spans="22:22" x14ac:dyDescent="0.2">
      <c r="V222" s="22"/>
    </row>
    <row r="223" spans="22:22" x14ac:dyDescent="0.2">
      <c r="V223" s="22"/>
    </row>
    <row r="224" spans="22:22" x14ac:dyDescent="0.2">
      <c r="V224" s="22"/>
    </row>
    <row r="225" spans="22:22" x14ac:dyDescent="0.2">
      <c r="V225" s="22"/>
    </row>
    <row r="226" spans="22:22" x14ac:dyDescent="0.2">
      <c r="V226" s="22"/>
    </row>
    <row r="227" spans="22:22" x14ac:dyDescent="0.2">
      <c r="V227" s="22"/>
    </row>
    <row r="228" spans="22:22" x14ac:dyDescent="0.2">
      <c r="V228" s="22"/>
    </row>
    <row r="229" spans="22:22" x14ac:dyDescent="0.2">
      <c r="V229" s="22"/>
    </row>
    <row r="230" spans="22:22" x14ac:dyDescent="0.2">
      <c r="V230" s="22"/>
    </row>
    <row r="231" spans="22:22" x14ac:dyDescent="0.2">
      <c r="V231" s="22"/>
    </row>
    <row r="232" spans="22:22" x14ac:dyDescent="0.2">
      <c r="V232" s="22"/>
    </row>
    <row r="233" spans="22:22" x14ac:dyDescent="0.2">
      <c r="V233" s="22"/>
    </row>
    <row r="234" spans="22:22" x14ac:dyDescent="0.2">
      <c r="V234" s="22"/>
    </row>
    <row r="235" spans="22:22" x14ac:dyDescent="0.2">
      <c r="V235" s="22"/>
    </row>
    <row r="236" spans="22:22" x14ac:dyDescent="0.2">
      <c r="V236" s="22"/>
    </row>
    <row r="237" spans="22:22" x14ac:dyDescent="0.2">
      <c r="V237" s="22"/>
    </row>
    <row r="238" spans="22:22" x14ac:dyDescent="0.2">
      <c r="V238" s="22"/>
    </row>
    <row r="239" spans="22:22" x14ac:dyDescent="0.2">
      <c r="V239" s="22"/>
    </row>
    <row r="240" spans="22:22" x14ac:dyDescent="0.2">
      <c r="V240" s="22"/>
    </row>
    <row r="241" spans="22:22" x14ac:dyDescent="0.2">
      <c r="V241" s="22"/>
    </row>
    <row r="242" spans="22:22" x14ac:dyDescent="0.2">
      <c r="V242" s="22"/>
    </row>
    <row r="243" spans="22:22" x14ac:dyDescent="0.2">
      <c r="V243" s="22"/>
    </row>
    <row r="244" spans="22:22" x14ac:dyDescent="0.2">
      <c r="V244" s="22"/>
    </row>
    <row r="245" spans="22:22" x14ac:dyDescent="0.2">
      <c r="V245" s="22"/>
    </row>
    <row r="246" spans="22:22" x14ac:dyDescent="0.2">
      <c r="V246" s="22"/>
    </row>
    <row r="247" spans="22:22" x14ac:dyDescent="0.2">
      <c r="V247" s="22"/>
    </row>
    <row r="248" spans="22:22" x14ac:dyDescent="0.2">
      <c r="V248" s="22"/>
    </row>
    <row r="249" spans="22:22" x14ac:dyDescent="0.2">
      <c r="V249" s="22"/>
    </row>
    <row r="250" spans="22:22" x14ac:dyDescent="0.2">
      <c r="V250" s="22"/>
    </row>
    <row r="251" spans="22:22" x14ac:dyDescent="0.2">
      <c r="V251" s="22"/>
    </row>
    <row r="252" spans="22:22" x14ac:dyDescent="0.2">
      <c r="V252" s="22"/>
    </row>
    <row r="253" spans="22:22" x14ac:dyDescent="0.2">
      <c r="V253" s="22"/>
    </row>
    <row r="254" spans="22:22" x14ac:dyDescent="0.2">
      <c r="V254" s="22"/>
    </row>
    <row r="255" spans="22:22" x14ac:dyDescent="0.2">
      <c r="V255" s="22"/>
    </row>
    <row r="256" spans="22:22" x14ac:dyDescent="0.2">
      <c r="V256" s="22"/>
    </row>
    <row r="257" spans="22:22" x14ac:dyDescent="0.2">
      <c r="V257" s="22"/>
    </row>
    <row r="258" spans="22:22" x14ac:dyDescent="0.2">
      <c r="V258" s="22"/>
    </row>
    <row r="259" spans="22:22" x14ac:dyDescent="0.2">
      <c r="V259" s="22"/>
    </row>
    <row r="260" spans="22:22" x14ac:dyDescent="0.2">
      <c r="V260" s="22"/>
    </row>
    <row r="261" spans="22:22" x14ac:dyDescent="0.2">
      <c r="V261" s="22"/>
    </row>
    <row r="262" spans="22:22" x14ac:dyDescent="0.2">
      <c r="V262" s="22"/>
    </row>
    <row r="263" spans="22:22" x14ac:dyDescent="0.2">
      <c r="V263" s="22"/>
    </row>
    <row r="264" spans="22:22" x14ac:dyDescent="0.2">
      <c r="V264" s="22"/>
    </row>
    <row r="265" spans="22:22" x14ac:dyDescent="0.2">
      <c r="V265" s="22"/>
    </row>
    <row r="266" spans="22:22" x14ac:dyDescent="0.2">
      <c r="V266" s="22"/>
    </row>
    <row r="267" spans="22:22" x14ac:dyDescent="0.2">
      <c r="V267" s="22"/>
    </row>
    <row r="268" spans="22:22" x14ac:dyDescent="0.2">
      <c r="V268" s="22"/>
    </row>
    <row r="269" spans="22:22" x14ac:dyDescent="0.2">
      <c r="V269" s="22"/>
    </row>
    <row r="270" spans="22:22" x14ac:dyDescent="0.2">
      <c r="V270" s="22"/>
    </row>
    <row r="271" spans="22:22" x14ac:dyDescent="0.2">
      <c r="V271" s="22"/>
    </row>
    <row r="272" spans="22:22" x14ac:dyDescent="0.2">
      <c r="V272" s="22"/>
    </row>
    <row r="273" spans="22:22" x14ac:dyDescent="0.2">
      <c r="V273" s="22"/>
    </row>
    <row r="274" spans="22:22" x14ac:dyDescent="0.2">
      <c r="V274" s="22"/>
    </row>
    <row r="275" spans="22:22" x14ac:dyDescent="0.2">
      <c r="V275" s="22"/>
    </row>
    <row r="276" spans="22:22" x14ac:dyDescent="0.2">
      <c r="V276" s="22"/>
    </row>
    <row r="277" spans="22:22" x14ac:dyDescent="0.2">
      <c r="V277" s="22"/>
    </row>
    <row r="278" spans="22:22" x14ac:dyDescent="0.2">
      <c r="V278" s="22"/>
    </row>
    <row r="279" spans="22:22" x14ac:dyDescent="0.2">
      <c r="V279" s="22"/>
    </row>
    <row r="280" spans="22:22" x14ac:dyDescent="0.2">
      <c r="V280" s="22"/>
    </row>
    <row r="281" spans="22:22" x14ac:dyDescent="0.2">
      <c r="V281" s="22"/>
    </row>
    <row r="282" spans="22:22" x14ac:dyDescent="0.2">
      <c r="V282" s="22"/>
    </row>
    <row r="283" spans="22:22" x14ac:dyDescent="0.2">
      <c r="V283" s="22"/>
    </row>
    <row r="284" spans="22:22" x14ac:dyDescent="0.2">
      <c r="V284" s="22"/>
    </row>
    <row r="285" spans="22:22" x14ac:dyDescent="0.2">
      <c r="V285" s="22"/>
    </row>
    <row r="286" spans="22:22" x14ac:dyDescent="0.2">
      <c r="V286" s="22"/>
    </row>
    <row r="287" spans="22:22" x14ac:dyDescent="0.2">
      <c r="V287" s="22"/>
    </row>
    <row r="288" spans="22:22" x14ac:dyDescent="0.2">
      <c r="V288" s="22"/>
    </row>
    <row r="289" spans="22:22" x14ac:dyDescent="0.2">
      <c r="V289" s="22"/>
    </row>
    <row r="290" spans="22:22" x14ac:dyDescent="0.2">
      <c r="V290" s="22"/>
    </row>
    <row r="291" spans="22:22" x14ac:dyDescent="0.2">
      <c r="V291" s="22"/>
    </row>
    <row r="292" spans="22:22" x14ac:dyDescent="0.2">
      <c r="V292" s="22"/>
    </row>
    <row r="293" spans="22:22" x14ac:dyDescent="0.2">
      <c r="V293" s="22"/>
    </row>
    <row r="294" spans="22:22" x14ac:dyDescent="0.2">
      <c r="V294" s="22"/>
    </row>
    <row r="295" spans="22:22" x14ac:dyDescent="0.2">
      <c r="V295" s="22"/>
    </row>
    <row r="296" spans="22:22" x14ac:dyDescent="0.2">
      <c r="V296" s="22"/>
    </row>
    <row r="297" spans="22:22" x14ac:dyDescent="0.2">
      <c r="V297" s="22"/>
    </row>
    <row r="298" spans="22:22" x14ac:dyDescent="0.2">
      <c r="V298" s="22"/>
    </row>
    <row r="299" spans="22:22" x14ac:dyDescent="0.2">
      <c r="V299" s="22"/>
    </row>
    <row r="300" spans="22:22" x14ac:dyDescent="0.2">
      <c r="V300" s="22"/>
    </row>
    <row r="301" spans="22:22" x14ac:dyDescent="0.2">
      <c r="V301" s="22"/>
    </row>
    <row r="302" spans="22:22" x14ac:dyDescent="0.2">
      <c r="V302" s="22"/>
    </row>
    <row r="303" spans="22:22" x14ac:dyDescent="0.2">
      <c r="V303" s="22"/>
    </row>
    <row r="304" spans="22:22" x14ac:dyDescent="0.2">
      <c r="V304" s="22"/>
    </row>
    <row r="305" spans="22:22" x14ac:dyDescent="0.2">
      <c r="V305" s="22"/>
    </row>
    <row r="306" spans="22:22" x14ac:dyDescent="0.2">
      <c r="V306" s="22"/>
    </row>
    <row r="307" spans="22:22" x14ac:dyDescent="0.2">
      <c r="V307" s="22"/>
    </row>
    <row r="308" spans="22:22" x14ac:dyDescent="0.2">
      <c r="V308" s="22"/>
    </row>
    <row r="309" spans="22:22" x14ac:dyDescent="0.2">
      <c r="V309" s="22"/>
    </row>
    <row r="310" spans="22:22" x14ac:dyDescent="0.2">
      <c r="V310" s="22"/>
    </row>
    <row r="311" spans="22:22" x14ac:dyDescent="0.2">
      <c r="V311" s="22"/>
    </row>
    <row r="312" spans="22:22" x14ac:dyDescent="0.2">
      <c r="V312" s="22"/>
    </row>
    <row r="313" spans="22:22" x14ac:dyDescent="0.2">
      <c r="V313" s="22"/>
    </row>
    <row r="314" spans="22:22" x14ac:dyDescent="0.2">
      <c r="V314" s="22"/>
    </row>
    <row r="315" spans="22:22" x14ac:dyDescent="0.2">
      <c r="V315" s="22"/>
    </row>
    <row r="316" spans="22:22" x14ac:dyDescent="0.2">
      <c r="V316" s="22"/>
    </row>
    <row r="317" spans="22:22" x14ac:dyDescent="0.2">
      <c r="V317" s="22"/>
    </row>
    <row r="318" spans="22:22" x14ac:dyDescent="0.2">
      <c r="V318" s="22"/>
    </row>
    <row r="319" spans="22:22" x14ac:dyDescent="0.2">
      <c r="V319" s="22"/>
    </row>
    <row r="320" spans="22:22" x14ac:dyDescent="0.2">
      <c r="V320" s="22"/>
    </row>
    <row r="321" spans="22:22" x14ac:dyDescent="0.2">
      <c r="V321" s="22"/>
    </row>
    <row r="322" spans="22:22" x14ac:dyDescent="0.2">
      <c r="V322" s="22"/>
    </row>
    <row r="323" spans="22:22" x14ac:dyDescent="0.2">
      <c r="V323" s="22"/>
    </row>
    <row r="324" spans="22:22" x14ac:dyDescent="0.2">
      <c r="V324" s="22"/>
    </row>
    <row r="325" spans="22:22" x14ac:dyDescent="0.2">
      <c r="V325" s="22"/>
    </row>
    <row r="326" spans="22:22" x14ac:dyDescent="0.2">
      <c r="V326" s="22"/>
    </row>
    <row r="327" spans="22:22" x14ac:dyDescent="0.2">
      <c r="V327" s="22"/>
    </row>
    <row r="328" spans="22:22" x14ac:dyDescent="0.2">
      <c r="V328" s="22"/>
    </row>
    <row r="329" spans="22:22" x14ac:dyDescent="0.2">
      <c r="V329" s="22"/>
    </row>
    <row r="330" spans="22:22" x14ac:dyDescent="0.2">
      <c r="V330" s="22"/>
    </row>
    <row r="331" spans="22:22" x14ac:dyDescent="0.2">
      <c r="V331" s="22"/>
    </row>
    <row r="332" spans="22:22" x14ac:dyDescent="0.2">
      <c r="V332" s="22"/>
    </row>
    <row r="333" spans="22:22" x14ac:dyDescent="0.2">
      <c r="V333" s="22"/>
    </row>
    <row r="334" spans="22:22" x14ac:dyDescent="0.2">
      <c r="V334" s="22"/>
    </row>
    <row r="335" spans="22:22" x14ac:dyDescent="0.2">
      <c r="V335" s="22"/>
    </row>
    <row r="336" spans="22:22" x14ac:dyDescent="0.2">
      <c r="V336" s="22"/>
    </row>
    <row r="337" spans="22:22" x14ac:dyDescent="0.2">
      <c r="V337" s="22"/>
    </row>
    <row r="338" spans="22:22" x14ac:dyDescent="0.2">
      <c r="V338" s="22"/>
    </row>
    <row r="339" spans="22:22" x14ac:dyDescent="0.2">
      <c r="V339" s="22"/>
    </row>
    <row r="340" spans="22:22" x14ac:dyDescent="0.2">
      <c r="V340" s="22"/>
    </row>
    <row r="341" spans="22:22" x14ac:dyDescent="0.2">
      <c r="V341" s="22"/>
    </row>
    <row r="342" spans="22:22" x14ac:dyDescent="0.2">
      <c r="V342" s="22"/>
    </row>
    <row r="343" spans="22:22" x14ac:dyDescent="0.2">
      <c r="V343" s="22"/>
    </row>
    <row r="344" spans="22:22" x14ac:dyDescent="0.2">
      <c r="V344" s="22"/>
    </row>
    <row r="345" spans="22:22" x14ac:dyDescent="0.2">
      <c r="V345" s="22"/>
    </row>
    <row r="346" spans="22:22" x14ac:dyDescent="0.2">
      <c r="V346" s="22"/>
    </row>
    <row r="347" spans="22:22" x14ac:dyDescent="0.2">
      <c r="V347" s="22"/>
    </row>
    <row r="348" spans="22:22" x14ac:dyDescent="0.2">
      <c r="V348" s="22"/>
    </row>
    <row r="349" spans="22:22" x14ac:dyDescent="0.2">
      <c r="V349" s="22"/>
    </row>
    <row r="350" spans="22:22" x14ac:dyDescent="0.2">
      <c r="V350" s="22"/>
    </row>
    <row r="351" spans="22:22" x14ac:dyDescent="0.2">
      <c r="V351" s="22"/>
    </row>
    <row r="352" spans="22:22" x14ac:dyDescent="0.2">
      <c r="V352" s="22"/>
    </row>
    <row r="353" spans="22:22" x14ac:dyDescent="0.2">
      <c r="V353" s="22"/>
    </row>
    <row r="354" spans="22:22" x14ac:dyDescent="0.2">
      <c r="V354" s="22"/>
    </row>
    <row r="355" spans="22:22" x14ac:dyDescent="0.2">
      <c r="V355" s="22"/>
    </row>
    <row r="356" spans="22:22" x14ac:dyDescent="0.2">
      <c r="V356" s="22"/>
    </row>
    <row r="357" spans="22:22" x14ac:dyDescent="0.2">
      <c r="V357" s="22"/>
    </row>
    <row r="358" spans="22:22" x14ac:dyDescent="0.2">
      <c r="V358" s="22"/>
    </row>
    <row r="359" spans="22:22" x14ac:dyDescent="0.2">
      <c r="V359" s="22"/>
    </row>
    <row r="360" spans="22:22" x14ac:dyDescent="0.2">
      <c r="V360" s="22"/>
    </row>
    <row r="361" spans="22:22" x14ac:dyDescent="0.2">
      <c r="V361" s="22"/>
    </row>
    <row r="362" spans="22:22" x14ac:dyDescent="0.2">
      <c r="V362" s="22"/>
    </row>
    <row r="363" spans="22:22" x14ac:dyDescent="0.2">
      <c r="V363" s="22"/>
    </row>
    <row r="364" spans="22:22" x14ac:dyDescent="0.2">
      <c r="V364" s="22"/>
    </row>
    <row r="365" spans="22:22" x14ac:dyDescent="0.2">
      <c r="V365" s="22"/>
    </row>
    <row r="366" spans="22:22" x14ac:dyDescent="0.2">
      <c r="V366" s="22"/>
    </row>
    <row r="367" spans="22:22" x14ac:dyDescent="0.2">
      <c r="V367" s="22"/>
    </row>
    <row r="368" spans="22:22" x14ac:dyDescent="0.2">
      <c r="V368" s="22"/>
    </row>
    <row r="369" spans="22:22" x14ac:dyDescent="0.2">
      <c r="V369" s="22"/>
    </row>
    <row r="370" spans="22:22" x14ac:dyDescent="0.2">
      <c r="V370" s="22"/>
    </row>
    <row r="371" spans="22:22" x14ac:dyDescent="0.2">
      <c r="V371" s="22"/>
    </row>
    <row r="372" spans="22:22" x14ac:dyDescent="0.2">
      <c r="V372" s="22"/>
    </row>
    <row r="373" spans="22:22" x14ac:dyDescent="0.2">
      <c r="V373" s="22"/>
    </row>
    <row r="374" spans="22:22" x14ac:dyDescent="0.2">
      <c r="V374" s="22"/>
    </row>
    <row r="375" spans="22:22" x14ac:dyDescent="0.2">
      <c r="V375" s="22"/>
    </row>
    <row r="376" spans="22:22" x14ac:dyDescent="0.2">
      <c r="V376" s="22"/>
    </row>
    <row r="377" spans="22:22" x14ac:dyDescent="0.2">
      <c r="V377" s="22"/>
    </row>
    <row r="378" spans="22:22" x14ac:dyDescent="0.2">
      <c r="V378" s="22"/>
    </row>
    <row r="379" spans="22:22" x14ac:dyDescent="0.2">
      <c r="V379" s="22"/>
    </row>
    <row r="380" spans="22:22" x14ac:dyDescent="0.2">
      <c r="V380" s="22"/>
    </row>
    <row r="381" spans="22:22" x14ac:dyDescent="0.2">
      <c r="V381" s="22"/>
    </row>
    <row r="382" spans="22:22" x14ac:dyDescent="0.2">
      <c r="V382" s="22"/>
    </row>
    <row r="383" spans="22:22" x14ac:dyDescent="0.2">
      <c r="V383" s="22"/>
    </row>
    <row r="384" spans="22:22" x14ac:dyDescent="0.2">
      <c r="V384" s="22"/>
    </row>
  </sheetData>
  <mergeCells count="5">
    <mergeCell ref="A4:B4"/>
    <mergeCell ref="A5:B5"/>
    <mergeCell ref="A1:V1"/>
    <mergeCell ref="A2:V2"/>
    <mergeCell ref="A3:V3"/>
  </mergeCells>
  <phoneticPr fontId="0" type="noConversion"/>
  <printOptions horizontalCentered="1"/>
  <pageMargins left="0.25" right="0.25" top="0.48" bottom="0.25" header="0.23" footer="0.5"/>
  <pageSetup scale="45" orientation="portrait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 Time</vt:lpstr>
      <vt:lpstr>'Real Time'!Print_Area</vt:lpstr>
      <vt:lpstr>'Real Time'!Print_Titles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dcterms:created xsi:type="dcterms:W3CDTF">2001-09-05T16:12:54Z</dcterms:created>
  <dcterms:modified xsi:type="dcterms:W3CDTF">2023-09-09T18:58:39Z</dcterms:modified>
</cp:coreProperties>
</file>