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7B1544B-1C5B-43AF-8242-0A2870E975FD}" xr6:coauthVersionLast="47" xr6:coauthVersionMax="47" xr10:uidLastSave="{00000000-0000-0000-0000-000000000000}"/>
  <bookViews>
    <workbookView xWindow="-120" yWindow="-120" windowWidth="38640" windowHeight="15720"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Deals!$D$88</definedName>
    <definedName name="CISOEndDate">Deals!$D$89</definedName>
    <definedName name="cRows">COUNTA(#REF!)</definedName>
    <definedName name="CurrDate">[1]Top!#REF!</definedName>
    <definedName name="DataAll">Deals!$A$2:$AF$226</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9">Top!$E$5</definedName>
    <definedName name="EndofDPoint">Deals!$C$87</definedName>
    <definedName name="EndofDType">Deals!$B$87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D11" i="6"/>
  <c r="AE11" i="6"/>
  <c r="AF11" i="6"/>
  <c r="AD12" i="6"/>
  <c r="AE12" i="6"/>
  <c r="AF12" i="6"/>
  <c r="AD13" i="6"/>
  <c r="AE13" i="6"/>
  <c r="AF13" i="6"/>
  <c r="AD14" i="6"/>
  <c r="AE14" i="6"/>
  <c r="AF14" i="6"/>
  <c r="AD15" i="6"/>
  <c r="AE15" i="6"/>
  <c r="AF15" i="6"/>
  <c r="AD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1" i="6"/>
  <c r="AE71" i="6"/>
  <c r="AF71" i="6"/>
  <c r="AD72" i="6"/>
  <c r="AE72" i="6"/>
  <c r="AF72" i="6"/>
  <c r="AD73" i="6"/>
  <c r="AE73" i="6"/>
  <c r="AF73" i="6"/>
  <c r="AD74" i="6"/>
  <c r="AE74" i="6"/>
  <c r="AF74" i="6"/>
  <c r="AD75" i="6"/>
  <c r="AE75" i="6"/>
  <c r="AF75" i="6"/>
  <c r="AD77" i="6"/>
  <c r="AE77" i="6"/>
  <c r="AF77" i="6"/>
  <c r="AD78" i="6"/>
  <c r="AE78" i="6"/>
  <c r="AF78" i="6"/>
  <c r="AD79" i="6"/>
  <c r="AE79" i="6"/>
  <c r="AF79" i="6"/>
  <c r="AD80" i="6"/>
  <c r="AE80" i="6"/>
  <c r="AF80" i="6"/>
  <c r="AD81" i="6"/>
  <c r="AE81" i="6"/>
  <c r="AF81" i="6"/>
  <c r="AD82" i="6"/>
  <c r="AE82" i="6"/>
  <c r="AF82" i="6"/>
  <c r="X84" i="6"/>
  <c r="AD84" i="6"/>
  <c r="AE84" i="6"/>
  <c r="AF84" i="6"/>
  <c r="AD85" i="6"/>
  <c r="AE85" i="6"/>
  <c r="AF85" i="6"/>
  <c r="F92" i="6"/>
  <c r="G92" i="6"/>
  <c r="F93" i="6"/>
  <c r="G93" i="6"/>
  <c r="AD93" i="6"/>
  <c r="AE93" i="6"/>
  <c r="F94" i="6"/>
  <c r="G94" i="6"/>
  <c r="AD94" i="6"/>
  <c r="AE94" i="6"/>
  <c r="F95" i="6"/>
  <c r="G95" i="6"/>
  <c r="F96" i="6"/>
  <c r="G96" i="6"/>
  <c r="F97" i="6"/>
  <c r="G97" i="6"/>
  <c r="F98" i="6"/>
  <c r="G98" i="6"/>
  <c r="AD98" i="6"/>
  <c r="AE98" i="6"/>
  <c r="F99" i="6"/>
  <c r="G99" i="6"/>
  <c r="F100" i="6"/>
  <c r="G100" i="6"/>
  <c r="F101" i="6"/>
  <c r="G101" i="6"/>
  <c r="F102" i="6"/>
  <c r="G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bmeyers</author>
  </authors>
  <commentList>
    <comment ref="C18" authorId="0" shapeId="0">
      <text>
        <r>
          <rPr>
            <sz val="10"/>
            <color indexed="81"/>
            <rFont val="Tahoma"/>
            <family val="2"/>
          </rPr>
          <t>NOTE TO SELF.
The CALPX lines are hidden.  They are rows 14-61.</t>
        </r>
      </text>
    </comment>
    <comment ref="C81" authorId="1" shapeId="0">
      <text>
        <r>
          <rPr>
            <b/>
            <sz val="12"/>
            <color indexed="81"/>
            <rFont val="Tahoma"/>
            <family val="2"/>
          </rPr>
          <t>bmeyers:</t>
        </r>
        <r>
          <rPr>
            <sz val="12"/>
            <color indexed="81"/>
            <rFont val="Tahoma"/>
            <family val="2"/>
          </rPr>
          <t xml:space="preserve">
This Deal actually came on the Artesia Line, on SPS Tranny .</t>
        </r>
      </text>
    </comment>
    <comment ref="X84" authorId="1" shapeId="0">
      <text>
        <r>
          <rPr>
            <b/>
            <sz val="12"/>
            <color indexed="81"/>
            <rFont val="Tahoma"/>
            <family val="2"/>
          </rPr>
          <t>bmeyers:</t>
        </r>
        <r>
          <rPr>
            <sz val="12"/>
            <color indexed="81"/>
            <rFont val="Tahoma"/>
            <family val="2"/>
          </rPr>
          <t xml:space="preserve">
I bought 25mw of spin integrated to a 13 @ the half hour mark.</t>
        </r>
      </text>
    </comment>
  </commentList>
</comments>
</file>

<file path=xl/comments2.xml><?xml version="1.0" encoding="utf-8"?>
<comments xmlns="http://schemas.openxmlformats.org/spreadsheetml/2006/main">
  <authors>
    <author>bmeyers</author>
    <author>A satisfied Microsoft Office user</author>
  </authors>
  <commentList>
    <comment ref="T58" authorId="0" shapeId="0">
      <text>
        <r>
          <rPr>
            <b/>
            <sz val="12"/>
            <color indexed="81"/>
            <rFont val="Tahoma"/>
            <family val="2"/>
          </rPr>
          <t>bmeyers:</t>
        </r>
        <r>
          <rPr>
            <sz val="12"/>
            <color indexed="81"/>
            <rFont val="Tahoma"/>
            <family val="2"/>
          </rPr>
          <t xml:space="preserve">
I bought 25mw of spin integrated to a 13mw @ the half hour mark.</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<sst xmlns="http://schemas.openxmlformats.org/spreadsheetml/2006/main" count="735" uniqueCount="387">
  <si>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</si>
  <si>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</si>
  <si>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</si>
  <si>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</si>
  <si>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</si>
  <si>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</si>
  <si>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</si>
  <si>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</si>
  <si>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</si>
  <si>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</si>
  <si>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</si>
  <si>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</si>
  <si>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</si>
  <si>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</si>
  <si>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</si>
  <si>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</si>
  <si>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</si>
  <si>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</si>
  <si>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</si>
  <si>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</si>
  <si>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</si>
  <si>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</si>
  <si>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</si>
  <si>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</si>
  <si>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</si>
  <si>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</si>
  <si>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</si>
  <si>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</si>
  <si>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</si>
  <si>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</si>
  <si>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</si>
  <si>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</si>
  <si>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</si>
  <si>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</si>
  <si>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</si>
  <si>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</si>
  <si>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</si>
  <si>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</si>
  <si>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</si>
  <si>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</si>
  <si>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</si>
  <si>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</si>
  <si>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</si>
  <si>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</si>
  <si>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</si>
  <si>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</si>
  <si>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</si>
  <si>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</si>
  <si>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</si>
  <si>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</si>
  <si>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</si>
  <si>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</si>
  <si>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</si>
  <si>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</si>
  <si>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</si>
  <si>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</si>
  <si>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</si>
  <si>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</si>
  <si>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</si>
  <si>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</si>
  <si>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</si>
  <si>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</si>
  <si>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</si>
  <si>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</si>
  <si>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</si>
  <si>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</si>
  <si>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</si>
  <si>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</si>
  <si>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</si>
  <si>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</si>
  <si>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</si>
  <si>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</si>
  <si>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</si>
  <si>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</si>
  <si>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</si>
  <si>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</si>
  <si>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</si>
  <si>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</si>
  <si>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</si>
  <si>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</si>
  <si>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</si>
  <si>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</si>
  <si>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</si>
  <si>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</si>
  <si>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</si>
  <si>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</si>
  <si>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</si>
  <si>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</si>
  <si>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</si>
  <si>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</si>
  <si>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</si>
  <si>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</si>
  <si>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</si>
  <si>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</si>
  <si>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</si>
  <si>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</si>
  <si>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</si>
  <si>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</si>
  <si>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</si>
  <si>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</si>
  <si>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</si>
  <si>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</si>
  <si>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</si>
  <si>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</si>
  <si>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</si>
  <si>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</si>
  <si>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</si>
  <si>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</si>
  <si>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</si>
  <si>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</si>
  <si>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</si>
  <si>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</si>
  <si>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</si>
  <si>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</si>
  <si>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</si>
  <si>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</si>
  <si>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</si>
  <si>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</si>
  <si>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</si>
  <si>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</si>
  <si>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</si>
  <si>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</si>
  <si>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</si>
  <si>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</si>
  <si>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</si>
  <si>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</si>
  <si>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</si>
  <si>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</si>
  <si>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</si>
  <si>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</si>
  <si>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</si>
  <si>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</si>
  <si>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</si>
  <si>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</si>
  <si>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</si>
  <si>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</si>
  <si>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</si>
  <si>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</si>
  <si>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</si>
  <si>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</si>
  <si>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</si>
  <si>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</si>
  <si>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</si>
  <si>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</si>
  <si>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</si>
  <si>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</si>
  <si>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</si>
  <si>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</si>
  <si>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</si>
  <si>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</si>
  <si>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</si>
  <si>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</si>
  <si>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</si>
  <si>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</si>
  <si>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</si>
  <si>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</si>
  <si>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</si>
  <si>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</si>
  <si>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</si>
  <si>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</si>
  <si>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</si>
  <si>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</si>
  <si>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</si>
  <si>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</si>
  <si>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</si>
  <si>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</si>
  <si>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</si>
  <si>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</si>
  <si>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</si>
  <si>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</si>
  <si>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</si>
  <si>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</si>
  <si>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</si>
  <si>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</si>
  <si>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</si>
  <si>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</si>
  <si>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</si>
  <si>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</si>
  <si>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</si>
  <si>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</si>
  <si>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</si>
  <si>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</si>
  <si>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</si>
  <si>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</si>
  <si>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</si>
  <si>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</si>
  <si>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</si>
  <si>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</si>
  <si>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</si>
  <si>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</si>
  <si>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</si>
  <si>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</si>
  <si>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</si>
  <si>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</si>
  <si>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</si>
  <si>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</si>
  <si>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</si>
  <si>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</si>
  <si>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</si>
  <si>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</si>
  <si>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</si>
  <si>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</si>
  <si>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</si>
  <si>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</si>
  <si>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</si>
  <si>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</si>
  <si>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</si>
  <si>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</si>
  <si>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</si>
  <si>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</si>
  <si>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</si>
  <si>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</si>
  <si>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</si>
  <si>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</si>
  <si>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</si>
  <si>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</si>
  <si>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</si>
  <si>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</si>
  <si>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</si>
  <si>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</si>
  <si>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</si>
  <si>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</si>
  <si>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</si>
  <si>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</si>
  <si>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</si>
  <si>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</si>
  <si>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</si>
  <si>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</si>
  <si>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</si>
  <si>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</si>
  <si>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</si>
  <si>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</si>
  <si>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</si>
  <si>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</si>
  <si>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</si>
  <si>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</si>
  <si>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</si>
  <si>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</si>
  <si>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</si>
  <si>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</si>
  <si>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</si>
  <si>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</si>
  <si>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</si>
  <si>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</si>
  <si>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</si>
  <si>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</si>
  <si>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</si>
  <si>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</si>
  <si>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</si>
  <si>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</si>
  <si>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</si>
  <si>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</si>
  <si>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</si>
  <si>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</si>
  <si>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</si>
  <si>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</si>
  <si>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</si>
  <si>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</si>
  <si>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</si>
  <si>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</si>
  <si>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</si>
  <si>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</si>
  <si>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</si>
  <si>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</si>
  <si>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</si>
  <si>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</si>
  <si>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</si>
  <si>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</si>
  <si>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</si>
  <si>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</si>
  <si>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</si>
  <si>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</si>
  <si>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</si>
  <si>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</si>
  <si>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</si>
  <si>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</si>
  <si>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</si>
  <si>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</si>
  <si>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</si>
  <si>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</si>
  <si>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</si>
  <si>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</si>
  <si>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</si>
  <si>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</si>
  <si>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</si>
  <si>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</si>
  <si>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</si>
  <si>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</si>
  <si>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</si>
  <si>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</si>
  <si>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</si>
  <si>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</si>
  <si>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</si>
  <si>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</si>
  <si>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</si>
  <si>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</si>
  <si>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</si>
  <si>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</si>
  <si>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</si>
  <si>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</si>
  <si>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</si>
  <si>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</si>
  <si>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</si>
  <si>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</si>
  <si>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</si>
  <si>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</si>
  <si>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</si>
  <si>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</si>
  <si>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</si>
  <si>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</si>
  <si>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</si>
  <si>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</si>
  <si>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</si>
  <si>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</si>
  <si>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</si>
  <si>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</si>
  <si>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</si>
  <si>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</si>
  <si>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</si>
  <si>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</si>
  <si>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</si>
  <si>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</si>
  <si>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</si>
  <si>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</si>
  <si>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</si>
  <si>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</si>
  <si>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</si>
  <si>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</si>
  <si>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</si>
  <si>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</si>
  <si>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</si>
  <si>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</si>
  <si>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</si>
  <si>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</si>
  <si>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</si>
  <si>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</si>
  <si>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</si>
  <si>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</si>
  <si>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</si>
  <si>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</si>
  <si>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</si>
  <si>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</si>
  <si>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</si>
  <si>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</si>
  <si>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</si>
  <si>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</si>
  <si>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</si>
  <si>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</si>
  <si>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</si>
  <si>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</si>
  <si>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</si>
  <si>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</si>
  <si>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</si>
  <si>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</si>
  <si>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</si>
  <si>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</si>
  <si>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</si>
  <si>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</si>
  <si>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</si>
  <si>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</si>
  <si>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</si>
  <si>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</si>
  <si>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</si>
  <si>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</si>
  <si>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</si>
  <si>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ISO</t>
  </si>
  <si>
    <t>NEWMAN 1 ,AVAL, -0  , 75  , 39  , 83  ,  0  ,1</t>
  </si>
  <si>
    <t>RIOGRAN 7,UNAV,  0  , 38  , 32  , 49  ,  0  ,1</t>
  </si>
  <si>
    <t>RIOGRAN 8,UNAV,  0  ,120  , 36  ,151  ,  0  ,1</t>
  </si>
  <si>
    <t>NEWMAN 2 ,AVAL, -0  , 77  , 34  , 83  ,  0  ,1</t>
  </si>
  <si>
    <t>Econ</t>
  </si>
  <si>
    <t>NM/GT2+ST,UNAV,  0  ,100  , 66  ,107  ,  0  ,1</t>
  </si>
  <si>
    <t>NEWMN/GT1,UNAV,  0  , 60  , 18  , 60  ,  0  ,1</t>
  </si>
  <si>
    <t>NEWMN/GT2,UNAV,  0  , 60  , 18  , 60  ,  0  ,1</t>
  </si>
  <si>
    <t>FOURCRNRS,MANL, 42  , 42  , 42  ,104  ,  0  ,1</t>
  </si>
  <si>
    <t>PALOVERDE,MANL,605  ,600  ,600  ,600  ,  0  ,1</t>
  </si>
  <si>
    <t>Firm</t>
  </si>
  <si>
    <t>RELIANT</t>
  </si>
  <si>
    <t>COPPER   ,AVAL, -0  , 69  , 15  , 69  ,  0  ,1</t>
  </si>
  <si>
    <t>NEWMAN 3 ,ECON, 69  ,100  , 35  ,103  , 33  ,1</t>
  </si>
  <si>
    <t>NEWMAN 4 ,ECON,154  ,215  , 86  ,214  , 63  ,1</t>
  </si>
  <si>
    <t xml:space="preserve">NEWMAN   ,, 221 ,  315,  121, 317 ,  96 , </t>
  </si>
  <si>
    <t>RIOGRAN 6,MANL, 29  , 47  , 29  , 48  ,  0  ,1</t>
  </si>
  <si>
    <t xml:space="preserve">RIOGRANDE,,  29 ,   47,   29,  48 ,   0 , </t>
  </si>
  <si>
    <t>LAMBDA, 33.15,  742,  741,  114,    1,    0,12523,0</t>
  </si>
  <si>
    <t>AEP (CISO)</t>
  </si>
  <si>
    <t>EXELON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</si>
</sst>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12"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8A53BBFE-2FFE-CD85-843D-FD2A49932B5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267375A-C529-83E4-75B8-E48EA1128A9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87</xdr:row>
          <xdr:rowOff>171450</xdr:rowOff>
        </xdr:from>
        <xdr:to>
          <xdr:col>12</xdr:col>
          <xdr:colOff>95250</xdr:colOff>
          <xdr:row>88</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BCCE0F1C-85E0-B798-BE37-343C5754D41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89</xdr:row>
      <xdr:rowOff>66675</xdr:rowOff>
    </xdr:from>
    <xdr:to>
      <xdr:col>23</xdr:col>
      <xdr:colOff>114300</xdr:colOff>
      <xdr:row>104</xdr:row>
      <xdr:rowOff>19050</xdr:rowOff>
    </xdr:to>
    <xdr:sp macro="" textlink="">
      <xdr:nvSpPr>
        <xdr:cNvPr id="2303" name="Text Box 255">
          <a:extLst>
            <a:ext uri="{FF2B5EF4-FFF2-40B4-BE49-F238E27FC236}">
              <a16:creationId xmlns:a16="http://schemas.microsoft.com/office/drawing/2014/main" id="{E9ED6443-59A2-EA5E-1983-889DD9E6D1AF}"/>
            </a:ext>
          </a:extLst>
        </xdr:cNvPr>
        <xdr:cNvSpPr txBox="1">
          <a:spLocks noChangeArrowheads="1"/>
        </xdr:cNvSpPr>
      </xdr:nvSpPr>
      <xdr:spPr bwMode="auto">
        <a:xfrm>
          <a:off x="5372100" y="6772275"/>
          <a:ext cx="716280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47C3B440-646B-0B25-BCC7-CA41697AC49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69EFCEB-4D41-DB19-88FC-749031FAD68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D248DA88-7B94-E11B-47C4-D7E00F182E0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1DAEF7A5-E39B-8260-09E3-C80AAC743A6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8"/>
  <sheetViews>
    <sheetView showGridLines="0" tabSelected="1" zoomScale="60" zoomScaleNormal="65" workbookViewId="0">
      <selection activeCell="A80" sqref="A80"/>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9.42578125" style="370" customWidth="1"/>
    <col min="13" max="13" width="6.1406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
      <c r="A3" s="648" t="s">
        <v>62</v>
      </c>
      <c r="B3" s="654" t="s">
        <v>61</v>
      </c>
      <c r="C3" s="655" t="s">
        <v>151</v>
      </c>
      <c r="D3" s="655"/>
      <c r="E3" s="651"/>
      <c r="F3" s="707">
        <v>65</v>
      </c>
      <c r="G3" s="707">
        <v>50</v>
      </c>
      <c r="H3" s="707">
        <v>50</v>
      </c>
      <c r="I3" s="707">
        <v>50</v>
      </c>
      <c r="J3" s="707">
        <v>50</v>
      </c>
      <c r="K3" s="707">
        <v>50</v>
      </c>
      <c r="L3" s="707">
        <v>60</v>
      </c>
      <c r="M3" s="707">
        <v>70</v>
      </c>
      <c r="N3" s="707">
        <v>95</v>
      </c>
      <c r="O3" s="707">
        <v>95</v>
      </c>
      <c r="P3" s="707">
        <v>85</v>
      </c>
      <c r="Q3" s="707">
        <v>80</v>
      </c>
      <c r="R3" s="707">
        <v>80</v>
      </c>
      <c r="S3" s="707">
        <v>70</v>
      </c>
      <c r="T3" s="707">
        <v>70</v>
      </c>
      <c r="U3" s="707">
        <v>70</v>
      </c>
      <c r="V3" s="707">
        <v>70</v>
      </c>
      <c r="W3" s="707">
        <v>70</v>
      </c>
      <c r="X3" s="707">
        <v>110</v>
      </c>
      <c r="Y3" s="707">
        <v>110</v>
      </c>
      <c r="Z3" s="707">
        <v>110</v>
      </c>
      <c r="AA3" s="707">
        <v>110</v>
      </c>
      <c r="AB3" s="707">
        <v>90</v>
      </c>
      <c r="AC3" s="707">
        <v>80</v>
      </c>
      <c r="AD3" s="640">
        <f>SUM(F3:AC3)</f>
        <v>1840</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
      <c r="A7" s="650" t="s">
        <v>3</v>
      </c>
      <c r="B7" s="658"/>
      <c r="C7" s="658" t="s">
        <v>363</v>
      </c>
      <c r="D7" s="658"/>
      <c r="E7" s="683"/>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4"/>
      <c r="AF7" s="685"/>
    </row>
    <row r="8" spans="1:75" s="356" customFormat="1" ht="11.25" customHeight="1" x14ac:dyDescent="0.2">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SUM(F8:AC8)</f>
        <v>0</v>
      </c>
      <c r="AE8" s="594"/>
      <c r="AF8" s="534"/>
    </row>
    <row r="9" spans="1:75" s="404" customFormat="1" x14ac:dyDescent="0.2">
      <c r="A9" s="650" t="s">
        <v>365</v>
      </c>
      <c r="B9" s="658"/>
      <c r="C9" s="704" t="s">
        <v>151</v>
      </c>
      <c r="D9" s="658"/>
      <c r="E9" s="683"/>
      <c r="F9" s="636">
        <v>50</v>
      </c>
      <c r="G9" s="636">
        <v>50</v>
      </c>
      <c r="H9" s="636">
        <v>50</v>
      </c>
      <c r="I9" s="636">
        <v>50</v>
      </c>
      <c r="J9" s="636">
        <v>50</v>
      </c>
      <c r="K9" s="636">
        <v>50</v>
      </c>
      <c r="L9" s="636">
        <v>50</v>
      </c>
      <c r="M9" s="636"/>
      <c r="N9" s="636"/>
      <c r="O9" s="636"/>
      <c r="P9" s="636"/>
      <c r="Q9" s="636"/>
      <c r="R9" s="636"/>
      <c r="S9" s="636"/>
      <c r="T9" s="636"/>
      <c r="U9" s="636"/>
      <c r="V9" s="636"/>
      <c r="W9" s="636"/>
      <c r="X9" s="636"/>
      <c r="Y9" s="636"/>
      <c r="Z9" s="636"/>
      <c r="AA9" s="636"/>
      <c r="AB9" s="636"/>
      <c r="AC9" s="636">
        <v>50</v>
      </c>
      <c r="AD9" s="593">
        <f>SUM(F9:AC9)</f>
        <v>400</v>
      </c>
      <c r="AE9" s="689"/>
      <c r="AF9" s="690"/>
    </row>
    <row r="10" spans="1:75" s="404" customFormat="1" x14ac:dyDescent="0.2">
      <c r="A10" s="650" t="s">
        <v>365</v>
      </c>
      <c r="B10" s="658"/>
      <c r="C10" s="704" t="s">
        <v>151</v>
      </c>
      <c r="D10" s="658"/>
      <c r="E10" s="683"/>
      <c r="F10" s="636">
        <v>103</v>
      </c>
      <c r="G10" s="636">
        <v>103</v>
      </c>
      <c r="H10" s="636">
        <v>103</v>
      </c>
      <c r="I10" s="636">
        <v>103</v>
      </c>
      <c r="J10" s="636">
        <v>103</v>
      </c>
      <c r="K10" s="636">
        <v>103</v>
      </c>
      <c r="L10" s="636">
        <v>103</v>
      </c>
      <c r="M10" s="636"/>
      <c r="N10" s="636"/>
      <c r="O10" s="636"/>
      <c r="P10" s="636"/>
      <c r="Q10" s="636"/>
      <c r="R10" s="636"/>
      <c r="S10" s="636"/>
      <c r="T10" s="636"/>
      <c r="U10" s="636"/>
      <c r="V10" s="636"/>
      <c r="W10" s="636"/>
      <c r="X10" s="636"/>
      <c r="Y10" s="636"/>
      <c r="Z10" s="636"/>
      <c r="AA10" s="636"/>
      <c r="AB10" s="636"/>
      <c r="AC10" s="636">
        <v>103</v>
      </c>
      <c r="AD10" s="593">
        <f>SUM(F10:AC10)</f>
        <v>824</v>
      </c>
      <c r="AE10" s="689"/>
      <c r="AF10" s="690"/>
    </row>
    <row r="11" spans="1:75" s="404" customFormat="1" x14ac:dyDescent="0.2">
      <c r="A11" s="650" t="s">
        <v>65</v>
      </c>
      <c r="B11" s="658"/>
      <c r="C11" s="704" t="s">
        <v>151</v>
      </c>
      <c r="D11" s="658"/>
      <c r="E11" s="683"/>
      <c r="F11" s="636">
        <v>25</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ref="AD11:AD16" si="0">SUM(E11:AC11)</f>
        <v>25</v>
      </c>
      <c r="AE11" s="689">
        <f>AD11*D11</f>
        <v>0</v>
      </c>
      <c r="AF11" s="690" t="str">
        <f>IF(AD11&lt;0,"buy","sell")</f>
        <v>sell</v>
      </c>
    </row>
    <row r="12" spans="1:75" s="404" customFormat="1" x14ac:dyDescent="0.2">
      <c r="A12" s="650" t="s">
        <v>224</v>
      </c>
      <c r="B12" s="704"/>
      <c r="C12" s="704" t="s">
        <v>151</v>
      </c>
      <c r="D12" s="658"/>
      <c r="E12" s="683"/>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0"/>
        <v>25</v>
      </c>
      <c r="AE12" s="689">
        <f>AD12*D12</f>
        <v>0</v>
      </c>
      <c r="AF12" s="690" t="str">
        <f>IF(AD12&lt;0,"buy","sell")</f>
        <v>sell</v>
      </c>
    </row>
    <row r="13" spans="1:75" s="404" customFormat="1" x14ac:dyDescent="0.2">
      <c r="A13" s="650"/>
      <c r="B13" s="704"/>
      <c r="C13" s="658"/>
      <c r="D13" s="658"/>
      <c r="E13" s="683"/>
      <c r="F13" s="636"/>
      <c r="G13" s="636"/>
      <c r="H13" s="636"/>
      <c r="I13" s="636"/>
      <c r="J13" s="636"/>
      <c r="K13" s="636"/>
      <c r="L13" s="636"/>
      <c r="M13" s="636"/>
      <c r="N13" s="636"/>
      <c r="O13" s="636"/>
      <c r="P13" s="636"/>
      <c r="Q13" s="636"/>
      <c r="R13" s="636"/>
      <c r="S13" s="636"/>
      <c r="T13" s="636"/>
      <c r="U13" s="636"/>
      <c r="V13" s="636"/>
      <c r="W13" s="636"/>
      <c r="X13" s="636"/>
      <c r="Y13" s="636"/>
      <c r="Z13" s="636"/>
      <c r="AA13" s="636"/>
      <c r="AB13" s="636"/>
      <c r="AC13" s="709"/>
      <c r="AD13" s="593">
        <f t="shared" si="0"/>
        <v>0</v>
      </c>
      <c r="AE13" s="689">
        <f>AD13*D13</f>
        <v>0</v>
      </c>
      <c r="AF13" s="690" t="str">
        <f>IF(AD13&lt;0,"buy","sell")</f>
        <v>sell</v>
      </c>
    </row>
    <row r="14" spans="1:75" s="404" customFormat="1" x14ac:dyDescent="0.2">
      <c r="A14" s="650"/>
      <c r="B14" s="704"/>
      <c r="C14" s="658"/>
      <c r="D14" s="658"/>
      <c r="E14" s="683"/>
      <c r="F14" s="636"/>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0"/>
        <v>0</v>
      </c>
      <c r="AE14" s="689">
        <f>AD14*D14</f>
        <v>0</v>
      </c>
      <c r="AF14" s="690" t="str">
        <f>IF(AD14&lt;0,"buy","sell")</f>
        <v>sell</v>
      </c>
    </row>
    <row r="15" spans="1:75" s="404" customFormat="1" x14ac:dyDescent="0.2">
      <c r="A15" s="650"/>
      <c r="B15" s="704"/>
      <c r="C15" s="658"/>
      <c r="D15" s="658"/>
      <c r="E15" s="683"/>
      <c r="F15" s="636"/>
      <c r="G15" s="636"/>
      <c r="H15" s="636"/>
      <c r="I15" s="636"/>
      <c r="J15" s="636"/>
      <c r="K15" s="636"/>
      <c r="L15" s="636"/>
      <c r="M15" s="636"/>
      <c r="N15" s="636"/>
      <c r="O15" s="636"/>
      <c r="P15" s="636"/>
      <c r="Q15" s="636"/>
      <c r="R15" s="636"/>
      <c r="S15" s="636"/>
      <c r="T15" s="636"/>
      <c r="U15" s="636"/>
      <c r="V15" s="636"/>
      <c r="W15" s="636"/>
      <c r="X15" s="636"/>
      <c r="Y15" s="636"/>
      <c r="Z15" s="636"/>
      <c r="AA15" s="636"/>
      <c r="AB15" s="636"/>
      <c r="AC15" s="636"/>
      <c r="AD15" s="593">
        <f t="shared" si="0"/>
        <v>0</v>
      </c>
      <c r="AE15" s="689">
        <f>AD15*D15</f>
        <v>0</v>
      </c>
      <c r="AF15" s="690" t="str">
        <f>IF(AD15&lt;0,"buy","sell")</f>
        <v>sell</v>
      </c>
    </row>
    <row r="16" spans="1:75" s="356" customFormat="1" ht="11.25" customHeight="1" x14ac:dyDescent="0.2">
      <c r="A16" s="650"/>
      <c r="B16" s="658"/>
      <c r="C16" s="658"/>
      <c r="D16" s="658"/>
      <c r="E16" s="653"/>
      <c r="F16" s="636"/>
      <c r="G16" s="636"/>
      <c r="H16" s="636"/>
      <c r="I16" s="636"/>
      <c r="J16" s="636"/>
      <c r="K16" s="636"/>
      <c r="L16" s="636"/>
      <c r="M16" s="636"/>
      <c r="N16" s="636"/>
      <c r="O16" s="636"/>
      <c r="P16" s="636"/>
      <c r="Q16" s="636"/>
      <c r="R16" s="636"/>
      <c r="S16" s="636"/>
      <c r="T16" s="636"/>
      <c r="U16" s="636"/>
      <c r="V16" s="636"/>
      <c r="W16" s="636"/>
      <c r="X16" s="636"/>
      <c r="Y16" s="636"/>
      <c r="Z16" s="636"/>
      <c r="AA16" s="636"/>
      <c r="AB16" s="636"/>
      <c r="AC16" s="636"/>
      <c r="AD16" s="593">
        <f t="shared" si="0"/>
        <v>0</v>
      </c>
      <c r="AE16" s="689"/>
      <c r="AF16" s="690"/>
    </row>
    <row r="17" spans="1:32" s="356" customFormat="1" x14ac:dyDescent="0.2">
      <c r="A17" s="659" t="s">
        <v>205</v>
      </c>
      <c r="B17" s="686"/>
      <c r="C17" s="686"/>
      <c r="D17" s="687"/>
      <c r="E17" s="660"/>
      <c r="F17" s="662"/>
      <c r="G17" s="662"/>
      <c r="H17" s="662"/>
      <c r="I17" s="662"/>
      <c r="J17" s="662"/>
      <c r="K17" s="662"/>
      <c r="L17" s="662"/>
      <c r="M17" s="662"/>
      <c r="N17" s="662"/>
      <c r="O17" s="662"/>
      <c r="P17" s="662"/>
      <c r="Q17" s="662"/>
      <c r="R17" s="662"/>
      <c r="S17" s="662"/>
      <c r="T17" s="662"/>
      <c r="U17" s="662"/>
      <c r="V17" s="662"/>
      <c r="W17" s="662"/>
      <c r="X17" s="662"/>
      <c r="Y17" s="662"/>
      <c r="Z17" s="662"/>
      <c r="AA17" s="662"/>
      <c r="AB17" s="662"/>
      <c r="AC17" s="662"/>
      <c r="AD17" s="638"/>
      <c r="AE17" s="691"/>
      <c r="AF17" s="692"/>
    </row>
    <row r="18" spans="1:32" s="356" customFormat="1" x14ac:dyDescent="0.2">
      <c r="A18" s="611" t="s">
        <v>206</v>
      </c>
      <c r="B18" s="688"/>
      <c r="C18" s="608"/>
      <c r="D18" s="688"/>
      <c r="E18" s="363"/>
      <c r="F18" s="663"/>
      <c r="G18" s="663"/>
      <c r="H18" s="663"/>
      <c r="I18" s="663"/>
      <c r="J18" s="663"/>
      <c r="K18" s="663"/>
      <c r="L18" s="663"/>
      <c r="M18" s="663"/>
      <c r="N18" s="663"/>
      <c r="O18" s="663"/>
      <c r="P18" s="663"/>
      <c r="Q18" s="663"/>
      <c r="R18" s="663"/>
      <c r="S18" s="663"/>
      <c r="T18" s="663"/>
      <c r="U18" s="663"/>
      <c r="V18" s="663"/>
      <c r="W18" s="663"/>
      <c r="X18" s="663"/>
      <c r="Y18" s="663"/>
      <c r="Z18" s="663"/>
      <c r="AA18" s="663"/>
      <c r="AB18" s="663"/>
      <c r="AC18" s="663"/>
      <c r="AD18" s="688"/>
      <c r="AE18" s="693"/>
      <c r="AF18" s="693"/>
    </row>
    <row r="19" spans="1:32" s="356" customFormat="1" hidden="1" x14ac:dyDescent="0.2">
      <c r="A19" s="612" t="s">
        <v>277</v>
      </c>
      <c r="B19" s="478" t="s">
        <v>240</v>
      </c>
      <c r="C19" s="478" t="s">
        <v>151</v>
      </c>
      <c r="D19" s="479">
        <f>F92</f>
        <v>-0.25</v>
      </c>
      <c r="E19" s="479"/>
      <c r="F19" s="482">
        <v>0</v>
      </c>
      <c r="G19" s="664"/>
      <c r="H19" s="482"/>
      <c r="I19" s="482"/>
      <c r="J19" s="482"/>
      <c r="K19" s="482"/>
      <c r="L19" s="482"/>
      <c r="M19" s="482"/>
      <c r="N19" s="482"/>
      <c r="O19" s="482"/>
      <c r="P19" s="482"/>
      <c r="Q19" s="482"/>
      <c r="R19" s="482"/>
      <c r="S19" s="482"/>
      <c r="T19" s="482"/>
      <c r="U19" s="482"/>
      <c r="V19" s="482"/>
      <c r="W19" s="482"/>
      <c r="X19" s="482"/>
      <c r="Y19" s="482"/>
      <c r="Z19" s="482"/>
      <c r="AA19" s="482"/>
      <c r="AB19" s="482"/>
      <c r="AC19" s="665"/>
      <c r="AD19" s="588">
        <f t="shared" ref="AD19:AD74" si="1">SUM(F19:AC19)</f>
        <v>0</v>
      </c>
      <c r="AE19" s="694">
        <f t="shared" ref="AE19:AE67" si="2">AD19*D19</f>
        <v>0</v>
      </c>
      <c r="AF19" s="695" t="str">
        <f>IF(AD19&lt;0,"buy","sell")</f>
        <v>sell</v>
      </c>
    </row>
    <row r="20" spans="1:32" s="356" customFormat="1" hidden="1" x14ac:dyDescent="0.2">
      <c r="A20" s="612" t="s">
        <v>277</v>
      </c>
      <c r="B20" s="478" t="s">
        <v>240</v>
      </c>
      <c r="C20" s="478" t="s">
        <v>151</v>
      </c>
      <c r="D20" s="479">
        <f>F93</f>
        <v>-0.25</v>
      </c>
      <c r="E20" s="479"/>
      <c r="F20" s="482"/>
      <c r="G20" s="482"/>
      <c r="H20" s="482"/>
      <c r="I20" s="482"/>
      <c r="J20" s="482"/>
      <c r="K20" s="482"/>
      <c r="L20" s="482"/>
      <c r="M20" s="482"/>
      <c r="N20" s="482"/>
      <c r="O20" s="482"/>
      <c r="P20" s="482"/>
      <c r="Q20" s="482"/>
      <c r="R20" s="482"/>
      <c r="S20" s="482"/>
      <c r="T20" s="482"/>
      <c r="U20" s="482"/>
      <c r="V20" s="482"/>
      <c r="W20" s="482"/>
      <c r="X20" s="482"/>
      <c r="Y20" s="482"/>
      <c r="Z20" s="482"/>
      <c r="AA20" s="482"/>
      <c r="AB20" s="665"/>
      <c r="AC20" s="665"/>
      <c r="AD20" s="588">
        <f t="shared" si="1"/>
        <v>0</v>
      </c>
      <c r="AE20" s="694">
        <f t="shared" si="2"/>
        <v>0</v>
      </c>
      <c r="AF20" s="695" t="str">
        <f t="shared" ref="AF20:AF42" si="3">IF(AD20&lt;0,"buy","sell")</f>
        <v>sell</v>
      </c>
    </row>
    <row r="21" spans="1:32" s="356" customFormat="1" hidden="1" x14ac:dyDescent="0.2">
      <c r="A21" s="612" t="s">
        <v>277</v>
      </c>
      <c r="B21" s="478" t="s">
        <v>240</v>
      </c>
      <c r="C21" s="478" t="s">
        <v>151</v>
      </c>
      <c r="D21" s="479">
        <f>F94</f>
        <v>-0.25</v>
      </c>
      <c r="E21" s="479"/>
      <c r="F21" s="482"/>
      <c r="G21" s="664"/>
      <c r="H21" s="482"/>
      <c r="I21" s="482"/>
      <c r="J21" s="482"/>
      <c r="K21" s="482"/>
      <c r="L21" s="482"/>
      <c r="M21" s="482"/>
      <c r="N21" s="482"/>
      <c r="O21" s="482"/>
      <c r="P21" s="482"/>
      <c r="Q21" s="482"/>
      <c r="R21" s="482"/>
      <c r="S21" s="482"/>
      <c r="T21" s="482"/>
      <c r="U21" s="482"/>
      <c r="V21" s="482"/>
      <c r="W21" s="482"/>
      <c r="X21" s="482"/>
      <c r="Y21" s="482"/>
      <c r="Z21" s="482"/>
      <c r="AA21" s="482"/>
      <c r="AB21" s="482"/>
      <c r="AC21" s="665"/>
      <c r="AD21" s="588">
        <f t="shared" si="1"/>
        <v>0</v>
      </c>
      <c r="AE21" s="694">
        <f t="shared" si="2"/>
        <v>0</v>
      </c>
      <c r="AF21" s="695" t="str">
        <f t="shared" si="3"/>
        <v>sell</v>
      </c>
    </row>
    <row r="22" spans="1:32" s="356" customFormat="1" hidden="1" x14ac:dyDescent="0.2">
      <c r="A22" s="612" t="s">
        <v>277</v>
      </c>
      <c r="B22" s="478" t="s">
        <v>240</v>
      </c>
      <c r="C22" s="478" t="s">
        <v>151</v>
      </c>
      <c r="D22" s="479">
        <f>F95</f>
        <v>-0.25</v>
      </c>
      <c r="E22" s="479"/>
      <c r="F22" s="482"/>
      <c r="G22" s="664"/>
      <c r="H22" s="482"/>
      <c r="I22" s="482"/>
      <c r="J22" s="482"/>
      <c r="K22" s="482"/>
      <c r="L22" s="482"/>
      <c r="M22" s="482"/>
      <c r="N22" s="482"/>
      <c r="O22" s="482"/>
      <c r="P22" s="482"/>
      <c r="Q22" s="482"/>
      <c r="R22" s="482"/>
      <c r="S22" s="482"/>
      <c r="T22" s="482"/>
      <c r="U22" s="482"/>
      <c r="V22" s="482"/>
      <c r="W22" s="482"/>
      <c r="X22" s="482"/>
      <c r="Y22" s="482"/>
      <c r="Z22" s="482"/>
      <c r="AA22" s="482"/>
      <c r="AB22" s="482"/>
      <c r="AC22" s="665"/>
      <c r="AD22" s="588">
        <f t="shared" si="1"/>
        <v>0</v>
      </c>
      <c r="AE22" s="694">
        <f t="shared" si="2"/>
        <v>0</v>
      </c>
      <c r="AF22" s="695" t="str">
        <f t="shared" si="3"/>
        <v>sell</v>
      </c>
    </row>
    <row r="23" spans="1:32" s="356" customFormat="1" hidden="1" x14ac:dyDescent="0.2">
      <c r="A23" s="612" t="s">
        <v>277</v>
      </c>
      <c r="B23" s="478" t="s">
        <v>240</v>
      </c>
      <c r="C23" s="478" t="s">
        <v>151</v>
      </c>
      <c r="D23" s="479">
        <f t="shared" ref="D23:D42" si="4">F96</f>
        <v>-0.25</v>
      </c>
      <c r="E23" s="479"/>
      <c r="F23" s="482"/>
      <c r="G23" s="664"/>
      <c r="H23" s="482"/>
      <c r="I23" s="482"/>
      <c r="J23" s="482"/>
      <c r="K23" s="482"/>
      <c r="L23" s="482"/>
      <c r="M23" s="482"/>
      <c r="N23" s="482"/>
      <c r="O23" s="482"/>
      <c r="P23" s="482"/>
      <c r="Q23" s="482"/>
      <c r="R23" s="482"/>
      <c r="S23" s="482"/>
      <c r="T23" s="482"/>
      <c r="U23" s="482"/>
      <c r="V23" s="482"/>
      <c r="W23" s="482"/>
      <c r="X23" s="482"/>
      <c r="Y23" s="482"/>
      <c r="Z23" s="482"/>
      <c r="AA23" s="482"/>
      <c r="AB23" s="482"/>
      <c r="AC23" s="665"/>
      <c r="AD23" s="588">
        <f t="shared" si="1"/>
        <v>0</v>
      </c>
      <c r="AE23" s="694">
        <f t="shared" si="2"/>
        <v>0</v>
      </c>
      <c r="AF23" s="695" t="str">
        <f>IF(AD23&lt;0,"buy","sell")</f>
        <v>sell</v>
      </c>
    </row>
    <row r="24" spans="1:32" s="356" customFormat="1" hidden="1" x14ac:dyDescent="0.2">
      <c r="A24" s="612" t="s">
        <v>277</v>
      </c>
      <c r="B24" s="478" t="s">
        <v>240</v>
      </c>
      <c r="C24" s="478" t="s">
        <v>151</v>
      </c>
      <c r="D24" s="479">
        <f t="shared" si="4"/>
        <v>-0.25</v>
      </c>
      <c r="E24" s="479"/>
      <c r="F24" s="482"/>
      <c r="G24" s="664"/>
      <c r="H24" s="482"/>
      <c r="I24" s="482"/>
      <c r="J24" s="482"/>
      <c r="K24" s="482"/>
      <c r="L24" s="482"/>
      <c r="M24" s="482"/>
      <c r="N24" s="482"/>
      <c r="O24" s="482"/>
      <c r="P24" s="482"/>
      <c r="Q24" s="482"/>
      <c r="R24" s="482"/>
      <c r="S24" s="482"/>
      <c r="T24" s="482"/>
      <c r="U24" s="482"/>
      <c r="V24" s="482"/>
      <c r="W24" s="482"/>
      <c r="X24" s="482"/>
      <c r="Y24" s="482"/>
      <c r="Z24" s="482"/>
      <c r="AA24" s="482"/>
      <c r="AB24" s="482"/>
      <c r="AC24" s="482"/>
      <c r="AD24" s="588">
        <f t="shared" si="1"/>
        <v>0</v>
      </c>
      <c r="AE24" s="694">
        <f t="shared" si="2"/>
        <v>0</v>
      </c>
      <c r="AF24" s="695" t="str">
        <f t="shared" si="3"/>
        <v>sell</v>
      </c>
    </row>
    <row r="25" spans="1:32" s="356" customFormat="1" hidden="1" x14ac:dyDescent="0.2">
      <c r="A25" s="612" t="s">
        <v>277</v>
      </c>
      <c r="B25" s="478" t="s">
        <v>240</v>
      </c>
      <c r="C25" s="478" t="s">
        <v>151</v>
      </c>
      <c r="D25" s="479">
        <f t="shared" si="4"/>
        <v>-0.25</v>
      </c>
      <c r="E25" s="479"/>
      <c r="F25" s="482"/>
      <c r="G25" s="664"/>
      <c r="H25" s="482"/>
      <c r="I25" s="482"/>
      <c r="J25" s="482"/>
      <c r="K25" s="482"/>
      <c r="L25" s="482"/>
      <c r="M25" s="482"/>
      <c r="N25" s="482"/>
      <c r="O25" s="482"/>
      <c r="P25" s="482"/>
      <c r="Q25" s="482"/>
      <c r="R25" s="482"/>
      <c r="S25" s="482"/>
      <c r="T25" s="482"/>
      <c r="U25" s="482"/>
      <c r="V25" s="482"/>
      <c r="W25" s="482"/>
      <c r="X25" s="482"/>
      <c r="Y25" s="482"/>
      <c r="Z25" s="482"/>
      <c r="AA25" s="482"/>
      <c r="AB25" s="482"/>
      <c r="AC25" s="482"/>
      <c r="AD25" s="588">
        <f t="shared" si="1"/>
        <v>0</v>
      </c>
      <c r="AE25" s="694">
        <f t="shared" si="2"/>
        <v>0</v>
      </c>
      <c r="AF25" s="695" t="str">
        <f t="shared" si="3"/>
        <v>sell</v>
      </c>
    </row>
    <row r="26" spans="1:32" s="356" customFormat="1" hidden="1" x14ac:dyDescent="0.2">
      <c r="A26" s="612" t="s">
        <v>277</v>
      </c>
      <c r="B26" s="478" t="s">
        <v>240</v>
      </c>
      <c r="C26" s="478" t="s">
        <v>151</v>
      </c>
      <c r="D26" s="479">
        <f t="shared" si="4"/>
        <v>-0.25</v>
      </c>
      <c r="E26" s="479"/>
      <c r="F26" s="482"/>
      <c r="G26" s="664"/>
      <c r="H26" s="482"/>
      <c r="I26" s="482"/>
      <c r="J26" s="482"/>
      <c r="K26" s="482"/>
      <c r="L26" s="482"/>
      <c r="M26" s="482"/>
      <c r="N26" s="482"/>
      <c r="O26" s="482"/>
      <c r="P26" s="482"/>
      <c r="Q26" s="482"/>
      <c r="R26" s="482"/>
      <c r="S26" s="482"/>
      <c r="T26" s="482"/>
      <c r="U26" s="482"/>
      <c r="V26" s="482"/>
      <c r="W26" s="482"/>
      <c r="X26" s="482"/>
      <c r="Y26" s="482"/>
      <c r="Z26" s="482"/>
      <c r="AA26" s="482"/>
      <c r="AB26" s="482"/>
      <c r="AC26" s="482"/>
      <c r="AD26" s="588">
        <f t="shared" si="1"/>
        <v>0</v>
      </c>
      <c r="AE26" s="694">
        <f t="shared" si="2"/>
        <v>0</v>
      </c>
      <c r="AF26" s="695" t="str">
        <f t="shared" si="3"/>
        <v>sell</v>
      </c>
    </row>
    <row r="27" spans="1:32" s="356" customFormat="1" hidden="1" x14ac:dyDescent="0.2">
      <c r="A27" s="612" t="s">
        <v>277</v>
      </c>
      <c r="B27" s="478" t="s">
        <v>240</v>
      </c>
      <c r="C27" s="478" t="s">
        <v>151</v>
      </c>
      <c r="D27" s="479">
        <f t="shared" si="4"/>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482"/>
      <c r="AD27" s="588">
        <f t="shared" si="1"/>
        <v>0</v>
      </c>
      <c r="AE27" s="694">
        <f t="shared" si="2"/>
        <v>0</v>
      </c>
      <c r="AF27" s="695" t="str">
        <f t="shared" si="3"/>
        <v>sell</v>
      </c>
    </row>
    <row r="28" spans="1:32" s="356" customFormat="1" hidden="1" x14ac:dyDescent="0.2">
      <c r="A28" s="612" t="s">
        <v>277</v>
      </c>
      <c r="B28" s="478" t="s">
        <v>240</v>
      </c>
      <c r="C28" s="478" t="s">
        <v>151</v>
      </c>
      <c r="D28" s="479">
        <f t="shared" si="4"/>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482"/>
      <c r="AD28" s="588">
        <f t="shared" si="1"/>
        <v>0</v>
      </c>
      <c r="AE28" s="694">
        <f t="shared" si="2"/>
        <v>0</v>
      </c>
      <c r="AF28" s="695" t="str">
        <f t="shared" si="3"/>
        <v>sell</v>
      </c>
    </row>
    <row r="29" spans="1:32" s="356" customFormat="1" hidden="1" x14ac:dyDescent="0.2">
      <c r="A29" s="612" t="s">
        <v>277</v>
      </c>
      <c r="B29" s="478" t="s">
        <v>240</v>
      </c>
      <c r="C29" s="478" t="s">
        <v>151</v>
      </c>
      <c r="D29" s="479">
        <f t="shared" si="4"/>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482"/>
      <c r="AD29" s="588">
        <f t="shared" si="1"/>
        <v>0</v>
      </c>
      <c r="AE29" s="694">
        <f t="shared" si="2"/>
        <v>0</v>
      </c>
      <c r="AF29" s="695" t="str">
        <f t="shared" si="3"/>
        <v>sell</v>
      </c>
    </row>
    <row r="30" spans="1:32" s="356" customFormat="1" hidden="1" x14ac:dyDescent="0.2">
      <c r="A30" s="612" t="s">
        <v>277</v>
      </c>
      <c r="B30" s="478" t="s">
        <v>240</v>
      </c>
      <c r="C30" s="478" t="s">
        <v>151</v>
      </c>
      <c r="D30" s="479">
        <f t="shared" si="4"/>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1"/>
        <v>0</v>
      </c>
      <c r="AE30" s="694">
        <f t="shared" si="2"/>
        <v>0</v>
      </c>
      <c r="AF30" s="695" t="str">
        <f t="shared" si="3"/>
        <v>sell</v>
      </c>
    </row>
    <row r="31" spans="1:32" s="356" customFormat="1" hidden="1" x14ac:dyDescent="0.2">
      <c r="A31" s="612" t="s">
        <v>277</v>
      </c>
      <c r="B31" s="478" t="s">
        <v>240</v>
      </c>
      <c r="C31" s="478" t="s">
        <v>151</v>
      </c>
      <c r="D31" s="479">
        <f t="shared" si="4"/>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1"/>
        <v>0</v>
      </c>
      <c r="AE31" s="694">
        <f t="shared" si="2"/>
        <v>0</v>
      </c>
      <c r="AF31" s="695" t="str">
        <f t="shared" si="3"/>
        <v>sell</v>
      </c>
    </row>
    <row r="32" spans="1:32" s="356" customFormat="1" hidden="1" x14ac:dyDescent="0.2">
      <c r="A32" s="612" t="s">
        <v>277</v>
      </c>
      <c r="B32" s="478" t="s">
        <v>240</v>
      </c>
      <c r="C32" s="478" t="s">
        <v>151</v>
      </c>
      <c r="D32" s="479">
        <f t="shared" si="4"/>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1"/>
        <v>0</v>
      </c>
      <c r="AE32" s="694">
        <f t="shared" si="2"/>
        <v>0</v>
      </c>
      <c r="AF32" s="695" t="str">
        <f t="shared" si="3"/>
        <v>sell</v>
      </c>
    </row>
    <row r="33" spans="1:32" s="356" customFormat="1" hidden="1" x14ac:dyDescent="0.2">
      <c r="A33" s="612" t="s">
        <v>277</v>
      </c>
      <c r="B33" s="478" t="s">
        <v>240</v>
      </c>
      <c r="C33" s="478" t="s">
        <v>151</v>
      </c>
      <c r="D33" s="479">
        <f t="shared" si="4"/>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1"/>
        <v>0</v>
      </c>
      <c r="AE33" s="694">
        <f t="shared" si="2"/>
        <v>0</v>
      </c>
      <c r="AF33" s="695" t="str">
        <f t="shared" si="3"/>
        <v>sell</v>
      </c>
    </row>
    <row r="34" spans="1:32" s="356" customFormat="1" hidden="1" x14ac:dyDescent="0.2">
      <c r="A34" s="612" t="s">
        <v>277</v>
      </c>
      <c r="B34" s="478" t="s">
        <v>240</v>
      </c>
      <c r="C34" s="478" t="s">
        <v>151</v>
      </c>
      <c r="D34" s="479">
        <f t="shared" si="4"/>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1"/>
        <v>0</v>
      </c>
      <c r="AE34" s="694">
        <f t="shared" si="2"/>
        <v>0</v>
      </c>
      <c r="AF34" s="695" t="str">
        <f t="shared" si="3"/>
        <v>sell</v>
      </c>
    </row>
    <row r="35" spans="1:32" s="356" customFormat="1" hidden="1" x14ac:dyDescent="0.2">
      <c r="A35" s="612" t="s">
        <v>277</v>
      </c>
      <c r="B35" s="478" t="s">
        <v>240</v>
      </c>
      <c r="C35" s="478" t="s">
        <v>151</v>
      </c>
      <c r="D35" s="479">
        <f t="shared" si="4"/>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666"/>
      <c r="AB35" s="482"/>
      <c r="AC35" s="482"/>
      <c r="AD35" s="588">
        <f t="shared" si="1"/>
        <v>0</v>
      </c>
      <c r="AE35" s="694">
        <f t="shared" si="2"/>
        <v>0</v>
      </c>
      <c r="AF35" s="695" t="str">
        <f t="shared" si="3"/>
        <v>sell</v>
      </c>
    </row>
    <row r="36" spans="1:32" s="356" customFormat="1" hidden="1" x14ac:dyDescent="0.2">
      <c r="A36" s="612" t="s">
        <v>277</v>
      </c>
      <c r="B36" s="478" t="s">
        <v>240</v>
      </c>
      <c r="C36" s="478" t="s">
        <v>151</v>
      </c>
      <c r="D36" s="479">
        <f t="shared" si="4"/>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1"/>
        <v>0</v>
      </c>
      <c r="AE36" s="694">
        <f t="shared" si="2"/>
        <v>0</v>
      </c>
      <c r="AF36" s="695" t="str">
        <f t="shared" si="3"/>
        <v>sell</v>
      </c>
    </row>
    <row r="37" spans="1:32" s="356" customFormat="1" hidden="1" x14ac:dyDescent="0.2">
      <c r="A37" s="612" t="s">
        <v>277</v>
      </c>
      <c r="B37" s="478" t="s">
        <v>240</v>
      </c>
      <c r="C37" s="478" t="s">
        <v>151</v>
      </c>
      <c r="D37" s="479">
        <f t="shared" si="4"/>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1"/>
        <v>0</v>
      </c>
      <c r="AE37" s="694">
        <f t="shared" si="2"/>
        <v>0</v>
      </c>
      <c r="AF37" s="695" t="str">
        <f t="shared" si="3"/>
        <v>sell</v>
      </c>
    </row>
    <row r="38" spans="1:32" s="356" customFormat="1" hidden="1" x14ac:dyDescent="0.2">
      <c r="A38" s="612" t="s">
        <v>277</v>
      </c>
      <c r="B38" s="478" t="s">
        <v>240</v>
      </c>
      <c r="C38" s="478" t="s">
        <v>151</v>
      </c>
      <c r="D38" s="479">
        <f t="shared" si="4"/>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1"/>
        <v>0</v>
      </c>
      <c r="AE38" s="694">
        <f t="shared" si="2"/>
        <v>0</v>
      </c>
      <c r="AF38" s="695" t="str">
        <f t="shared" si="3"/>
        <v>sell</v>
      </c>
    </row>
    <row r="39" spans="1:32" s="356" customFormat="1" hidden="1" x14ac:dyDescent="0.2">
      <c r="A39" s="612" t="s">
        <v>277</v>
      </c>
      <c r="B39" s="478" t="s">
        <v>240</v>
      </c>
      <c r="C39" s="478" t="s">
        <v>151</v>
      </c>
      <c r="D39" s="479">
        <f t="shared" si="4"/>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1"/>
        <v>0</v>
      </c>
      <c r="AE39" s="694">
        <f t="shared" si="2"/>
        <v>0</v>
      </c>
      <c r="AF39" s="695" t="str">
        <f t="shared" si="3"/>
        <v>sell</v>
      </c>
    </row>
    <row r="40" spans="1:32" s="356" customFormat="1" hidden="1" x14ac:dyDescent="0.2">
      <c r="A40" s="612" t="s">
        <v>277</v>
      </c>
      <c r="B40" s="478" t="s">
        <v>240</v>
      </c>
      <c r="C40" s="478" t="s">
        <v>151</v>
      </c>
      <c r="D40" s="479">
        <f t="shared" si="4"/>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1"/>
        <v>0</v>
      </c>
      <c r="AE40" s="694">
        <f t="shared" si="2"/>
        <v>0</v>
      </c>
      <c r="AF40" s="695" t="str">
        <f t="shared" si="3"/>
        <v>sell</v>
      </c>
    </row>
    <row r="41" spans="1:32" s="356" customFormat="1" hidden="1" x14ac:dyDescent="0.2">
      <c r="A41" s="612" t="s">
        <v>277</v>
      </c>
      <c r="B41" s="478" t="s">
        <v>240</v>
      </c>
      <c r="C41" s="478" t="s">
        <v>151</v>
      </c>
      <c r="D41" s="479">
        <f t="shared" si="4"/>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482"/>
      <c r="AB41" s="482"/>
      <c r="AC41" s="482"/>
      <c r="AD41" s="588">
        <f t="shared" si="1"/>
        <v>0</v>
      </c>
      <c r="AE41" s="694">
        <f t="shared" si="2"/>
        <v>0</v>
      </c>
      <c r="AF41" s="695" t="str">
        <f t="shared" si="3"/>
        <v>sell</v>
      </c>
    </row>
    <row r="42" spans="1:32" s="356" customFormat="1" hidden="1" x14ac:dyDescent="0.2">
      <c r="A42" s="612" t="s">
        <v>277</v>
      </c>
      <c r="B42" s="478" t="s">
        <v>240</v>
      </c>
      <c r="C42" s="478" t="s">
        <v>151</v>
      </c>
      <c r="D42" s="479">
        <f t="shared" si="4"/>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1"/>
        <v>0</v>
      </c>
      <c r="AE42" s="694">
        <f t="shared" si="2"/>
        <v>0</v>
      </c>
      <c r="AF42" s="695" t="str">
        <f t="shared" si="3"/>
        <v>sell</v>
      </c>
    </row>
    <row r="43" spans="1:32" s="356" customFormat="1" hidden="1" x14ac:dyDescent="0.2">
      <c r="A43" s="612"/>
      <c r="B43" s="478"/>
      <c r="C43" s="478"/>
      <c r="D43" s="479"/>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1"/>
        <v>0</v>
      </c>
      <c r="AE43" s="694">
        <f t="shared" si="2"/>
        <v>0</v>
      </c>
      <c r="AF43" s="695"/>
    </row>
    <row r="44" spans="1:32" s="356" customFormat="1" hidden="1" x14ac:dyDescent="0.2">
      <c r="A44" s="612" t="s">
        <v>277</v>
      </c>
      <c r="B44" s="478" t="s">
        <v>240</v>
      </c>
      <c r="C44" s="478" t="s">
        <v>278</v>
      </c>
      <c r="D44" s="479">
        <f t="shared" ref="D44:D66" si="5">F122</f>
        <v>-0.25</v>
      </c>
      <c r="E44" s="479"/>
      <c r="F44" s="482">
        <v>0</v>
      </c>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1"/>
        <v>0</v>
      </c>
      <c r="AE44" s="694">
        <f t="shared" si="2"/>
        <v>0</v>
      </c>
      <c r="AF44" s="695" t="str">
        <f>IF(AD44&lt;0,"buy","sell")</f>
        <v>sell</v>
      </c>
    </row>
    <row r="45" spans="1:32" s="356" customFormat="1" hidden="1" x14ac:dyDescent="0.2">
      <c r="A45" s="612" t="s">
        <v>277</v>
      </c>
      <c r="B45" s="478" t="s">
        <v>240</v>
      </c>
      <c r="C45" s="478" t="s">
        <v>278</v>
      </c>
      <c r="D45" s="479">
        <f t="shared" si="5"/>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1"/>
        <v>0</v>
      </c>
      <c r="AE45" s="694">
        <f t="shared" si="2"/>
        <v>0</v>
      </c>
      <c r="AF45" s="695" t="str">
        <f t="shared" ref="AF45:AF67" si="6">IF(AD45&lt;0,"buy","sell")</f>
        <v>sell</v>
      </c>
    </row>
    <row r="46" spans="1:32" s="356" customFormat="1" hidden="1" x14ac:dyDescent="0.2">
      <c r="A46" s="612" t="s">
        <v>277</v>
      </c>
      <c r="B46" s="478" t="s">
        <v>240</v>
      </c>
      <c r="C46" s="478" t="s">
        <v>278</v>
      </c>
      <c r="D46" s="479">
        <f t="shared" si="5"/>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1"/>
        <v>0</v>
      </c>
      <c r="AE46" s="694">
        <f t="shared" si="2"/>
        <v>0</v>
      </c>
      <c r="AF46" s="695" t="str">
        <f t="shared" si="6"/>
        <v>sell</v>
      </c>
    </row>
    <row r="47" spans="1:32" s="356" customFormat="1" hidden="1" x14ac:dyDescent="0.2">
      <c r="A47" s="612" t="s">
        <v>277</v>
      </c>
      <c r="B47" s="478" t="s">
        <v>240</v>
      </c>
      <c r="C47" s="478" t="s">
        <v>278</v>
      </c>
      <c r="D47" s="479">
        <f t="shared" si="5"/>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1"/>
        <v>0</v>
      </c>
      <c r="AE47" s="694">
        <f t="shared" si="2"/>
        <v>0</v>
      </c>
      <c r="AF47" s="695" t="str">
        <f t="shared" si="6"/>
        <v>sell</v>
      </c>
    </row>
    <row r="48" spans="1:32" s="356" customFormat="1" hidden="1" x14ac:dyDescent="0.2">
      <c r="A48" s="612" t="s">
        <v>277</v>
      </c>
      <c r="B48" s="478" t="s">
        <v>240</v>
      </c>
      <c r="C48" s="478" t="s">
        <v>278</v>
      </c>
      <c r="D48" s="479">
        <f t="shared" si="5"/>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1"/>
        <v>0</v>
      </c>
      <c r="AE48" s="694">
        <f t="shared" si="2"/>
        <v>0</v>
      </c>
      <c r="AF48" s="695" t="str">
        <f t="shared" si="6"/>
        <v>sell</v>
      </c>
    </row>
    <row r="49" spans="1:32" s="356" customFormat="1" hidden="1" x14ac:dyDescent="0.2">
      <c r="A49" s="612" t="s">
        <v>277</v>
      </c>
      <c r="B49" s="478" t="s">
        <v>240</v>
      </c>
      <c r="C49" s="478" t="s">
        <v>278</v>
      </c>
      <c r="D49" s="479">
        <f t="shared" si="5"/>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1"/>
        <v>0</v>
      </c>
      <c r="AE49" s="694">
        <f t="shared" si="2"/>
        <v>0</v>
      </c>
      <c r="AF49" s="695" t="str">
        <f t="shared" si="6"/>
        <v>sell</v>
      </c>
    </row>
    <row r="50" spans="1:32" s="356" customFormat="1" hidden="1" x14ac:dyDescent="0.2">
      <c r="A50" s="612" t="s">
        <v>277</v>
      </c>
      <c r="B50" s="478" t="s">
        <v>240</v>
      </c>
      <c r="C50" s="478" t="s">
        <v>278</v>
      </c>
      <c r="D50" s="479">
        <f t="shared" si="5"/>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1"/>
        <v>0</v>
      </c>
      <c r="AE50" s="694">
        <f t="shared" si="2"/>
        <v>0</v>
      </c>
      <c r="AF50" s="695" t="str">
        <f t="shared" si="6"/>
        <v>sell</v>
      </c>
    </row>
    <row r="51" spans="1:32" s="356" customFormat="1" hidden="1" x14ac:dyDescent="0.2">
      <c r="A51" s="612" t="s">
        <v>277</v>
      </c>
      <c r="B51" s="478" t="s">
        <v>240</v>
      </c>
      <c r="C51" s="478" t="s">
        <v>278</v>
      </c>
      <c r="D51" s="479">
        <f t="shared" si="5"/>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1"/>
        <v>0</v>
      </c>
      <c r="AE51" s="694">
        <f t="shared" si="2"/>
        <v>0</v>
      </c>
      <c r="AF51" s="695" t="str">
        <f t="shared" si="6"/>
        <v>sell</v>
      </c>
    </row>
    <row r="52" spans="1:32" s="356" customFormat="1" hidden="1" x14ac:dyDescent="0.2">
      <c r="A52" s="612" t="s">
        <v>277</v>
      </c>
      <c r="B52" s="478" t="s">
        <v>240</v>
      </c>
      <c r="C52" s="478" t="s">
        <v>278</v>
      </c>
      <c r="D52" s="479">
        <f t="shared" si="5"/>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1"/>
        <v>0</v>
      </c>
      <c r="AE52" s="694">
        <f t="shared" si="2"/>
        <v>0</v>
      </c>
      <c r="AF52" s="695" t="str">
        <f t="shared" si="6"/>
        <v>sell</v>
      </c>
    </row>
    <row r="53" spans="1:32" s="356" customFormat="1" hidden="1" x14ac:dyDescent="0.2">
      <c r="A53" s="612" t="s">
        <v>277</v>
      </c>
      <c r="B53" s="478" t="s">
        <v>240</v>
      </c>
      <c r="C53" s="478" t="s">
        <v>278</v>
      </c>
      <c r="D53" s="479">
        <f t="shared" si="5"/>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1"/>
        <v>0</v>
      </c>
      <c r="AE53" s="694">
        <f t="shared" si="2"/>
        <v>0</v>
      </c>
      <c r="AF53" s="695" t="str">
        <f t="shared" si="6"/>
        <v>sell</v>
      </c>
    </row>
    <row r="54" spans="1:32" s="356" customFormat="1" hidden="1" x14ac:dyDescent="0.2">
      <c r="A54" s="612" t="s">
        <v>277</v>
      </c>
      <c r="B54" s="478" t="s">
        <v>240</v>
      </c>
      <c r="C54" s="478" t="s">
        <v>278</v>
      </c>
      <c r="D54" s="479">
        <f t="shared" si="5"/>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1"/>
        <v>0</v>
      </c>
      <c r="AE54" s="694">
        <f t="shared" si="2"/>
        <v>0</v>
      </c>
      <c r="AF54" s="695" t="str">
        <f t="shared" si="6"/>
        <v>sell</v>
      </c>
    </row>
    <row r="55" spans="1:32" s="356" customFormat="1" hidden="1" x14ac:dyDescent="0.2">
      <c r="A55" s="612" t="s">
        <v>277</v>
      </c>
      <c r="B55" s="478" t="s">
        <v>240</v>
      </c>
      <c r="C55" s="478" t="s">
        <v>278</v>
      </c>
      <c r="D55" s="479">
        <f t="shared" si="5"/>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1"/>
        <v>0</v>
      </c>
      <c r="AE55" s="694">
        <f t="shared" si="2"/>
        <v>0</v>
      </c>
      <c r="AF55" s="695" t="str">
        <f t="shared" si="6"/>
        <v>sell</v>
      </c>
    </row>
    <row r="56" spans="1:32" s="356" customFormat="1" hidden="1" x14ac:dyDescent="0.2">
      <c r="A56" s="612" t="s">
        <v>277</v>
      </c>
      <c r="B56" s="478" t="s">
        <v>240</v>
      </c>
      <c r="C56" s="478" t="s">
        <v>278</v>
      </c>
      <c r="D56" s="479">
        <f t="shared" si="5"/>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1"/>
        <v>0</v>
      </c>
      <c r="AE56" s="694">
        <f t="shared" si="2"/>
        <v>0</v>
      </c>
      <c r="AF56" s="695" t="str">
        <f t="shared" si="6"/>
        <v>sell</v>
      </c>
    </row>
    <row r="57" spans="1:32" s="356" customFormat="1" hidden="1" x14ac:dyDescent="0.2">
      <c r="A57" s="612" t="s">
        <v>277</v>
      </c>
      <c r="B57" s="478" t="s">
        <v>240</v>
      </c>
      <c r="C57" s="478" t="s">
        <v>278</v>
      </c>
      <c r="D57" s="479">
        <f t="shared" si="5"/>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1"/>
        <v>0</v>
      </c>
      <c r="AE57" s="694">
        <f t="shared" si="2"/>
        <v>0</v>
      </c>
      <c r="AF57" s="695" t="str">
        <f t="shared" si="6"/>
        <v>sell</v>
      </c>
    </row>
    <row r="58" spans="1:32" s="356" customFormat="1" hidden="1" x14ac:dyDescent="0.2">
      <c r="A58" s="612" t="s">
        <v>277</v>
      </c>
      <c r="B58" s="478" t="s">
        <v>240</v>
      </c>
      <c r="C58" s="478" t="s">
        <v>278</v>
      </c>
      <c r="D58" s="479">
        <f t="shared" si="5"/>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1"/>
        <v>0</v>
      </c>
      <c r="AE58" s="694">
        <f t="shared" si="2"/>
        <v>0</v>
      </c>
      <c r="AF58" s="695" t="str">
        <f t="shared" si="6"/>
        <v>sell</v>
      </c>
    </row>
    <row r="59" spans="1:32" s="356" customFormat="1" hidden="1" x14ac:dyDescent="0.2">
      <c r="A59" s="612" t="s">
        <v>277</v>
      </c>
      <c r="B59" s="478" t="s">
        <v>240</v>
      </c>
      <c r="C59" s="478" t="s">
        <v>278</v>
      </c>
      <c r="D59" s="479">
        <f t="shared" si="5"/>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1"/>
        <v>0</v>
      </c>
      <c r="AE59" s="694">
        <f t="shared" si="2"/>
        <v>0</v>
      </c>
      <c r="AF59" s="695" t="str">
        <f t="shared" si="6"/>
        <v>sell</v>
      </c>
    </row>
    <row r="60" spans="1:32" s="356" customFormat="1" hidden="1" x14ac:dyDescent="0.2">
      <c r="A60" s="612" t="s">
        <v>277</v>
      </c>
      <c r="B60" s="478" t="s">
        <v>240</v>
      </c>
      <c r="C60" s="478" t="s">
        <v>278</v>
      </c>
      <c r="D60" s="479">
        <f t="shared" si="5"/>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1"/>
        <v>0</v>
      </c>
      <c r="AE60" s="694">
        <f t="shared" si="2"/>
        <v>0</v>
      </c>
      <c r="AF60" s="695" t="str">
        <f t="shared" si="6"/>
        <v>sell</v>
      </c>
    </row>
    <row r="61" spans="1:32" s="356" customFormat="1" hidden="1" x14ac:dyDescent="0.2">
      <c r="A61" s="612" t="s">
        <v>277</v>
      </c>
      <c r="B61" s="478" t="s">
        <v>240</v>
      </c>
      <c r="C61" s="478" t="s">
        <v>278</v>
      </c>
      <c r="D61" s="479">
        <f t="shared" si="5"/>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1"/>
        <v>0</v>
      </c>
      <c r="AE61" s="694">
        <f t="shared" si="2"/>
        <v>0</v>
      </c>
      <c r="AF61" s="695" t="str">
        <f t="shared" si="6"/>
        <v>sell</v>
      </c>
    </row>
    <row r="62" spans="1:32" s="356" customFormat="1" hidden="1" x14ac:dyDescent="0.2">
      <c r="A62" s="612" t="s">
        <v>277</v>
      </c>
      <c r="B62" s="478" t="s">
        <v>240</v>
      </c>
      <c r="C62" s="478" t="s">
        <v>278</v>
      </c>
      <c r="D62" s="479">
        <f t="shared" si="5"/>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1"/>
        <v>0</v>
      </c>
      <c r="AE62" s="694">
        <f t="shared" si="2"/>
        <v>0</v>
      </c>
      <c r="AF62" s="695" t="str">
        <f t="shared" si="6"/>
        <v>sell</v>
      </c>
    </row>
    <row r="63" spans="1:32" s="356" customFormat="1" hidden="1" x14ac:dyDescent="0.2">
      <c r="A63" s="612" t="s">
        <v>277</v>
      </c>
      <c r="B63" s="478" t="s">
        <v>240</v>
      </c>
      <c r="C63" s="478" t="s">
        <v>278</v>
      </c>
      <c r="D63" s="479">
        <f t="shared" si="5"/>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1"/>
        <v>0</v>
      </c>
      <c r="AE63" s="694">
        <f t="shared" si="2"/>
        <v>0</v>
      </c>
      <c r="AF63" s="695" t="str">
        <f t="shared" si="6"/>
        <v>sell</v>
      </c>
    </row>
    <row r="64" spans="1:32" s="356" customFormat="1" hidden="1" x14ac:dyDescent="0.2">
      <c r="A64" s="612" t="s">
        <v>277</v>
      </c>
      <c r="B64" s="478" t="s">
        <v>240</v>
      </c>
      <c r="C64" s="478" t="s">
        <v>278</v>
      </c>
      <c r="D64" s="479">
        <f t="shared" si="5"/>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1"/>
        <v>0</v>
      </c>
      <c r="AE64" s="694">
        <f t="shared" si="2"/>
        <v>0</v>
      </c>
      <c r="AF64" s="695" t="str">
        <f t="shared" si="6"/>
        <v>sell</v>
      </c>
    </row>
    <row r="65" spans="1:33" s="356" customFormat="1" hidden="1" x14ac:dyDescent="0.2">
      <c r="A65" s="612" t="s">
        <v>277</v>
      </c>
      <c r="B65" s="478" t="s">
        <v>240</v>
      </c>
      <c r="C65" s="478" t="s">
        <v>278</v>
      </c>
      <c r="D65" s="479">
        <f t="shared" si="5"/>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1"/>
        <v>0</v>
      </c>
      <c r="AE65" s="694">
        <f t="shared" si="2"/>
        <v>0</v>
      </c>
      <c r="AF65" s="695" t="str">
        <f t="shared" si="6"/>
        <v>sell</v>
      </c>
    </row>
    <row r="66" spans="1:33" s="356" customFormat="1" hidden="1" x14ac:dyDescent="0.2">
      <c r="A66" s="612" t="s">
        <v>277</v>
      </c>
      <c r="B66" s="478" t="s">
        <v>240</v>
      </c>
      <c r="C66" s="478" t="s">
        <v>278</v>
      </c>
      <c r="D66" s="479">
        <f t="shared" si="5"/>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1"/>
        <v>0</v>
      </c>
      <c r="AE66" s="694">
        <f t="shared" si="2"/>
        <v>0</v>
      </c>
      <c r="AF66" s="695" t="str">
        <f t="shared" si="6"/>
        <v>sell</v>
      </c>
    </row>
    <row r="67" spans="1:33" s="356" customFormat="1" hidden="1" x14ac:dyDescent="0.2">
      <c r="A67" s="612"/>
      <c r="B67" s="478"/>
      <c r="C67" s="478"/>
      <c r="D67" s="479"/>
      <c r="E67" s="479"/>
      <c r="F67" s="482"/>
      <c r="G67" s="664"/>
      <c r="H67" s="482"/>
      <c r="I67" s="482"/>
      <c r="J67" s="482"/>
      <c r="K67" s="482"/>
      <c r="L67" s="482"/>
      <c r="M67" s="482"/>
      <c r="N67" s="482"/>
      <c r="O67" s="482"/>
      <c r="P67" s="482"/>
      <c r="Q67" s="482"/>
      <c r="R67" s="482"/>
      <c r="S67" s="482"/>
      <c r="T67" s="482"/>
      <c r="U67" s="482"/>
      <c r="V67" s="482"/>
      <c r="W67" s="482"/>
      <c r="X67" s="482"/>
      <c r="Y67" s="482"/>
      <c r="Z67" s="482"/>
      <c r="AA67" s="482"/>
      <c r="AB67" s="482"/>
      <c r="AC67" s="482"/>
      <c r="AD67" s="589">
        <f t="shared" si="1"/>
        <v>0</v>
      </c>
      <c r="AE67" s="696">
        <f t="shared" si="2"/>
        <v>0</v>
      </c>
      <c r="AF67" s="697" t="str">
        <f t="shared" si="6"/>
        <v>sell</v>
      </c>
    </row>
    <row r="68" spans="1:33" s="609" customFormat="1" ht="12.75" customHeight="1" x14ac:dyDescent="0.2">
      <c r="A68" s="615"/>
      <c r="B68" s="616"/>
      <c r="C68" s="616"/>
      <c r="D68" s="620"/>
      <c r="E68" s="623"/>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9">
        <f>SUM(E68:AC68)</f>
        <v>0</v>
      </c>
      <c r="AE68" s="696">
        <f>AD68*D68</f>
        <v>0</v>
      </c>
      <c r="AF68" s="697" t="str">
        <f>IF(AD68&lt;0,"buy","sell")</f>
        <v>sell</v>
      </c>
    </row>
    <row r="69" spans="1:33" s="609" customFormat="1" ht="12.75" customHeight="1" x14ac:dyDescent="0.2">
      <c r="A69" s="617"/>
      <c r="B69" s="616"/>
      <c r="C69" s="616"/>
      <c r="D69" s="620"/>
      <c r="E69" s="623"/>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9">
        <f>SUM(E69:AC69)</f>
        <v>0</v>
      </c>
      <c r="AE69" s="696">
        <f>AD69*D69</f>
        <v>0</v>
      </c>
      <c r="AF69" s="697" t="str">
        <f>IF(AD69&lt;0,"buy","sell")</f>
        <v>sell</v>
      </c>
    </row>
    <row r="70" spans="1:33" s="609" customFormat="1" ht="12.75" customHeight="1" x14ac:dyDescent="0.2">
      <c r="A70" s="617"/>
      <c r="B70" s="619"/>
      <c r="C70" s="619"/>
      <c r="D70" s="621"/>
      <c r="E70" s="623"/>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9"/>
      <c r="AE70" s="696"/>
      <c r="AF70" s="697"/>
    </row>
    <row r="71" spans="1:33" s="356" customFormat="1" x14ac:dyDescent="0.2">
      <c r="A71" s="618"/>
      <c r="B71" s="624"/>
      <c r="C71" s="624"/>
      <c r="D71" s="622"/>
      <c r="E71" s="614"/>
      <c r="F71" s="703"/>
      <c r="G71" s="703"/>
      <c r="H71" s="703"/>
      <c r="I71" s="703"/>
      <c r="J71" s="703"/>
      <c r="K71" s="703"/>
      <c r="L71" s="703"/>
      <c r="M71" s="703"/>
      <c r="N71" s="703"/>
      <c r="O71" s="703"/>
      <c r="P71" s="703"/>
      <c r="Q71" s="703"/>
      <c r="R71" s="703"/>
      <c r="S71" s="703"/>
      <c r="T71" s="703"/>
      <c r="U71" s="703"/>
      <c r="V71" s="703"/>
      <c r="W71" s="703"/>
      <c r="X71" s="703"/>
      <c r="Y71" s="703"/>
      <c r="Z71" s="703"/>
      <c r="AA71" s="703"/>
      <c r="AB71" s="703"/>
      <c r="AC71" s="703"/>
      <c r="AD71" s="589">
        <f>SUM(E71:AC71)</f>
        <v>0</v>
      </c>
      <c r="AE71" s="696">
        <f>AD71*D71</f>
        <v>0</v>
      </c>
      <c r="AF71" s="697" t="str">
        <f>IF(AD71&lt;0,"buy","sell")</f>
        <v>sell</v>
      </c>
    </row>
    <row r="72" spans="1:33" s="356" customFormat="1" x14ac:dyDescent="0.2">
      <c r="A72" s="618" t="s">
        <v>385</v>
      </c>
      <c r="B72" s="624" t="s">
        <v>370</v>
      </c>
      <c r="C72" s="624" t="s">
        <v>151</v>
      </c>
      <c r="D72" s="622">
        <v>36</v>
      </c>
      <c r="E72" s="614"/>
      <c r="F72" s="703"/>
      <c r="G72" s="703"/>
      <c r="H72" s="703"/>
      <c r="I72" s="703"/>
      <c r="J72" s="703"/>
      <c r="K72" s="703"/>
      <c r="L72" s="703"/>
      <c r="M72" s="703"/>
      <c r="N72" s="703"/>
      <c r="O72" s="703"/>
      <c r="P72" s="703">
        <v>25</v>
      </c>
      <c r="Q72" s="703"/>
      <c r="R72" s="703"/>
      <c r="S72" s="703"/>
      <c r="T72" s="703"/>
      <c r="U72" s="703"/>
      <c r="V72" s="703"/>
      <c r="W72" s="703"/>
      <c r="X72" s="703"/>
      <c r="Y72" s="703"/>
      <c r="Z72" s="703"/>
      <c r="AA72" s="703"/>
      <c r="AB72" s="703"/>
      <c r="AC72" s="703"/>
      <c r="AD72" s="589">
        <f>SUM(E72:AC72)</f>
        <v>25</v>
      </c>
      <c r="AE72" s="696">
        <f>AD72*D72</f>
        <v>900</v>
      </c>
      <c r="AF72" s="697" t="str">
        <f>IF(AD72&lt;0,"buy","sell")</f>
        <v>sell</v>
      </c>
    </row>
    <row r="73" spans="1:33" s="356" customFormat="1" ht="12.75" customHeight="1" x14ac:dyDescent="0.2">
      <c r="A73" s="618"/>
      <c r="B73" s="624"/>
      <c r="C73" s="708"/>
      <c r="D73" s="622"/>
      <c r="E73" s="614"/>
      <c r="F73" s="703"/>
      <c r="G73" s="703"/>
      <c r="H73" s="703"/>
      <c r="I73" s="703"/>
      <c r="J73" s="703"/>
      <c r="K73" s="703"/>
      <c r="L73" s="703"/>
      <c r="M73" s="703"/>
      <c r="N73" s="703"/>
      <c r="O73" s="703"/>
      <c r="P73" s="703"/>
      <c r="Q73" s="703"/>
      <c r="R73" s="703"/>
      <c r="S73" s="703"/>
      <c r="T73" s="703"/>
      <c r="U73" s="703"/>
      <c r="V73" s="703"/>
      <c r="W73" s="703"/>
      <c r="X73" s="703"/>
      <c r="Y73" s="703"/>
      <c r="Z73" s="703"/>
      <c r="AA73" s="703"/>
      <c r="AB73" s="703"/>
      <c r="AC73" s="703"/>
      <c r="AD73" s="589">
        <f>SUM(E73:AC73)</f>
        <v>0</v>
      </c>
      <c r="AE73" s="696">
        <f>AD73*D73</f>
        <v>0</v>
      </c>
      <c r="AF73" s="697" t="str">
        <f>IF(AD73&lt;0,"buy","sell")</f>
        <v>sell</v>
      </c>
    </row>
    <row r="74" spans="1:33" s="356" customFormat="1" ht="12.75" customHeight="1" x14ac:dyDescent="0.2">
      <c r="A74" s="617"/>
      <c r="B74" s="619"/>
      <c r="C74" s="619"/>
      <c r="D74" s="702"/>
      <c r="E74" s="701"/>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 t="shared" si="1"/>
        <v>0</v>
      </c>
      <c r="AE74" s="696">
        <f>AD74*D74</f>
        <v>0</v>
      </c>
      <c r="AF74" s="697" t="str">
        <f>IF(AD74&lt;0,"buy","sell")</f>
        <v>sell</v>
      </c>
    </row>
    <row r="75" spans="1:33" s="356" customFormat="1" x14ac:dyDescent="0.2">
      <c r="A75" s="617"/>
      <c r="B75" s="619"/>
      <c r="C75" s="619"/>
      <c r="D75" s="702"/>
      <c r="E75" s="701"/>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SUM(F75:AC75)</f>
        <v>0</v>
      </c>
      <c r="AE75" s="696">
        <f>AD75*D75</f>
        <v>0</v>
      </c>
      <c r="AF75" s="697" t="str">
        <f>IF(AD75&lt;0,"buy","sell")</f>
        <v>sell</v>
      </c>
    </row>
    <row r="76" spans="1:33" s="356" customFormat="1" ht="11.25" customHeight="1" x14ac:dyDescent="0.2">
      <c r="A76" s="577"/>
      <c r="B76" s="545"/>
      <c r="C76" s="545"/>
      <c r="D76" s="545"/>
      <c r="E76" s="610"/>
      <c r="F76" s="545"/>
      <c r="G76" s="545"/>
      <c r="H76" s="545"/>
      <c r="I76" s="545"/>
      <c r="J76" s="545"/>
      <c r="K76" s="545"/>
      <c r="L76" s="545"/>
      <c r="M76" s="545"/>
      <c r="N76" s="545"/>
      <c r="O76" s="545"/>
      <c r="P76" s="545"/>
      <c r="Q76" s="545"/>
      <c r="R76" s="545"/>
      <c r="S76" s="545"/>
      <c r="T76" s="545"/>
      <c r="U76" s="545"/>
      <c r="V76" s="545"/>
      <c r="W76" s="545"/>
      <c r="X76" s="545"/>
      <c r="Y76" s="545"/>
      <c r="Z76" s="545"/>
      <c r="AA76" s="545"/>
      <c r="AB76" s="545"/>
      <c r="AC76" s="545"/>
      <c r="AD76" s="545"/>
      <c r="AE76" s="545"/>
      <c r="AF76" s="545"/>
      <c r="AG76" s="473"/>
    </row>
    <row r="77" spans="1:33" s="356" customFormat="1" ht="12.75" customHeight="1" x14ac:dyDescent="0.2">
      <c r="A77" s="628"/>
      <c r="B77" s="570"/>
      <c r="C77" s="570"/>
      <c r="D77" s="629"/>
      <c r="E77" s="571"/>
      <c r="F77" s="572"/>
      <c r="G77" s="573"/>
      <c r="H77" s="573"/>
      <c r="I77" s="573"/>
      <c r="J77" s="573"/>
      <c r="K77" s="573"/>
      <c r="L77" s="573"/>
      <c r="M77" s="573"/>
      <c r="N77" s="573"/>
      <c r="O77" s="573"/>
      <c r="P77" s="573"/>
      <c r="Q77" s="573"/>
      <c r="R77" s="573"/>
      <c r="S77" s="573"/>
      <c r="T77" s="573"/>
      <c r="U77" s="573"/>
      <c r="V77" s="573"/>
      <c r="W77" s="573"/>
      <c r="X77" s="573"/>
      <c r="Y77" s="573"/>
      <c r="Z77" s="573"/>
      <c r="AA77" s="573"/>
      <c r="AB77" s="573"/>
      <c r="AC77" s="573"/>
      <c r="AD77" s="589">
        <f>SUM(AA77:AC77)</f>
        <v>0</v>
      </c>
      <c r="AE77" s="696">
        <f t="shared" ref="AE77:AE82" si="7">AD77*D77</f>
        <v>0</v>
      </c>
      <c r="AF77" s="697" t="str">
        <f t="shared" ref="AF77:AF82" si="8">IF(AD77&lt;0,"buy","sell")</f>
        <v>sell</v>
      </c>
    </row>
    <row r="78" spans="1:33" s="356" customFormat="1" ht="12.75" customHeight="1" x14ac:dyDescent="0.2">
      <c r="A78" s="628" t="s">
        <v>63</v>
      </c>
      <c r="B78" s="570" t="s">
        <v>376</v>
      </c>
      <c r="C78" s="570" t="s">
        <v>151</v>
      </c>
      <c r="D78" s="629">
        <v>30</v>
      </c>
      <c r="E78" s="571"/>
      <c r="F78" s="572"/>
      <c r="G78" s="573"/>
      <c r="H78" s="573"/>
      <c r="I78" s="573"/>
      <c r="J78" s="573"/>
      <c r="K78" s="573"/>
      <c r="L78" s="573">
        <v>-50</v>
      </c>
      <c r="M78" s="573"/>
      <c r="N78" s="573"/>
      <c r="O78" s="573"/>
      <c r="P78" s="573"/>
      <c r="Q78" s="573"/>
      <c r="R78" s="573"/>
      <c r="S78" s="573"/>
      <c r="T78" s="573"/>
      <c r="U78" s="573"/>
      <c r="V78" s="573"/>
      <c r="W78" s="573"/>
      <c r="X78" s="573"/>
      <c r="Y78" s="573"/>
      <c r="Z78" s="573"/>
      <c r="AA78" s="573"/>
      <c r="AB78" s="573"/>
      <c r="AC78" s="573"/>
      <c r="AD78" s="589">
        <f>SUM(E78:AC78)</f>
        <v>-50</v>
      </c>
      <c r="AE78" s="696">
        <f t="shared" si="7"/>
        <v>-1500</v>
      </c>
      <c r="AF78" s="697" t="str">
        <f t="shared" si="8"/>
        <v>buy</v>
      </c>
    </row>
    <row r="79" spans="1:33" s="356" customFormat="1" ht="12.75" customHeight="1" x14ac:dyDescent="0.2">
      <c r="A79" s="628" t="s">
        <v>386</v>
      </c>
      <c r="B79" s="570" t="s">
        <v>376</v>
      </c>
      <c r="C79" s="570" t="s">
        <v>278</v>
      </c>
      <c r="D79" s="629">
        <v>32</v>
      </c>
      <c r="E79" s="571"/>
      <c r="F79" s="572"/>
      <c r="G79" s="573"/>
      <c r="H79" s="573"/>
      <c r="I79" s="573"/>
      <c r="J79" s="573"/>
      <c r="K79" s="573"/>
      <c r="L79" s="573"/>
      <c r="M79" s="573"/>
      <c r="N79" s="573"/>
      <c r="O79" s="573"/>
      <c r="P79" s="573">
        <v>-25</v>
      </c>
      <c r="Q79" s="573">
        <v>-25</v>
      </c>
      <c r="R79" s="573"/>
      <c r="S79" s="573"/>
      <c r="T79" s="573"/>
      <c r="U79" s="573"/>
      <c r="V79" s="573"/>
      <c r="W79" s="573"/>
      <c r="X79" s="573"/>
      <c r="Y79" s="573"/>
      <c r="Z79" s="573"/>
      <c r="AA79" s="573"/>
      <c r="AB79" s="573"/>
      <c r="AC79" s="573"/>
      <c r="AD79" s="589">
        <f>SUM(E79:AC79)</f>
        <v>-50</v>
      </c>
      <c r="AE79" s="696">
        <f t="shared" si="7"/>
        <v>-1600</v>
      </c>
      <c r="AF79" s="697" t="str">
        <f t="shared" si="8"/>
        <v>buy</v>
      </c>
    </row>
    <row r="80" spans="1:33" s="356" customFormat="1" ht="12.75" customHeight="1" x14ac:dyDescent="0.2">
      <c r="A80" s="628" t="s">
        <v>386</v>
      </c>
      <c r="B80" s="570" t="s">
        <v>376</v>
      </c>
      <c r="C80" s="570" t="s">
        <v>278</v>
      </c>
      <c r="D80" s="629">
        <v>29</v>
      </c>
      <c r="E80" s="571"/>
      <c r="F80" s="572"/>
      <c r="G80" s="573"/>
      <c r="H80" s="573"/>
      <c r="I80" s="573"/>
      <c r="J80" s="573"/>
      <c r="K80" s="573"/>
      <c r="L80" s="573"/>
      <c r="M80" s="573"/>
      <c r="N80" s="573"/>
      <c r="O80" s="573"/>
      <c r="P80" s="573"/>
      <c r="Q80" s="573"/>
      <c r="R80" s="573">
        <v>-25</v>
      </c>
      <c r="S80" s="573"/>
      <c r="T80" s="573"/>
      <c r="U80" s="573"/>
      <c r="V80" s="573"/>
      <c r="W80" s="573"/>
      <c r="X80" s="573"/>
      <c r="Y80" s="573"/>
      <c r="Z80" s="573"/>
      <c r="AA80" s="573"/>
      <c r="AB80" s="573"/>
      <c r="AC80" s="573"/>
      <c r="AD80" s="589">
        <f>SUM(E80:AC80)</f>
        <v>-25</v>
      </c>
      <c r="AE80" s="696">
        <f t="shared" si="7"/>
        <v>-725</v>
      </c>
      <c r="AF80" s="697" t="str">
        <f t="shared" si="8"/>
        <v>buy</v>
      </c>
    </row>
    <row r="81" spans="1:33" s="356" customFormat="1" ht="12.75" customHeight="1" x14ac:dyDescent="0.2">
      <c r="A81" s="628" t="s">
        <v>377</v>
      </c>
      <c r="B81" s="570" t="s">
        <v>370</v>
      </c>
      <c r="C81" s="570" t="s">
        <v>151</v>
      </c>
      <c r="D81" s="629">
        <v>32</v>
      </c>
      <c r="E81" s="571"/>
      <c r="F81" s="572"/>
      <c r="G81" s="573"/>
      <c r="H81" s="573"/>
      <c r="I81" s="573"/>
      <c r="J81" s="573"/>
      <c r="K81" s="573"/>
      <c r="L81" s="573"/>
      <c r="M81" s="573"/>
      <c r="N81" s="573"/>
      <c r="O81" s="573"/>
      <c r="P81" s="573"/>
      <c r="Q81" s="573"/>
      <c r="R81" s="573"/>
      <c r="S81" s="573"/>
      <c r="T81" s="573"/>
      <c r="U81" s="573"/>
      <c r="V81" s="573"/>
      <c r="W81" s="573"/>
      <c r="X81" s="573"/>
      <c r="Y81" s="573">
        <v>-22</v>
      </c>
      <c r="Z81" s="573">
        <v>-22</v>
      </c>
      <c r="AA81" s="573"/>
      <c r="AB81" s="573"/>
      <c r="AC81" s="573"/>
      <c r="AD81" s="589">
        <f>SUM(E81:AC81)</f>
        <v>-44</v>
      </c>
      <c r="AE81" s="696">
        <f t="shared" si="7"/>
        <v>-1408</v>
      </c>
      <c r="AF81" s="697" t="str">
        <f t="shared" si="8"/>
        <v>buy</v>
      </c>
    </row>
    <row r="82" spans="1:33" s="356" customFormat="1" x14ac:dyDescent="0.2">
      <c r="A82" s="628"/>
      <c r="B82" s="570"/>
      <c r="C82" s="570"/>
      <c r="D82" s="629"/>
      <c r="E82" s="571"/>
      <c r="F82" s="572"/>
      <c r="G82" s="573"/>
      <c r="H82" s="573"/>
      <c r="I82" s="573"/>
      <c r="J82" s="573"/>
      <c r="K82" s="573"/>
      <c r="L82" s="573"/>
      <c r="M82" s="573"/>
      <c r="N82" s="573"/>
      <c r="O82" s="573"/>
      <c r="P82" s="573"/>
      <c r="Q82" s="573"/>
      <c r="R82" s="573"/>
      <c r="S82" s="573"/>
      <c r="T82" s="573"/>
      <c r="U82" s="573"/>
      <c r="V82" s="573"/>
      <c r="W82" s="573"/>
      <c r="X82" s="573"/>
      <c r="Y82" s="573"/>
      <c r="Z82" s="573"/>
      <c r="AA82" s="573"/>
      <c r="AB82" s="573"/>
      <c r="AC82" s="573"/>
      <c r="AD82" s="589">
        <f>SUM(AA82:AC82)</f>
        <v>0</v>
      </c>
      <c r="AE82" s="696">
        <f t="shared" si="7"/>
        <v>0</v>
      </c>
      <c r="AF82" s="697" t="str">
        <f t="shared" si="8"/>
        <v>sell</v>
      </c>
    </row>
    <row r="83" spans="1:33" s="356" customFormat="1" x14ac:dyDescent="0.2">
      <c r="A83" s="551"/>
      <c r="B83" s="667"/>
      <c r="C83" s="559"/>
      <c r="D83" s="552"/>
      <c r="E83" s="552"/>
      <c r="F83" s="553"/>
      <c r="G83" s="554"/>
      <c r="H83" s="553"/>
      <c r="I83" s="553"/>
      <c r="J83" s="553"/>
      <c r="K83" s="553"/>
      <c r="L83" s="553"/>
      <c r="M83" s="553"/>
      <c r="N83" s="553"/>
      <c r="O83" s="553"/>
      <c r="P83" s="553"/>
      <c r="Q83" s="553"/>
      <c r="R83" s="553"/>
      <c r="S83" s="553"/>
      <c r="T83" s="553"/>
      <c r="U83" s="553"/>
      <c r="V83" s="553"/>
      <c r="W83" s="553"/>
      <c r="X83" s="553"/>
      <c r="Y83" s="553"/>
      <c r="Z83" s="553"/>
      <c r="AA83" s="553"/>
      <c r="AB83" s="553"/>
      <c r="AC83" s="555"/>
      <c r="AD83" s="589"/>
      <c r="AE83" s="696"/>
      <c r="AF83" s="697"/>
    </row>
    <row r="84" spans="1:33" s="356" customFormat="1" x14ac:dyDescent="0.2">
      <c r="A84" s="551" t="s">
        <v>63</v>
      </c>
      <c r="B84" s="667" t="s">
        <v>376</v>
      </c>
      <c r="C84" s="559" t="s">
        <v>151</v>
      </c>
      <c r="D84" s="552">
        <v>10</v>
      </c>
      <c r="E84" s="552"/>
      <c r="F84" s="553"/>
      <c r="G84" s="554"/>
      <c r="H84" s="553"/>
      <c r="I84" s="553"/>
      <c r="J84" s="553"/>
      <c r="K84" s="553"/>
      <c r="L84" s="553"/>
      <c r="M84" s="553"/>
      <c r="N84" s="553"/>
      <c r="O84" s="553"/>
      <c r="P84" s="553"/>
      <c r="Q84" s="553"/>
      <c r="R84" s="553"/>
      <c r="S84" s="553"/>
      <c r="T84" s="553"/>
      <c r="U84" s="554"/>
      <c r="V84" s="553"/>
      <c r="W84" s="553"/>
      <c r="X84" s="553">
        <f>AA391-13</f>
        <v>-13</v>
      </c>
      <c r="Y84" s="553"/>
      <c r="Z84" s="553"/>
      <c r="AA84" s="553"/>
      <c r="AB84" s="553"/>
      <c r="AC84" s="555"/>
      <c r="AD84" s="589">
        <f>SUM(E84:AC84)</f>
        <v>-13</v>
      </c>
      <c r="AE84" s="696">
        <f>AD84*D84</f>
        <v>-130</v>
      </c>
      <c r="AF84" s="697" t="str">
        <f>IF(AD84&lt;0,"buy","sell")</f>
        <v>buy</v>
      </c>
    </row>
    <row r="85" spans="1:33" s="356" customFormat="1" x14ac:dyDescent="0.2">
      <c r="A85" s="551"/>
      <c r="B85" s="559"/>
      <c r="C85" s="559"/>
      <c r="D85" s="552"/>
      <c r="E85" s="552"/>
      <c r="F85" s="553"/>
      <c r="G85" s="554"/>
      <c r="H85" s="553"/>
      <c r="I85" s="553"/>
      <c r="J85" s="553"/>
      <c r="K85" s="553"/>
      <c r="L85" s="553"/>
      <c r="M85" s="553"/>
      <c r="N85" s="553"/>
      <c r="O85" s="553"/>
      <c r="P85" s="553"/>
      <c r="Q85" s="553"/>
      <c r="R85" s="553"/>
      <c r="S85" s="553"/>
      <c r="T85" s="553"/>
      <c r="U85" s="556"/>
      <c r="V85" s="553"/>
      <c r="W85" s="553"/>
      <c r="X85" s="553"/>
      <c r="Y85" s="553"/>
      <c r="Z85" s="553"/>
      <c r="AA85" s="553"/>
      <c r="AB85" s="553"/>
      <c r="AC85" s="555"/>
      <c r="AD85" s="578">
        <f>SUM(F90:AC90)</f>
        <v>0</v>
      </c>
      <c r="AE85" s="579">
        <f>AD85*D85</f>
        <v>0</v>
      </c>
      <c r="AF85" s="533" t="str">
        <f>IF(AD85&lt;0,"buy","sell")</f>
        <v>sell</v>
      </c>
    </row>
    <row r="86" spans="1:33" s="356" customFormat="1" x14ac:dyDescent="0.2">
      <c r="A86" s="557" t="s">
        <v>206</v>
      </c>
      <c r="B86" s="487"/>
      <c r="C86" s="487"/>
      <c r="D86" s="487"/>
      <c r="E86" s="487"/>
      <c r="F86" s="487"/>
      <c r="G86" s="487"/>
      <c r="H86" s="487"/>
      <c r="I86" s="487"/>
      <c r="J86" s="487"/>
      <c r="K86" s="487"/>
      <c r="L86" s="487"/>
      <c r="M86" s="487"/>
      <c r="N86" s="487"/>
      <c r="O86" s="487"/>
      <c r="P86" s="487"/>
      <c r="Q86" s="487"/>
      <c r="R86" s="487"/>
      <c r="S86" s="487"/>
      <c r="T86" s="487"/>
      <c r="U86" s="487"/>
      <c r="V86" s="487"/>
      <c r="W86" s="487"/>
      <c r="X86" s="487"/>
      <c r="Y86" s="487"/>
      <c r="Z86" s="487"/>
      <c r="AA86" s="487"/>
      <c r="AB86" s="487"/>
      <c r="AC86" s="487"/>
      <c r="AD86" s="487"/>
      <c r="AE86" s="487"/>
      <c r="AF86" s="487"/>
    </row>
    <row r="87" spans="1:33" s="356" customFormat="1" x14ac:dyDescent="0.2">
      <c r="B87" s="364"/>
      <c r="C87" s="364"/>
      <c r="D87" s="365"/>
      <c r="E87" s="365"/>
      <c r="F87" s="364"/>
      <c r="G87" s="366"/>
      <c r="H87" s="366"/>
      <c r="I87" s="366"/>
      <c r="J87" s="366"/>
      <c r="K87" s="366"/>
      <c r="L87" s="366"/>
      <c r="M87" s="366"/>
      <c r="N87" s="366"/>
      <c r="O87" s="366"/>
      <c r="P87" s="366"/>
      <c r="Q87" s="366"/>
      <c r="R87" s="366"/>
      <c r="S87" s="366"/>
      <c r="T87" s="366"/>
      <c r="U87" s="366"/>
      <c r="V87" s="366"/>
      <c r="W87" s="366"/>
      <c r="X87" s="366"/>
      <c r="Y87" s="366"/>
      <c r="Z87" s="446"/>
      <c r="AA87" s="446"/>
      <c r="AB87" s="446"/>
      <c r="AC87" s="536"/>
      <c r="AD87" s="464"/>
      <c r="AE87" s="465"/>
      <c r="AF87" s="446"/>
    </row>
    <row r="88" spans="1:33" s="356" customFormat="1" ht="18" x14ac:dyDescent="0.25">
      <c r="A88" s="431" t="s">
        <v>241</v>
      </c>
      <c r="B88" s="432"/>
      <c r="C88" s="546"/>
      <c r="D88" s="433"/>
      <c r="E88" s="433"/>
      <c r="F88" s="434"/>
      <c r="G88" s="435"/>
      <c r="H88" s="370"/>
      <c r="I88" s="370"/>
      <c r="J88" s="370"/>
      <c r="K88" s="371"/>
      <c r="L88" s="370"/>
      <c r="M88" s="370"/>
      <c r="N88" s="370"/>
      <c r="O88" s="370"/>
      <c r="P88" s="370"/>
      <c r="Q88" s="370"/>
      <c r="R88" s="370"/>
      <c r="S88" s="370" t="s">
        <v>15</v>
      </c>
      <c r="T88" s="370"/>
      <c r="U88" s="370"/>
      <c r="V88" s="370"/>
      <c r="W88" s="370"/>
      <c r="X88" s="370"/>
      <c r="Y88" s="370"/>
      <c r="Z88" s="372"/>
      <c r="AA88" s="372"/>
      <c r="AB88" s="372"/>
      <c r="AC88" s="537"/>
      <c r="AD88" s="464"/>
      <c r="AE88" s="465"/>
      <c r="AF88" s="372"/>
    </row>
    <row r="89" spans="1:33" s="356" customFormat="1" ht="13.5" thickBot="1" x14ac:dyDescent="0.25">
      <c r="A89" s="436"/>
      <c r="B89" s="437"/>
      <c r="C89" s="437"/>
      <c r="D89" s="433"/>
      <c r="E89" s="433"/>
      <c r="F89" s="435"/>
      <c r="G89" s="435"/>
      <c r="H89" s="370"/>
      <c r="I89" s="370"/>
      <c r="J89" s="370"/>
      <c r="K89" s="373"/>
      <c r="L89" s="373"/>
      <c r="M89" s="370"/>
      <c r="N89" s="370"/>
      <c r="O89" s="370"/>
      <c r="P89" s="370"/>
      <c r="Q89" s="370"/>
      <c r="R89" s="370"/>
      <c r="S89" s="370"/>
      <c r="T89" s="370"/>
      <c r="U89" s="370"/>
      <c r="V89" s="370"/>
      <c r="W89" s="370"/>
      <c r="X89" s="370"/>
      <c r="Y89" s="370"/>
      <c r="Z89" s="372"/>
      <c r="AA89" s="372"/>
      <c r="AB89" s="372"/>
      <c r="AC89" s="537"/>
      <c r="AD89" s="464"/>
      <c r="AE89" s="465"/>
      <c r="AF89" s="372"/>
    </row>
    <row r="90" spans="1:33" s="356" customFormat="1" ht="18.75" thickBot="1" x14ac:dyDescent="0.3">
      <c r="A90" s="438" t="s">
        <v>7</v>
      </c>
      <c r="B90" s="439"/>
      <c r="C90" s="439" t="s">
        <v>265</v>
      </c>
      <c r="D90" s="440" t="s">
        <v>9</v>
      </c>
      <c r="E90" s="439"/>
      <c r="F90" s="442" t="s">
        <v>271</v>
      </c>
      <c r="G90" s="443"/>
      <c r="H90" s="370"/>
      <c r="I90" s="370"/>
      <c r="J90" s="370"/>
      <c r="K90" s="373"/>
      <c r="L90" s="371"/>
      <c r="M90" s="370"/>
      <c r="N90" s="370"/>
      <c r="O90" s="370"/>
      <c r="P90" s="370"/>
      <c r="Q90" s="370"/>
      <c r="R90" s="370"/>
      <c r="S90" s="370"/>
      <c r="T90" s="370"/>
      <c r="U90" s="370"/>
      <c r="V90" s="370"/>
      <c r="W90" s="370"/>
      <c r="X90" s="370"/>
      <c r="Y90" s="370"/>
      <c r="AA90" s="372"/>
      <c r="AB90" s="372"/>
      <c r="AC90" s="537"/>
      <c r="AD90" s="464"/>
      <c r="AE90" s="465"/>
      <c r="AF90" s="372"/>
    </row>
    <row r="91" spans="1:33" s="356" customFormat="1" ht="18" x14ac:dyDescent="0.25">
      <c r="A91" s="444" t="s">
        <v>243</v>
      </c>
      <c r="B91" s="445" t="s">
        <v>244</v>
      </c>
      <c r="C91" s="445"/>
      <c r="D91" s="575"/>
      <c r="E91" s="445"/>
      <c r="F91" s="441" t="s">
        <v>318</v>
      </c>
      <c r="G91" s="435" t="s">
        <v>319</v>
      </c>
      <c r="H91" s="370"/>
      <c r="I91" s="370"/>
      <c r="J91" s="370"/>
      <c r="K91" s="373"/>
      <c r="L91" s="371"/>
      <c r="M91" s="370"/>
      <c r="N91" s="370"/>
      <c r="O91" s="370"/>
      <c r="P91" s="370"/>
      <c r="Q91" s="370"/>
      <c r="R91" s="370"/>
      <c r="S91" s="370"/>
      <c r="T91" s="370"/>
      <c r="U91" s="370"/>
      <c r="V91" s="370"/>
      <c r="W91" s="370"/>
      <c r="X91" s="370"/>
      <c r="Y91" s="370"/>
      <c r="Z91" s="372" t="s">
        <v>207</v>
      </c>
      <c r="AA91" s="372"/>
      <c r="AB91" s="372"/>
      <c r="AC91" s="538"/>
      <c r="AD91" s="460"/>
      <c r="AE91" s="461"/>
      <c r="AF91" s="372"/>
    </row>
    <row r="92" spans="1:33" x14ac:dyDescent="0.2">
      <c r="A92" s="437">
        <v>24</v>
      </c>
      <c r="B92" s="437">
        <v>1</v>
      </c>
      <c r="C92" s="446">
        <v>1</v>
      </c>
      <c r="D92" s="580"/>
      <c r="E92" s="535"/>
      <c r="F92" s="587">
        <f>D92-0.25</f>
        <v>-0.25</v>
      </c>
      <c r="G92" s="558">
        <f>D92+0.56</f>
        <v>0.56000000000000005</v>
      </c>
      <c r="K92" s="373"/>
      <c r="M92" s="370"/>
      <c r="N92" s="370"/>
      <c r="Z92" s="372"/>
      <c r="AA92" s="539"/>
      <c r="AB92" s="539"/>
      <c r="AC92" s="538"/>
      <c r="AD92" s="402"/>
      <c r="AE92" s="402"/>
      <c r="AF92" s="539"/>
      <c r="AG92" s="356"/>
    </row>
    <row r="93" spans="1:33" s="356" customFormat="1" x14ac:dyDescent="0.2">
      <c r="A93" s="435">
        <v>1</v>
      </c>
      <c r="B93" s="435">
        <v>2</v>
      </c>
      <c r="C93" s="446">
        <v>1</v>
      </c>
      <c r="D93" s="580"/>
      <c r="E93" s="492"/>
      <c r="F93" s="587">
        <f t="shared" ref="F93:F116" si="9">D93-0.25</f>
        <v>-0.25</v>
      </c>
      <c r="G93" s="558">
        <f t="shared" ref="G93:G116" si="10">D93+0.56</f>
        <v>0.56000000000000005</v>
      </c>
      <c r="H93" s="370"/>
      <c r="I93" s="370"/>
      <c r="J93" s="370"/>
      <c r="K93" s="373"/>
      <c r="L93" s="370"/>
      <c r="M93" s="370"/>
      <c r="N93" s="370"/>
      <c r="O93" s="370"/>
      <c r="P93" s="370"/>
      <c r="Q93" s="370"/>
      <c r="R93" s="370"/>
      <c r="S93" s="370"/>
      <c r="T93" s="370"/>
      <c r="U93" s="370"/>
      <c r="V93" s="370"/>
      <c r="W93" s="370"/>
      <c r="X93" s="370"/>
      <c r="Y93" s="370"/>
      <c r="Z93" s="539" t="s">
        <v>266</v>
      </c>
      <c r="AA93" s="539"/>
      <c r="AB93" s="539"/>
      <c r="AC93" s="538"/>
      <c r="AD93" s="480">
        <f>SUM(AD18:AD73)</f>
        <v>25</v>
      </c>
      <c r="AE93" s="480">
        <f>SUM(AE18:AE73)</f>
        <v>900</v>
      </c>
      <c r="AF93" s="539"/>
    </row>
    <row r="94" spans="1:33" s="356" customFormat="1" x14ac:dyDescent="0.2">
      <c r="A94" s="437">
        <v>2</v>
      </c>
      <c r="B94" s="437">
        <v>3</v>
      </c>
      <c r="C94" s="446">
        <v>1</v>
      </c>
      <c r="D94" s="580"/>
      <c r="E94" s="492"/>
      <c r="F94" s="587">
        <f t="shared" si="9"/>
        <v>-0.25</v>
      </c>
      <c r="G94" s="558">
        <f t="shared" si="10"/>
        <v>0.56000000000000005</v>
      </c>
      <c r="H94" s="370"/>
      <c r="I94" s="370"/>
      <c r="J94" s="370"/>
      <c r="K94" s="373"/>
      <c r="L94" s="370"/>
      <c r="M94" s="370"/>
      <c r="N94" s="370"/>
      <c r="O94" s="370"/>
      <c r="P94" s="370"/>
      <c r="Q94" s="370"/>
      <c r="R94" s="370"/>
      <c r="S94" s="370"/>
      <c r="T94" s="370"/>
      <c r="U94" s="370"/>
      <c r="V94" s="370"/>
      <c r="W94" s="370"/>
      <c r="X94" s="370"/>
      <c r="Y94" s="370"/>
      <c r="Z94" s="539" t="s">
        <v>267</v>
      </c>
      <c r="AA94" s="539"/>
      <c r="AB94" s="539"/>
      <c r="AC94" s="540"/>
      <c r="AD94" s="480">
        <f>SUM(AD74:AD82)</f>
        <v>-169</v>
      </c>
      <c r="AE94" s="480">
        <f>SUM(AE74:AE82)</f>
        <v>-5233</v>
      </c>
      <c r="AF94" s="539"/>
    </row>
    <row r="95" spans="1:33" s="356" customFormat="1" x14ac:dyDescent="0.2">
      <c r="A95" s="435">
        <v>3</v>
      </c>
      <c r="B95" s="435">
        <v>4</v>
      </c>
      <c r="C95" s="446">
        <v>1</v>
      </c>
      <c r="D95" s="580"/>
      <c r="E95" s="492"/>
      <c r="F95" s="587">
        <f t="shared" si="9"/>
        <v>-0.25</v>
      </c>
      <c r="G95" s="558">
        <f t="shared" si="10"/>
        <v>0.56000000000000005</v>
      </c>
      <c r="H95" s="377"/>
      <c r="I95" s="377"/>
      <c r="J95" s="377"/>
      <c r="K95" s="378"/>
      <c r="L95" s="377"/>
      <c r="M95" s="370"/>
      <c r="N95" s="370"/>
      <c r="O95" s="377"/>
      <c r="P95" s="377"/>
      <c r="Q95" s="377"/>
      <c r="R95" s="377"/>
      <c r="S95" s="377"/>
      <c r="T95" s="377"/>
      <c r="U95" s="377"/>
      <c r="V95" s="377"/>
      <c r="W95" s="377"/>
      <c r="X95" s="377"/>
      <c r="Y95" s="377"/>
      <c r="Z95" s="384"/>
      <c r="AA95" s="384"/>
      <c r="AB95" s="384"/>
      <c r="AC95" s="473"/>
      <c r="AF95" s="384"/>
    </row>
    <row r="96" spans="1:33" s="356" customFormat="1" x14ac:dyDescent="0.2">
      <c r="A96" s="437">
        <v>4</v>
      </c>
      <c r="B96" s="437">
        <v>5</v>
      </c>
      <c r="C96" s="446">
        <v>1</v>
      </c>
      <c r="D96" s="580"/>
      <c r="E96" s="492"/>
      <c r="F96" s="587">
        <f t="shared" si="9"/>
        <v>-0.25</v>
      </c>
      <c r="G96" s="558">
        <f t="shared" si="10"/>
        <v>0.56000000000000005</v>
      </c>
      <c r="H96" s="377"/>
      <c r="O96" s="370"/>
      <c r="P96" s="370"/>
      <c r="Q96" s="381"/>
      <c r="R96" s="381"/>
      <c r="S96" s="381"/>
      <c r="T96" s="381"/>
      <c r="U96" s="381"/>
      <c r="V96" s="381"/>
      <c r="W96" s="381"/>
      <c r="X96" s="381"/>
      <c r="Y96" s="381"/>
      <c r="Z96" s="541" t="s">
        <v>279</v>
      </c>
      <c r="AA96" s="541"/>
      <c r="AB96" s="541"/>
      <c r="AC96" s="542"/>
      <c r="AD96" s="484"/>
      <c r="AE96" s="485"/>
      <c r="AF96" s="402"/>
    </row>
    <row r="97" spans="1:33" s="356" customFormat="1" x14ac:dyDescent="0.2">
      <c r="A97" s="435">
        <v>5</v>
      </c>
      <c r="B97" s="435">
        <v>6</v>
      </c>
      <c r="C97" s="446">
        <v>1</v>
      </c>
      <c r="D97" s="580"/>
      <c r="E97" s="492"/>
      <c r="F97" s="587">
        <f t="shared" si="9"/>
        <v>-0.25</v>
      </c>
      <c r="G97" s="558">
        <f t="shared" si="10"/>
        <v>0.56000000000000005</v>
      </c>
      <c r="H97" s="370"/>
      <c r="O97" s="370"/>
      <c r="P97" s="370"/>
      <c r="Q97" s="370"/>
      <c r="R97" s="370"/>
      <c r="S97" s="370"/>
      <c r="T97" s="370"/>
      <c r="U97" s="370"/>
      <c r="V97" s="370"/>
      <c r="W97" s="370"/>
      <c r="X97" s="370"/>
      <c r="Y97" s="370"/>
      <c r="Z97" s="541"/>
      <c r="AA97" s="541"/>
      <c r="AB97" s="541"/>
      <c r="AC97" s="542"/>
      <c r="AD97" s="484"/>
      <c r="AE97" s="485"/>
      <c r="AF97" s="402"/>
    </row>
    <row r="98" spans="1:33" s="356" customFormat="1" x14ac:dyDescent="0.2">
      <c r="A98" s="437">
        <v>6</v>
      </c>
      <c r="B98" s="437">
        <v>7</v>
      </c>
      <c r="C98" s="446">
        <v>1</v>
      </c>
      <c r="D98" s="580"/>
      <c r="E98" s="492"/>
      <c r="F98" s="587">
        <f t="shared" si="9"/>
        <v>-0.25</v>
      </c>
      <c r="G98" s="558">
        <f t="shared" si="10"/>
        <v>0.56000000000000005</v>
      </c>
      <c r="H98" s="382"/>
      <c r="O98" s="370"/>
      <c r="P98" s="370"/>
      <c r="Q98" s="382"/>
      <c r="R98" s="382"/>
      <c r="S98" s="382"/>
      <c r="T98" s="382"/>
      <c r="U98" s="382"/>
      <c r="V98" s="382"/>
      <c r="W98" s="382"/>
      <c r="X98" s="382"/>
      <c r="Y98" s="382"/>
      <c r="Z98" s="541" t="s">
        <v>267</v>
      </c>
      <c r="AA98" s="541"/>
      <c r="AB98" s="541"/>
      <c r="AC98" s="542"/>
      <c r="AD98" s="486">
        <f>SUM(AD83:AD86)</f>
        <v>-13</v>
      </c>
      <c r="AE98" s="486">
        <f>SUM(AE83:AE86)</f>
        <v>-130</v>
      </c>
      <c r="AF98" s="402"/>
    </row>
    <row r="99" spans="1:33" s="356" customFormat="1" x14ac:dyDescent="0.2">
      <c r="A99" s="435">
        <v>7</v>
      </c>
      <c r="B99" s="435">
        <v>8</v>
      </c>
      <c r="C99" s="446">
        <v>1</v>
      </c>
      <c r="D99" s="580"/>
      <c r="E99" s="492"/>
      <c r="F99" s="587">
        <f t="shared" si="9"/>
        <v>-0.25</v>
      </c>
      <c r="G99" s="558">
        <f t="shared" si="10"/>
        <v>0.56000000000000005</v>
      </c>
      <c r="H99" s="382"/>
      <c r="O99" s="370"/>
      <c r="P99" s="370"/>
      <c r="Q99" s="382"/>
      <c r="R99" s="382"/>
      <c r="S99" s="382"/>
      <c r="T99" s="382"/>
      <c r="U99" s="382"/>
      <c r="V99" s="382"/>
      <c r="W99" s="382"/>
      <c r="X99" s="382"/>
      <c r="Y99" s="382"/>
      <c r="Z99" s="402"/>
      <c r="AA99" s="402"/>
      <c r="AB99" s="402"/>
      <c r="AC99" s="474"/>
      <c r="AD99" s="402"/>
      <c r="AE99" s="402"/>
      <c r="AF99" s="402"/>
    </row>
    <row r="100" spans="1:33" s="356" customFormat="1" x14ac:dyDescent="0.2">
      <c r="A100" s="437">
        <v>8</v>
      </c>
      <c r="B100" s="437">
        <v>9</v>
      </c>
      <c r="C100" s="446">
        <v>1</v>
      </c>
      <c r="D100" s="580"/>
      <c r="E100" s="492"/>
      <c r="F100" s="587">
        <f t="shared" si="9"/>
        <v>-0.25</v>
      </c>
      <c r="G100" s="558">
        <f t="shared" si="10"/>
        <v>0.56000000000000005</v>
      </c>
      <c r="H100" s="370"/>
      <c r="O100" s="370"/>
      <c r="P100" s="370"/>
      <c r="Q100" s="370"/>
      <c r="R100" s="370"/>
      <c r="S100" s="370"/>
      <c r="T100" s="370"/>
      <c r="U100" s="370"/>
      <c r="V100" s="370"/>
      <c r="W100" s="370"/>
      <c r="X100" s="370"/>
      <c r="Y100" s="370"/>
      <c r="Z100" s="402"/>
      <c r="AA100" s="402"/>
      <c r="AB100" s="402"/>
      <c r="AC100" s="474"/>
      <c r="AD100" s="402"/>
      <c r="AE100" s="402"/>
      <c r="AF100" s="402"/>
    </row>
    <row r="101" spans="1:33" s="402" customFormat="1" x14ac:dyDescent="0.2">
      <c r="A101" s="435">
        <v>9</v>
      </c>
      <c r="B101" s="435">
        <v>10</v>
      </c>
      <c r="C101" s="446">
        <v>1</v>
      </c>
      <c r="D101" s="580"/>
      <c r="E101" s="492"/>
      <c r="F101" s="587">
        <f t="shared" si="9"/>
        <v>-0.25</v>
      </c>
      <c r="G101" s="558">
        <f t="shared" si="10"/>
        <v>0.56000000000000005</v>
      </c>
      <c r="H101" s="370"/>
      <c r="I101" s="356"/>
      <c r="J101" s="356"/>
      <c r="K101" s="356"/>
      <c r="L101" s="356"/>
      <c r="M101" s="356"/>
      <c r="N101" s="356"/>
      <c r="O101" s="370"/>
      <c r="P101" s="370"/>
      <c r="Q101" s="370"/>
      <c r="R101" s="370"/>
      <c r="S101" s="370"/>
      <c r="T101" s="370"/>
      <c r="U101" s="370"/>
      <c r="V101" s="370"/>
      <c r="W101" s="370"/>
      <c r="X101" s="370"/>
      <c r="Y101" s="370"/>
      <c r="AC101" s="474"/>
      <c r="AG101" s="356"/>
    </row>
    <row r="102" spans="1:33" s="402" customFormat="1" x14ac:dyDescent="0.2">
      <c r="A102" s="437">
        <v>10</v>
      </c>
      <c r="B102" s="437">
        <v>11</v>
      </c>
      <c r="C102" s="446">
        <v>1</v>
      </c>
      <c r="D102" s="580"/>
      <c r="E102" s="492"/>
      <c r="F102" s="587">
        <f t="shared" si="9"/>
        <v>-0.25</v>
      </c>
      <c r="G102" s="558">
        <f t="shared" si="10"/>
        <v>0.56000000000000005</v>
      </c>
      <c r="H102" s="383"/>
      <c r="I102" s="404"/>
      <c r="J102" s="404"/>
      <c r="K102" s="404"/>
      <c r="L102" s="404"/>
      <c r="M102" s="404"/>
      <c r="N102" s="404"/>
      <c r="O102" s="383"/>
      <c r="P102" s="383"/>
      <c r="Q102" s="383"/>
      <c r="R102" s="383"/>
      <c r="S102" s="383"/>
      <c r="T102" s="383"/>
      <c r="U102" s="383"/>
      <c r="V102" s="383"/>
      <c r="W102" s="383"/>
      <c r="X102" s="383"/>
      <c r="Y102" s="383"/>
      <c r="AC102" s="474"/>
      <c r="AG102" s="370"/>
    </row>
    <row r="103" spans="1:33" s="402" customFormat="1" x14ac:dyDescent="0.2">
      <c r="A103" s="435">
        <v>11</v>
      </c>
      <c r="B103" s="435">
        <v>12</v>
      </c>
      <c r="C103" s="446">
        <v>1</v>
      </c>
      <c r="D103" s="580"/>
      <c r="E103" s="492"/>
      <c r="F103" s="587">
        <f t="shared" si="9"/>
        <v>-0.25</v>
      </c>
      <c r="G103" s="558">
        <f t="shared" si="10"/>
        <v>0.56000000000000005</v>
      </c>
      <c r="H103" s="384"/>
      <c r="I103" s="356"/>
      <c r="J103" s="356"/>
      <c r="K103" s="356"/>
      <c r="L103" s="356"/>
      <c r="M103" s="356"/>
      <c r="N103" s="356"/>
      <c r="O103" s="384"/>
      <c r="P103" s="384"/>
      <c r="Q103" s="384"/>
      <c r="R103" s="384"/>
      <c r="S103" s="384"/>
      <c r="T103" s="384"/>
      <c r="U103" s="384"/>
      <c r="V103" s="384"/>
      <c r="W103" s="384"/>
      <c r="X103" s="384"/>
      <c r="Y103" s="384"/>
      <c r="AC103" s="474"/>
      <c r="AG103" s="356"/>
    </row>
    <row r="104" spans="1:33" s="402" customFormat="1" x14ac:dyDescent="0.2">
      <c r="A104" s="437">
        <v>12</v>
      </c>
      <c r="B104" s="437">
        <v>13</v>
      </c>
      <c r="C104" s="446">
        <v>1</v>
      </c>
      <c r="D104" s="580"/>
      <c r="E104" s="492"/>
      <c r="F104" s="587">
        <f t="shared" si="9"/>
        <v>-0.25</v>
      </c>
      <c r="G104" s="558">
        <f t="shared" si="10"/>
        <v>0.56000000000000005</v>
      </c>
      <c r="H104" s="384"/>
      <c r="I104" s="356"/>
      <c r="J104" s="356"/>
      <c r="K104" s="356"/>
      <c r="L104" s="356"/>
      <c r="M104" s="356"/>
      <c r="N104" s="356"/>
      <c r="O104" s="384"/>
      <c r="P104" s="384"/>
      <c r="Q104" s="384"/>
      <c r="R104" s="384"/>
      <c r="S104" s="384"/>
      <c r="T104" s="384"/>
      <c r="U104" s="384"/>
      <c r="V104" s="384"/>
      <c r="W104" s="384"/>
      <c r="X104" s="384"/>
      <c r="Y104" s="384"/>
      <c r="Z104" s="384"/>
      <c r="AA104" s="384"/>
      <c r="AB104" s="384"/>
      <c r="AC104" s="473"/>
      <c r="AG104" s="356"/>
    </row>
    <row r="105" spans="1:33" s="402" customFormat="1" x14ac:dyDescent="0.2">
      <c r="A105" s="435">
        <v>13</v>
      </c>
      <c r="B105" s="435">
        <v>14</v>
      </c>
      <c r="C105" s="446">
        <v>1</v>
      </c>
      <c r="D105" s="580"/>
      <c r="E105" s="492"/>
      <c r="F105" s="587">
        <f t="shared" si="9"/>
        <v>-0.25</v>
      </c>
      <c r="G105" s="558">
        <f t="shared" si="10"/>
        <v>0.56000000000000005</v>
      </c>
      <c r="H105" s="384"/>
      <c r="I105" s="356"/>
      <c r="J105" s="356"/>
      <c r="K105" s="356"/>
      <c r="L105" s="356"/>
      <c r="M105" s="356"/>
      <c r="N105" s="356"/>
      <c r="O105" s="384"/>
      <c r="P105" s="384"/>
      <c r="Q105" s="384"/>
      <c r="R105" s="384"/>
      <c r="S105" s="384"/>
      <c r="T105" s="384"/>
      <c r="U105" s="384"/>
      <c r="V105" s="384"/>
      <c r="W105" s="384"/>
      <c r="X105" s="384"/>
      <c r="Y105" s="384"/>
      <c r="Z105" s="384"/>
      <c r="AA105" s="384"/>
      <c r="AB105" s="384"/>
      <c r="AC105" s="473"/>
      <c r="AD105" s="464"/>
      <c r="AE105" s="465"/>
      <c r="AF105" s="466"/>
      <c r="AG105" s="356"/>
    </row>
    <row r="106" spans="1:33" s="402" customFormat="1" x14ac:dyDescent="0.2">
      <c r="A106" s="437">
        <v>14</v>
      </c>
      <c r="B106" s="437">
        <v>15</v>
      </c>
      <c r="C106" s="446">
        <v>1</v>
      </c>
      <c r="D106" s="580"/>
      <c r="E106" s="492"/>
      <c r="F106" s="587">
        <f t="shared" si="9"/>
        <v>-0.25</v>
      </c>
      <c r="G106" s="558">
        <f t="shared" si="10"/>
        <v>0.56000000000000005</v>
      </c>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73"/>
      <c r="AD106" s="464"/>
      <c r="AE106" s="465"/>
      <c r="AF106" s="466"/>
      <c r="AG106" s="356"/>
    </row>
    <row r="107" spans="1:33" s="402" customFormat="1" x14ac:dyDescent="0.2">
      <c r="A107" s="435">
        <v>15</v>
      </c>
      <c r="B107" s="435">
        <v>16</v>
      </c>
      <c r="C107" s="446">
        <v>1</v>
      </c>
      <c r="D107" s="580"/>
      <c r="E107" s="492"/>
      <c r="F107" s="587">
        <f t="shared" si="9"/>
        <v>-0.25</v>
      </c>
      <c r="G107" s="558">
        <f t="shared" si="10"/>
        <v>0.56000000000000005</v>
      </c>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73"/>
      <c r="AD107" s="464"/>
      <c r="AE107" s="465"/>
      <c r="AF107" s="466"/>
      <c r="AG107" s="356"/>
    </row>
    <row r="108" spans="1:33" s="402" customFormat="1" x14ac:dyDescent="0.2">
      <c r="A108" s="437">
        <v>16</v>
      </c>
      <c r="B108" s="437">
        <v>17</v>
      </c>
      <c r="C108" s="446">
        <v>1</v>
      </c>
      <c r="D108" s="580"/>
      <c r="E108" s="492"/>
      <c r="F108" s="587">
        <f t="shared" si="9"/>
        <v>-0.25</v>
      </c>
      <c r="G108" s="558">
        <f t="shared" si="10"/>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D108" s="464"/>
      <c r="AE108" s="465"/>
      <c r="AF108" s="466"/>
      <c r="AG108" s="356"/>
    </row>
    <row r="109" spans="1:33" s="402" customFormat="1" x14ac:dyDescent="0.2">
      <c r="A109" s="435">
        <v>17</v>
      </c>
      <c r="B109" s="435">
        <v>18</v>
      </c>
      <c r="C109" s="446">
        <v>1</v>
      </c>
      <c r="D109" s="580"/>
      <c r="E109" s="492"/>
      <c r="F109" s="587">
        <f t="shared" si="9"/>
        <v>-0.25</v>
      </c>
      <c r="G109" s="558">
        <f t="shared" si="10"/>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543"/>
      <c r="AG109" s="356"/>
    </row>
    <row r="110" spans="1:33" s="402" customFormat="1" x14ac:dyDescent="0.2">
      <c r="A110" s="437">
        <v>18</v>
      </c>
      <c r="B110" s="437">
        <v>19</v>
      </c>
      <c r="C110" s="446">
        <v>1</v>
      </c>
      <c r="D110" s="580"/>
      <c r="E110" s="492"/>
      <c r="F110" s="587">
        <f t="shared" si="9"/>
        <v>-0.25</v>
      </c>
      <c r="G110" s="558">
        <f t="shared" si="10"/>
        <v>0.56000000000000005</v>
      </c>
      <c r="H110" s="387"/>
      <c r="I110" s="356"/>
      <c r="J110" s="356"/>
      <c r="K110" s="356"/>
      <c r="L110" s="356"/>
      <c r="M110" s="356"/>
      <c r="N110" s="356"/>
      <c r="O110" s="386"/>
      <c r="P110" s="386"/>
      <c r="Q110" s="387"/>
      <c r="R110" s="387"/>
      <c r="S110" s="387"/>
      <c r="T110" s="387"/>
      <c r="U110" s="387"/>
      <c r="V110" s="387"/>
      <c r="W110" s="387"/>
      <c r="X110" s="387"/>
      <c r="Y110" s="387"/>
      <c r="Z110" s="387"/>
      <c r="AA110" s="387"/>
      <c r="AB110" s="387"/>
      <c r="AC110" s="475"/>
      <c r="AG110" s="356"/>
    </row>
    <row r="111" spans="1:33" s="402" customFormat="1" x14ac:dyDescent="0.2">
      <c r="A111" s="435">
        <v>19</v>
      </c>
      <c r="B111" s="435">
        <v>20</v>
      </c>
      <c r="C111" s="446">
        <v>1</v>
      </c>
      <c r="D111" s="580"/>
      <c r="E111" s="492"/>
      <c r="F111" s="587">
        <f t="shared" si="9"/>
        <v>-0.25</v>
      </c>
      <c r="G111" s="558">
        <f t="shared" si="10"/>
        <v>0.56000000000000005</v>
      </c>
      <c r="H111" s="388"/>
      <c r="I111" s="356"/>
      <c r="J111" s="356"/>
      <c r="K111" s="356"/>
      <c r="L111" s="356"/>
      <c r="M111" s="356"/>
      <c r="N111" s="356"/>
      <c r="O111" s="411"/>
      <c r="P111" s="411"/>
      <c r="Q111" s="388"/>
      <c r="R111" s="388"/>
      <c r="S111" s="388"/>
      <c r="T111" s="388"/>
      <c r="U111" s="388"/>
      <c r="V111" s="388"/>
      <c r="W111" s="388"/>
      <c r="X111" s="388"/>
      <c r="Y111" s="388"/>
      <c r="Z111" s="388"/>
      <c r="AA111" s="388"/>
      <c r="AB111" s="388"/>
      <c r="AC111" s="476"/>
      <c r="AD111" s="544"/>
      <c r="AE111" s="468"/>
    </row>
    <row r="112" spans="1:33" s="467" customFormat="1" ht="13.5" thickBot="1" x14ac:dyDescent="0.25">
      <c r="A112" s="437">
        <v>20</v>
      </c>
      <c r="B112" s="437">
        <v>21</v>
      </c>
      <c r="C112" s="446">
        <v>1</v>
      </c>
      <c r="D112" s="580"/>
      <c r="E112" s="492"/>
      <c r="F112" s="587">
        <f t="shared" si="9"/>
        <v>-0.25</v>
      </c>
      <c r="G112" s="558">
        <f t="shared" si="10"/>
        <v>0.56000000000000005</v>
      </c>
      <c r="H112" s="388"/>
      <c r="I112" s="356"/>
      <c r="J112" s="356"/>
      <c r="K112" s="356"/>
      <c r="L112" s="356"/>
      <c r="M112" s="356"/>
      <c r="N112" s="356"/>
      <c r="O112" s="411"/>
      <c r="P112" s="411"/>
      <c r="Q112" s="388"/>
      <c r="R112" s="388"/>
      <c r="S112" s="388"/>
      <c r="T112" s="388"/>
      <c r="U112" s="388"/>
      <c r="V112" s="388"/>
      <c r="W112" s="388"/>
      <c r="X112" s="388"/>
      <c r="Y112" s="388"/>
      <c r="Z112" s="388"/>
      <c r="AA112" s="388"/>
      <c r="AB112" s="388"/>
      <c r="AC112" s="476"/>
      <c r="AD112" s="468"/>
      <c r="AE112" s="468"/>
      <c r="AF112" s="402"/>
      <c r="AG112" s="402"/>
    </row>
    <row r="113" spans="1:33" s="402" customFormat="1" x14ac:dyDescent="0.2">
      <c r="A113" s="435">
        <v>21</v>
      </c>
      <c r="B113" s="435">
        <v>22</v>
      </c>
      <c r="C113" s="446">
        <v>1</v>
      </c>
      <c r="D113" s="580"/>
      <c r="E113" s="492"/>
      <c r="F113" s="587">
        <f t="shared" si="9"/>
        <v>-0.25</v>
      </c>
      <c r="G113" s="558">
        <f t="shared" si="10"/>
        <v>0.56000000000000005</v>
      </c>
      <c r="H113" s="388"/>
      <c r="I113" s="356"/>
      <c r="J113" s="428"/>
      <c r="K113" s="356"/>
      <c r="L113" s="356"/>
      <c r="M113" s="356"/>
      <c r="N113" s="356"/>
      <c r="O113" s="411"/>
      <c r="P113" s="411"/>
      <c r="Q113" s="388"/>
      <c r="R113" s="388"/>
      <c r="S113" s="388"/>
      <c r="T113" s="388"/>
      <c r="U113" s="388"/>
      <c r="V113" s="388"/>
      <c r="W113" s="388"/>
      <c r="X113" s="388"/>
      <c r="Y113" s="388"/>
      <c r="Z113" s="388"/>
      <c r="AA113" s="388"/>
      <c r="AB113" s="388"/>
      <c r="AC113" s="476"/>
      <c r="AD113" s="356"/>
      <c r="AE113" s="356"/>
    </row>
    <row r="114" spans="1:33" s="356" customFormat="1" x14ac:dyDescent="0.2">
      <c r="A114" s="437">
        <v>22</v>
      </c>
      <c r="B114" s="437">
        <v>23</v>
      </c>
      <c r="C114" s="446">
        <v>1</v>
      </c>
      <c r="D114" s="580"/>
      <c r="E114" s="492"/>
      <c r="F114" s="587">
        <f t="shared" si="9"/>
        <v>-0.25</v>
      </c>
      <c r="G114" s="558">
        <f t="shared" si="10"/>
        <v>0.56000000000000005</v>
      </c>
      <c r="H114" s="388"/>
      <c r="O114" s="411"/>
      <c r="P114" s="411"/>
      <c r="Q114" s="388"/>
      <c r="R114" s="388"/>
      <c r="S114" s="388"/>
      <c r="T114" s="388"/>
      <c r="U114" s="388"/>
      <c r="V114" s="388"/>
      <c r="W114" s="388"/>
      <c r="X114" s="388"/>
      <c r="Y114" s="388"/>
      <c r="Z114" s="388"/>
      <c r="AA114" s="388"/>
      <c r="AB114" s="388"/>
      <c r="AC114" s="476"/>
      <c r="AD114" s="464"/>
      <c r="AE114" s="543"/>
      <c r="AF114" s="545"/>
      <c r="AG114" s="402"/>
    </row>
    <row r="115" spans="1:33" s="356" customFormat="1" x14ac:dyDescent="0.2">
      <c r="A115" s="437">
        <v>23</v>
      </c>
      <c r="B115" s="435">
        <v>24</v>
      </c>
      <c r="C115" s="446">
        <v>1</v>
      </c>
      <c r="D115" s="580"/>
      <c r="E115" s="535"/>
      <c r="F115" s="587">
        <f t="shared" si="9"/>
        <v>-0.25</v>
      </c>
      <c r="G115" s="558">
        <f t="shared" si="10"/>
        <v>0.56000000000000005</v>
      </c>
      <c r="H115" s="391"/>
      <c r="O115" s="412"/>
      <c r="P115" s="412"/>
      <c r="Q115" s="391"/>
      <c r="R115" s="391"/>
      <c r="S115" s="391"/>
      <c r="T115" s="391"/>
      <c r="U115" s="391"/>
      <c r="V115" s="391"/>
      <c r="W115" s="391"/>
      <c r="X115" s="391"/>
      <c r="Y115" s="391"/>
      <c r="Z115" s="388"/>
      <c r="AA115" s="388"/>
      <c r="AB115" s="388"/>
      <c r="AC115" s="476"/>
      <c r="AD115" s="464"/>
      <c r="AE115" s="543"/>
      <c r="AF115" s="545"/>
      <c r="AG115" s="402"/>
    </row>
    <row r="116" spans="1:33" s="356" customFormat="1" x14ac:dyDescent="0.2">
      <c r="A116" s="574">
        <v>24</v>
      </c>
      <c r="B116" s="437">
        <v>1</v>
      </c>
      <c r="C116" s="446">
        <v>1</v>
      </c>
      <c r="D116" s="582"/>
      <c r="E116" s="488"/>
      <c r="F116" s="587">
        <f t="shared" si="9"/>
        <v>-0.25</v>
      </c>
      <c r="G116" s="558">
        <f t="shared" si="10"/>
        <v>0.56000000000000005</v>
      </c>
      <c r="H116" s="391"/>
      <c r="O116" s="412"/>
      <c r="P116" s="412"/>
      <c r="Q116" s="391"/>
      <c r="R116" s="391"/>
      <c r="S116" s="391"/>
      <c r="T116" s="391"/>
      <c r="U116" s="391"/>
      <c r="V116" s="391"/>
      <c r="W116" s="391"/>
      <c r="X116" s="391"/>
      <c r="Y116" s="391"/>
      <c r="Z116" s="388"/>
      <c r="AA116" s="388"/>
      <c r="AB116" s="388"/>
      <c r="AC116" s="476"/>
      <c r="AD116" s="468"/>
      <c r="AE116" s="468"/>
      <c r="AF116" s="545"/>
      <c r="AG116" s="402"/>
    </row>
    <row r="117" spans="1:33" s="402" customFormat="1" x14ac:dyDescent="0.2">
      <c r="A117" s="356"/>
      <c r="B117" s="356"/>
      <c r="C117" s="356"/>
      <c r="D117" s="580"/>
      <c r="E117" s="356"/>
      <c r="F117" s="356"/>
      <c r="G117" s="435"/>
      <c r="H117" s="391"/>
      <c r="I117" s="356"/>
      <c r="J117" s="356"/>
      <c r="K117" s="356"/>
      <c r="L117" s="356"/>
      <c r="M117" s="356"/>
      <c r="N117" s="356"/>
      <c r="O117" s="412"/>
      <c r="P117" s="412"/>
      <c r="Q117" s="391"/>
      <c r="R117" s="391"/>
      <c r="S117" s="391"/>
      <c r="T117" s="391"/>
      <c r="U117" s="391"/>
      <c r="V117" s="391"/>
      <c r="W117" s="391"/>
      <c r="X117" s="391"/>
      <c r="Y117" s="391"/>
      <c r="Z117" s="388"/>
      <c r="AA117" s="388"/>
      <c r="AB117" s="388"/>
      <c r="AC117" s="476"/>
      <c r="AF117" s="462"/>
    </row>
    <row r="118" spans="1:33" s="402" customFormat="1" ht="18" x14ac:dyDescent="0.25">
      <c r="A118" s="434"/>
      <c r="B118" s="448" t="s">
        <v>242</v>
      </c>
      <c r="C118" s="449"/>
      <c r="D118" s="583"/>
      <c r="E118" s="449"/>
      <c r="F118" s="449"/>
      <c r="G118" s="435"/>
      <c r="H118" s="435"/>
      <c r="I118" s="356"/>
      <c r="J118" s="356"/>
      <c r="K118" s="356"/>
      <c r="L118" s="356"/>
      <c r="M118" s="356"/>
      <c r="N118" s="356"/>
      <c r="O118" s="451"/>
      <c r="P118" s="451"/>
      <c r="Q118" s="435"/>
      <c r="R118" s="435"/>
      <c r="S118" s="435"/>
      <c r="T118" s="435"/>
      <c r="U118" s="435"/>
      <c r="V118" s="435"/>
      <c r="W118" s="435"/>
      <c r="X118" s="435"/>
      <c r="Y118" s="391"/>
      <c r="Z118" s="388"/>
      <c r="AA118" s="388"/>
      <c r="AB118" s="388"/>
      <c r="AC118" s="476"/>
      <c r="AF118" s="462"/>
    </row>
    <row r="119" spans="1:33" s="402" customFormat="1" ht="13.5" thickBot="1" x14ac:dyDescent="0.25">
      <c r="A119" s="435"/>
      <c r="B119" s="435"/>
      <c r="C119" s="435"/>
      <c r="D119" s="584"/>
      <c r="E119" s="435"/>
      <c r="F119" s="435"/>
      <c r="G119" s="435"/>
      <c r="H119" s="435"/>
      <c r="I119" s="356"/>
      <c r="J119" s="356"/>
      <c r="K119" s="356"/>
      <c r="L119" s="356"/>
      <c r="M119" s="356"/>
      <c r="N119" s="356"/>
      <c r="O119" s="451"/>
      <c r="P119" s="451"/>
      <c r="Q119" s="435"/>
      <c r="R119" s="435"/>
      <c r="S119" s="435"/>
      <c r="T119" s="435"/>
      <c r="U119" s="435"/>
      <c r="V119" s="435"/>
      <c r="W119" s="435"/>
      <c r="X119" s="435"/>
      <c r="Y119" s="391"/>
      <c r="Z119" s="388"/>
      <c r="AA119" s="388"/>
      <c r="AB119" s="388"/>
      <c r="AC119" s="476"/>
      <c r="AF119" s="356"/>
    </row>
    <row r="120" spans="1:33" s="402" customFormat="1" ht="18.75" thickBot="1" x14ac:dyDescent="0.3">
      <c r="A120" s="438" t="s">
        <v>7</v>
      </c>
      <c r="B120" s="439"/>
      <c r="C120" s="439" t="s">
        <v>265</v>
      </c>
      <c r="D120" s="581"/>
      <c r="E120" s="439"/>
      <c r="F120" s="450" t="s">
        <v>271</v>
      </c>
      <c r="G120" s="440"/>
      <c r="H120" s="435" t="s">
        <v>272</v>
      </c>
      <c r="I120" s="356"/>
      <c r="J120" s="356"/>
      <c r="K120" s="356"/>
      <c r="L120" s="356"/>
      <c r="M120" s="356"/>
      <c r="N120" s="356"/>
      <c r="O120" s="451"/>
      <c r="P120" s="451"/>
      <c r="Q120" s="435"/>
      <c r="R120" s="435"/>
      <c r="S120" s="435"/>
      <c r="T120" s="435"/>
      <c r="U120" s="435"/>
      <c r="V120" s="435"/>
      <c r="W120" s="435"/>
      <c r="X120" s="435"/>
      <c r="Y120" s="391"/>
      <c r="Z120" s="391"/>
      <c r="AA120" s="391"/>
      <c r="AB120" s="391"/>
      <c r="AC120" s="477"/>
      <c r="AF120" s="356"/>
    </row>
    <row r="121" spans="1:33" s="402" customFormat="1" ht="18" x14ac:dyDescent="0.25">
      <c r="A121" s="444" t="s">
        <v>243</v>
      </c>
      <c r="B121" s="445" t="s">
        <v>244</v>
      </c>
      <c r="C121" s="445"/>
      <c r="D121" s="585"/>
      <c r="E121" s="441"/>
      <c r="F121" s="441" t="s">
        <v>318</v>
      </c>
      <c r="G121" s="435" t="s">
        <v>319</v>
      </c>
      <c r="H121" s="452">
        <v>4.3999999999999997E-2</v>
      </c>
      <c r="I121" s="453" t="s">
        <v>274</v>
      </c>
      <c r="J121" s="356"/>
      <c r="K121" s="356"/>
      <c r="L121" s="356"/>
      <c r="M121" s="454" t="s">
        <v>275</v>
      </c>
      <c r="N121" s="455"/>
      <c r="O121" s="451"/>
      <c r="P121" s="451"/>
      <c r="Q121" s="435"/>
      <c r="R121" s="435"/>
      <c r="S121" s="435"/>
      <c r="T121" s="435"/>
      <c r="U121" s="435"/>
      <c r="V121" s="435"/>
      <c r="W121" s="435"/>
      <c r="X121" s="435"/>
      <c r="Y121" s="391"/>
      <c r="Z121" s="391"/>
      <c r="AA121" s="391"/>
      <c r="AB121" s="391"/>
      <c r="AC121" s="477"/>
      <c r="AF121" s="356"/>
    </row>
    <row r="122" spans="1:33" s="402" customFormat="1" ht="13.5" thickBot="1" x14ac:dyDescent="0.25">
      <c r="A122" s="437">
        <v>24</v>
      </c>
      <c r="B122" s="435">
        <v>1</v>
      </c>
      <c r="C122" s="446">
        <v>1</v>
      </c>
      <c r="D122" s="580"/>
      <c r="E122" s="535"/>
      <c r="F122" s="587">
        <f t="shared" ref="F122:F146" si="11">D122-0.25</f>
        <v>-0.25</v>
      </c>
      <c r="G122" s="558">
        <f>D122+0.56</f>
        <v>0.56000000000000005</v>
      </c>
      <c r="I122" s="456" t="s">
        <v>273</v>
      </c>
      <c r="J122" s="457"/>
      <c r="K122" s="356"/>
      <c r="L122" s="356"/>
      <c r="M122" s="356"/>
      <c r="N122" s="356"/>
      <c r="O122" s="451"/>
      <c r="P122" s="451"/>
      <c r="Q122" s="435"/>
      <c r="R122" s="435"/>
      <c r="S122" s="435"/>
      <c r="T122" s="435"/>
      <c r="U122" s="435"/>
      <c r="V122" s="435"/>
      <c r="W122" s="435"/>
      <c r="X122" s="435"/>
      <c r="Y122" s="391"/>
      <c r="Z122" s="391"/>
      <c r="AA122" s="459"/>
      <c r="AB122" s="391"/>
      <c r="AC122" s="477"/>
      <c r="AD122" s="356"/>
      <c r="AE122" s="356"/>
      <c r="AF122" s="356"/>
      <c r="AG122" s="467"/>
    </row>
    <row r="123" spans="1:33" s="402" customFormat="1" x14ac:dyDescent="0.2">
      <c r="A123" s="435">
        <v>1</v>
      </c>
      <c r="B123" s="435">
        <v>2</v>
      </c>
      <c r="C123" s="446">
        <v>1</v>
      </c>
      <c r="D123" s="586"/>
      <c r="E123" s="492"/>
      <c r="F123" s="587">
        <f t="shared" si="11"/>
        <v>-0.25</v>
      </c>
      <c r="G123" s="558">
        <f t="shared" ref="G123:G145" si="12">D123+0.56</f>
        <v>0.56000000000000005</v>
      </c>
      <c r="I123" s="456"/>
      <c r="J123" s="457"/>
      <c r="K123" s="356"/>
      <c r="L123" s="356"/>
      <c r="M123" s="356"/>
      <c r="N123" s="356"/>
      <c r="O123" s="451"/>
      <c r="P123" s="451"/>
      <c r="Q123" s="435"/>
      <c r="R123" s="435"/>
      <c r="S123" s="435"/>
      <c r="T123" s="435"/>
      <c r="U123" s="435"/>
      <c r="V123" s="435"/>
      <c r="W123" s="435"/>
      <c r="X123" s="435"/>
      <c r="Y123" s="391"/>
      <c r="Z123" s="391"/>
      <c r="AA123" s="459"/>
      <c r="AB123" s="391"/>
      <c r="AC123" s="477"/>
      <c r="AD123" s="403"/>
      <c r="AE123" s="356"/>
      <c r="AF123" s="356"/>
    </row>
    <row r="124" spans="1:33" s="402" customFormat="1" x14ac:dyDescent="0.2">
      <c r="A124" s="437">
        <v>2</v>
      </c>
      <c r="B124" s="435">
        <v>3</v>
      </c>
      <c r="C124" s="446">
        <v>1</v>
      </c>
      <c r="D124" s="582"/>
      <c r="E124" s="492"/>
      <c r="F124" s="587">
        <f t="shared" si="11"/>
        <v>-0.25</v>
      </c>
      <c r="G124" s="558">
        <f t="shared" si="12"/>
        <v>0.56000000000000005</v>
      </c>
      <c r="I124" s="456"/>
      <c r="J124" s="457"/>
      <c r="K124" s="376"/>
      <c r="L124" s="376"/>
      <c r="M124" s="376"/>
      <c r="N124" s="376"/>
      <c r="O124" s="451"/>
      <c r="P124" s="451"/>
      <c r="Q124" s="435"/>
      <c r="R124" s="435"/>
      <c r="S124" s="435"/>
      <c r="T124" s="435"/>
      <c r="U124" s="435"/>
      <c r="V124" s="435"/>
      <c r="W124" s="435"/>
      <c r="X124" s="435"/>
      <c r="Y124" s="391"/>
      <c r="Z124" s="391"/>
      <c r="AA124" s="459"/>
      <c r="AB124" s="391"/>
      <c r="AC124" s="477"/>
      <c r="AF124" s="356"/>
      <c r="AG124" s="356"/>
    </row>
    <row r="125" spans="1:33" s="402" customFormat="1" x14ac:dyDescent="0.2">
      <c r="A125" s="435">
        <v>3</v>
      </c>
      <c r="B125" s="435">
        <v>4</v>
      </c>
      <c r="C125" s="446">
        <v>1</v>
      </c>
      <c r="D125" s="582"/>
      <c r="E125" s="492"/>
      <c r="F125" s="587">
        <f t="shared" si="11"/>
        <v>-0.25</v>
      </c>
      <c r="G125" s="558">
        <f t="shared" si="12"/>
        <v>0.56000000000000005</v>
      </c>
      <c r="I125" s="458"/>
      <c r="J125" s="457"/>
      <c r="K125" s="435"/>
      <c r="L125" s="435"/>
      <c r="M125" s="451"/>
      <c r="N125" s="451"/>
      <c r="O125" s="435"/>
      <c r="P125" s="435"/>
      <c r="Q125" s="435"/>
      <c r="R125" s="435"/>
      <c r="S125" s="435"/>
      <c r="T125" s="435"/>
      <c r="U125" s="435"/>
      <c r="V125" s="435"/>
      <c r="W125" s="435"/>
      <c r="X125" s="435"/>
      <c r="Y125" s="391"/>
      <c r="Z125" s="391"/>
      <c r="AA125" s="459"/>
      <c r="AB125" s="391"/>
      <c r="AC125" s="477"/>
      <c r="AD125" s="429"/>
      <c r="AE125" s="430"/>
      <c r="AF125" s="356"/>
      <c r="AG125" s="356"/>
    </row>
    <row r="126" spans="1:33" s="402" customFormat="1" x14ac:dyDescent="0.2">
      <c r="A126" s="437">
        <v>4</v>
      </c>
      <c r="B126" s="435">
        <v>5</v>
      </c>
      <c r="C126" s="446">
        <v>1</v>
      </c>
      <c r="D126" s="582"/>
      <c r="E126" s="492"/>
      <c r="F126" s="587">
        <f t="shared" si="11"/>
        <v>-0.25</v>
      </c>
      <c r="G126" s="558">
        <f t="shared" si="12"/>
        <v>0.56000000000000005</v>
      </c>
      <c r="I126" s="458"/>
      <c r="J126" s="457"/>
      <c r="K126" s="435"/>
      <c r="L126" s="435"/>
      <c r="M126" s="451"/>
      <c r="N126" s="451"/>
      <c r="O126" s="435"/>
      <c r="P126" s="435"/>
      <c r="Q126" s="435"/>
      <c r="R126" s="435"/>
      <c r="S126" s="435"/>
      <c r="T126" s="435"/>
      <c r="U126" s="435"/>
      <c r="V126" s="435"/>
      <c r="W126" s="435"/>
      <c r="X126" s="435"/>
      <c r="Y126" s="391"/>
      <c r="Z126" s="391"/>
      <c r="AA126" s="459"/>
      <c r="AB126" s="391"/>
      <c r="AC126" s="477"/>
      <c r="AD126" s="403"/>
      <c r="AE126" s="356"/>
      <c r="AF126" s="356"/>
      <c r="AG126" s="356"/>
    </row>
    <row r="127" spans="1:33" s="402" customFormat="1" x14ac:dyDescent="0.2">
      <c r="A127" s="435">
        <v>5</v>
      </c>
      <c r="B127" s="435">
        <v>6</v>
      </c>
      <c r="C127" s="446">
        <v>1</v>
      </c>
      <c r="D127" s="582"/>
      <c r="E127" s="492"/>
      <c r="F127" s="587">
        <f t="shared" si="11"/>
        <v>-0.25</v>
      </c>
      <c r="G127" s="558">
        <f t="shared" si="12"/>
        <v>0.56000000000000005</v>
      </c>
      <c r="I127" s="458"/>
      <c r="J127" s="457"/>
      <c r="K127" s="435"/>
      <c r="L127" s="435"/>
      <c r="M127" s="451"/>
      <c r="N127" s="451"/>
      <c r="O127" s="435"/>
      <c r="P127" s="435"/>
      <c r="Q127" s="435"/>
      <c r="R127" s="435"/>
      <c r="S127" s="435"/>
      <c r="T127" s="435"/>
      <c r="U127" s="435"/>
      <c r="V127" s="435"/>
      <c r="W127" s="435"/>
      <c r="X127" s="435"/>
      <c r="Y127" s="391"/>
      <c r="Z127" s="391"/>
      <c r="AA127" s="459"/>
      <c r="AB127" s="391"/>
      <c r="AC127" s="477"/>
      <c r="AD127" s="403"/>
      <c r="AE127" s="356"/>
      <c r="AF127" s="356"/>
    </row>
    <row r="128" spans="1:33" s="402" customFormat="1" x14ac:dyDescent="0.2">
      <c r="A128" s="437">
        <v>6</v>
      </c>
      <c r="B128" s="435">
        <v>7</v>
      </c>
      <c r="C128" s="446">
        <v>1</v>
      </c>
      <c r="D128" s="582"/>
      <c r="E128" s="492"/>
      <c r="F128" s="587">
        <f t="shared" si="11"/>
        <v>-0.25</v>
      </c>
      <c r="G128" s="558">
        <f t="shared" si="12"/>
        <v>0.56000000000000005</v>
      </c>
      <c r="I128" s="458"/>
      <c r="J128" s="457"/>
      <c r="K128" s="435"/>
      <c r="L128" s="435"/>
      <c r="M128" s="451"/>
      <c r="N128" s="451"/>
      <c r="O128" s="435"/>
      <c r="P128" s="435"/>
      <c r="Q128" s="435"/>
      <c r="R128" s="435"/>
      <c r="S128" s="435"/>
      <c r="T128" s="435"/>
      <c r="U128" s="435"/>
      <c r="V128" s="435"/>
      <c r="W128" s="435"/>
      <c r="X128" s="435"/>
      <c r="Y128" s="391"/>
      <c r="Z128" s="370"/>
      <c r="AA128" s="459"/>
      <c r="AB128" s="370"/>
      <c r="AC128" s="472"/>
      <c r="AD128" s="403"/>
      <c r="AE128" s="356"/>
      <c r="AF128" s="356"/>
    </row>
    <row r="129" spans="1:32" s="402" customFormat="1" x14ac:dyDescent="0.2">
      <c r="A129" s="435">
        <v>7</v>
      </c>
      <c r="B129" s="435">
        <v>8</v>
      </c>
      <c r="C129" s="446">
        <v>1</v>
      </c>
      <c r="D129" s="582"/>
      <c r="E129" s="492"/>
      <c r="F129" s="587">
        <f t="shared" si="11"/>
        <v>-0.25</v>
      </c>
      <c r="G129" s="558">
        <f t="shared" si="12"/>
        <v>0.56000000000000005</v>
      </c>
      <c r="I129" s="458"/>
      <c r="J129" s="457"/>
      <c r="K129" s="435"/>
      <c r="L129" s="435"/>
      <c r="M129" s="451"/>
      <c r="N129" s="451"/>
      <c r="O129" s="435"/>
      <c r="P129" s="435"/>
      <c r="Q129" s="435"/>
      <c r="R129" s="435"/>
      <c r="S129" s="435"/>
      <c r="T129" s="435"/>
      <c r="U129" s="435"/>
      <c r="V129" s="435"/>
      <c r="W129" s="435"/>
      <c r="X129" s="435"/>
      <c r="Y129" s="391"/>
      <c r="Z129" s="370"/>
      <c r="AA129" s="459"/>
      <c r="AB129" s="370"/>
      <c r="AC129" s="472"/>
      <c r="AD129" s="403"/>
      <c r="AE129" s="356"/>
      <c r="AF129" s="356"/>
    </row>
    <row r="130" spans="1:32" s="402" customFormat="1" x14ac:dyDescent="0.2">
      <c r="A130" s="437">
        <v>8</v>
      </c>
      <c r="B130" s="435">
        <v>9</v>
      </c>
      <c r="C130" s="446">
        <v>1</v>
      </c>
      <c r="D130" s="582"/>
      <c r="E130" s="492"/>
      <c r="F130" s="587">
        <f t="shared" si="11"/>
        <v>-0.25</v>
      </c>
      <c r="G130" s="558">
        <f t="shared" si="12"/>
        <v>0.56000000000000005</v>
      </c>
      <c r="I130" s="458"/>
      <c r="J130" s="457"/>
      <c r="K130" s="435"/>
      <c r="L130" s="435"/>
      <c r="M130" s="451"/>
      <c r="N130" s="451"/>
      <c r="O130" s="435"/>
      <c r="P130" s="435"/>
      <c r="Q130" s="435"/>
      <c r="R130" s="435"/>
      <c r="S130" s="435"/>
      <c r="T130" s="435"/>
      <c r="U130" s="435"/>
      <c r="V130" s="435"/>
      <c r="W130" s="435"/>
      <c r="X130" s="435"/>
      <c r="Y130" s="391"/>
      <c r="Z130" s="370"/>
      <c r="AA130" s="459"/>
      <c r="AB130" s="370"/>
      <c r="AC130" s="472"/>
      <c r="AD130" s="396"/>
      <c r="AE130" s="397"/>
      <c r="AF130" s="403"/>
    </row>
    <row r="131" spans="1:32" s="402" customFormat="1" x14ac:dyDescent="0.2">
      <c r="A131" s="435">
        <v>9</v>
      </c>
      <c r="B131" s="435">
        <v>10</v>
      </c>
      <c r="C131" s="446">
        <v>1</v>
      </c>
      <c r="D131" s="582"/>
      <c r="E131" s="492"/>
      <c r="F131" s="587">
        <f t="shared" si="11"/>
        <v>-0.25</v>
      </c>
      <c r="G131" s="558">
        <f t="shared" si="12"/>
        <v>0.56000000000000005</v>
      </c>
      <c r="I131" s="458"/>
      <c r="J131" s="457"/>
      <c r="K131" s="435"/>
      <c r="L131" s="435"/>
      <c r="M131" s="451"/>
      <c r="N131" s="451"/>
      <c r="O131" s="435"/>
      <c r="P131" s="435"/>
      <c r="Q131" s="435"/>
      <c r="R131" s="435"/>
      <c r="S131" s="435"/>
      <c r="T131" s="435"/>
      <c r="U131" s="435"/>
      <c r="V131" s="435"/>
      <c r="W131" s="435"/>
      <c r="X131" s="435"/>
      <c r="Y131" s="391"/>
      <c r="Z131" s="370"/>
      <c r="AA131" s="459"/>
      <c r="AB131" s="370"/>
      <c r="AC131" s="472"/>
      <c r="AD131" s="398"/>
      <c r="AE131" s="398"/>
      <c r="AF131" s="403"/>
    </row>
    <row r="132" spans="1:32" s="402" customFormat="1" x14ac:dyDescent="0.2">
      <c r="A132" s="437">
        <v>10</v>
      </c>
      <c r="B132" s="435">
        <v>11</v>
      </c>
      <c r="C132" s="446">
        <v>1</v>
      </c>
      <c r="D132" s="582"/>
      <c r="E132" s="492"/>
      <c r="F132" s="587">
        <f t="shared" si="11"/>
        <v>-0.25</v>
      </c>
      <c r="G132" s="558">
        <f t="shared" si="12"/>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396"/>
      <c r="AE132" s="397"/>
      <c r="AF132" s="403"/>
    </row>
    <row r="133" spans="1:32" s="402" customFormat="1" x14ac:dyDescent="0.2">
      <c r="A133" s="435">
        <v>11</v>
      </c>
      <c r="B133" s="435">
        <v>12</v>
      </c>
      <c r="C133" s="446">
        <v>1</v>
      </c>
      <c r="D133" s="582"/>
      <c r="E133" s="492"/>
      <c r="F133" s="587">
        <f t="shared" si="11"/>
        <v>-0.25</v>
      </c>
      <c r="G133" s="558">
        <f t="shared" si="12"/>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1"/>
      <c r="AE133" s="399"/>
      <c r="AF133" s="403"/>
    </row>
    <row r="134" spans="1:32" s="402" customFormat="1" x14ac:dyDescent="0.2">
      <c r="A134" s="437">
        <v>12</v>
      </c>
      <c r="B134" s="435">
        <v>13</v>
      </c>
      <c r="C134" s="446">
        <v>1</v>
      </c>
      <c r="D134" s="582"/>
      <c r="E134" s="492"/>
      <c r="F134" s="587">
        <f t="shared" si="11"/>
        <v>-0.25</v>
      </c>
      <c r="G134" s="558">
        <f t="shared" si="12"/>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1"/>
      <c r="AE134" s="399"/>
      <c r="AF134" s="403"/>
    </row>
    <row r="135" spans="1:32" s="402" customFormat="1" x14ac:dyDescent="0.2">
      <c r="A135" s="435">
        <v>13</v>
      </c>
      <c r="B135" s="435">
        <v>14</v>
      </c>
      <c r="C135" s="446">
        <v>1</v>
      </c>
      <c r="D135" s="582"/>
      <c r="E135" s="492"/>
      <c r="F135" s="587">
        <f t="shared" si="11"/>
        <v>-0.25</v>
      </c>
      <c r="G135" s="558">
        <f t="shared" si="12"/>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1"/>
      <c r="AE135" s="413"/>
      <c r="AF135" s="403"/>
    </row>
    <row r="136" spans="1:32" s="402" customFormat="1" x14ac:dyDescent="0.2">
      <c r="A136" s="437">
        <v>14</v>
      </c>
      <c r="B136" s="435">
        <v>15</v>
      </c>
      <c r="C136" s="446">
        <v>1</v>
      </c>
      <c r="D136" s="582"/>
      <c r="E136" s="492"/>
      <c r="F136" s="587">
        <f t="shared" si="11"/>
        <v>-0.25</v>
      </c>
      <c r="G136" s="558">
        <f t="shared" si="12"/>
        <v>0.56000000000000005</v>
      </c>
      <c r="H136" s="402" t="s">
        <v>169</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1"/>
      <c r="AE136" s="414"/>
      <c r="AF136" s="356"/>
    </row>
    <row r="137" spans="1:32" s="402" customFormat="1" x14ac:dyDescent="0.2">
      <c r="A137" s="435">
        <v>15</v>
      </c>
      <c r="B137" s="435">
        <v>16</v>
      </c>
      <c r="C137" s="446">
        <v>1</v>
      </c>
      <c r="D137" s="582"/>
      <c r="E137" s="492"/>
      <c r="F137" s="587">
        <f t="shared" si="11"/>
        <v>-0.25</v>
      </c>
      <c r="G137" s="558">
        <f t="shared" si="12"/>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356"/>
    </row>
    <row r="138" spans="1:32" s="402" customFormat="1" x14ac:dyDescent="0.2">
      <c r="A138" s="437">
        <v>16</v>
      </c>
      <c r="B138" s="435">
        <v>17</v>
      </c>
      <c r="C138" s="446">
        <v>1</v>
      </c>
      <c r="D138" s="582"/>
      <c r="E138" s="492"/>
      <c r="F138" s="587">
        <f t="shared" si="11"/>
        <v>-0.25</v>
      </c>
      <c r="G138" s="558">
        <f t="shared" si="12"/>
        <v>0.56000000000000005</v>
      </c>
      <c r="I138" s="458"/>
      <c r="J138" s="457"/>
      <c r="K138" s="435"/>
      <c r="L138" s="435"/>
      <c r="M138" s="451"/>
      <c r="N138" s="451"/>
      <c r="O138" s="435"/>
      <c r="R138" s="435"/>
      <c r="S138" s="435"/>
      <c r="T138" s="435"/>
      <c r="U138" s="435"/>
      <c r="V138" s="435"/>
      <c r="W138" s="435"/>
      <c r="X138" s="435"/>
      <c r="Y138" s="391"/>
      <c r="Z138" s="370"/>
      <c r="AA138" s="459"/>
      <c r="AB138" s="370"/>
      <c r="AC138" s="472"/>
      <c r="AD138" s="396"/>
      <c r="AE138" s="397"/>
      <c r="AF138" s="398"/>
    </row>
    <row r="139" spans="1:32" s="402" customFormat="1" x14ac:dyDescent="0.2">
      <c r="A139" s="435">
        <v>17</v>
      </c>
      <c r="B139" s="435">
        <v>18</v>
      </c>
      <c r="C139" s="446">
        <v>1</v>
      </c>
      <c r="D139" s="582"/>
      <c r="E139" s="492"/>
      <c r="F139" s="587">
        <f t="shared" si="11"/>
        <v>-0.25</v>
      </c>
      <c r="G139" s="558">
        <f t="shared" si="12"/>
        <v>0.56000000000000005</v>
      </c>
      <c r="I139" s="458"/>
      <c r="J139" s="457"/>
      <c r="K139" s="435"/>
      <c r="L139" s="435"/>
      <c r="M139" s="451"/>
      <c r="N139" s="451"/>
      <c r="O139" s="435"/>
      <c r="R139" s="435"/>
      <c r="S139" s="435"/>
      <c r="T139" s="435"/>
      <c r="U139" s="435"/>
      <c r="V139" s="435"/>
      <c r="W139" s="435"/>
      <c r="X139" s="435"/>
      <c r="Y139" s="391"/>
      <c r="Z139" s="370"/>
      <c r="AA139" s="459"/>
      <c r="AB139" s="370"/>
      <c r="AC139" s="472"/>
      <c r="AD139" s="381"/>
      <c r="AE139" s="381"/>
      <c r="AF139" s="396"/>
    </row>
    <row r="140" spans="1:32" s="402" customFormat="1" x14ac:dyDescent="0.2">
      <c r="A140" s="437">
        <v>18</v>
      </c>
      <c r="B140" s="435">
        <v>19</v>
      </c>
      <c r="C140" s="446">
        <v>1</v>
      </c>
      <c r="D140" s="582"/>
      <c r="E140" s="492"/>
      <c r="F140" s="587">
        <f t="shared" si="11"/>
        <v>-0.25</v>
      </c>
      <c r="G140" s="558">
        <f t="shared" si="12"/>
        <v>0.56000000000000005</v>
      </c>
      <c r="I140" s="458"/>
      <c r="J140" s="457"/>
      <c r="K140" s="435"/>
      <c r="L140" s="435"/>
      <c r="M140" s="451"/>
      <c r="N140" s="451"/>
      <c r="O140" s="435"/>
      <c r="R140" s="435"/>
      <c r="S140" s="435"/>
      <c r="T140" s="435"/>
      <c r="U140" s="435"/>
      <c r="V140" s="435"/>
      <c r="W140" s="435"/>
      <c r="X140" s="435"/>
      <c r="Y140" s="391"/>
      <c r="Z140" s="370"/>
      <c r="AA140" s="459"/>
      <c r="AB140" s="370"/>
      <c r="AC140" s="472"/>
      <c r="AD140" s="370"/>
      <c r="AE140" s="370"/>
      <c r="AF140" s="396"/>
    </row>
    <row r="141" spans="1:32" s="402" customFormat="1" x14ac:dyDescent="0.2">
      <c r="A141" s="435">
        <v>19</v>
      </c>
      <c r="B141" s="435">
        <v>20</v>
      </c>
      <c r="C141" s="446">
        <v>1</v>
      </c>
      <c r="D141" s="582"/>
      <c r="E141" s="492"/>
      <c r="F141" s="587">
        <f t="shared" si="11"/>
        <v>-0.25</v>
      </c>
      <c r="G141" s="558">
        <f t="shared" si="12"/>
        <v>0.56000000000000005</v>
      </c>
      <c r="I141" s="458"/>
      <c r="J141" s="457"/>
      <c r="K141" s="435"/>
      <c r="L141" s="435"/>
      <c r="M141" s="451"/>
      <c r="N141" s="451"/>
      <c r="O141" s="435"/>
      <c r="R141" s="435"/>
      <c r="S141" s="435"/>
      <c r="T141" s="435"/>
      <c r="U141" s="435"/>
      <c r="V141" s="435"/>
      <c r="W141" s="435"/>
      <c r="X141" s="435"/>
      <c r="Y141" s="391"/>
      <c r="Z141" s="370"/>
      <c r="AA141" s="459"/>
      <c r="AB141" s="370"/>
      <c r="AC141" s="472"/>
      <c r="AD141" s="382"/>
      <c r="AE141" s="382"/>
      <c r="AF141" s="394"/>
    </row>
    <row r="142" spans="1:32" s="402" customFormat="1" x14ac:dyDescent="0.2">
      <c r="A142" s="437">
        <v>20</v>
      </c>
      <c r="B142" s="435">
        <v>21</v>
      </c>
      <c r="C142" s="446">
        <v>1</v>
      </c>
      <c r="D142" s="582"/>
      <c r="E142" s="492"/>
      <c r="F142" s="587">
        <f t="shared" si="11"/>
        <v>-0.25</v>
      </c>
      <c r="G142" s="558">
        <f t="shared" si="12"/>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82"/>
      <c r="AE142" s="382"/>
      <c r="AF142" s="367"/>
    </row>
    <row r="143" spans="1:32" s="402" customFormat="1" x14ac:dyDescent="0.2">
      <c r="A143" s="435">
        <v>21</v>
      </c>
      <c r="B143" s="435">
        <v>22</v>
      </c>
      <c r="C143" s="446">
        <v>1</v>
      </c>
      <c r="D143" s="582"/>
      <c r="E143" s="492"/>
      <c r="F143" s="587">
        <f t="shared" si="11"/>
        <v>-0.25</v>
      </c>
      <c r="G143" s="558">
        <f t="shared" si="12"/>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70"/>
      <c r="AE143" s="370"/>
      <c r="AF143" s="367"/>
    </row>
    <row r="144" spans="1:32" s="402" customFormat="1" x14ac:dyDescent="0.2">
      <c r="A144" s="437">
        <v>22</v>
      </c>
      <c r="B144" s="435">
        <v>23</v>
      </c>
      <c r="C144" s="446">
        <v>1</v>
      </c>
      <c r="D144" s="582"/>
      <c r="E144" s="492"/>
      <c r="F144" s="587">
        <f t="shared" si="11"/>
        <v>-0.25</v>
      </c>
      <c r="G144" s="558">
        <f t="shared" si="12"/>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67"/>
    </row>
    <row r="145" spans="1:32" s="402" customFormat="1" x14ac:dyDescent="0.2">
      <c r="A145" s="437">
        <v>23</v>
      </c>
      <c r="B145" s="435">
        <v>24</v>
      </c>
      <c r="C145" s="446">
        <v>1</v>
      </c>
      <c r="D145" s="582"/>
      <c r="E145" s="535"/>
      <c r="F145" s="587">
        <f t="shared" si="11"/>
        <v>-0.25</v>
      </c>
      <c r="G145" s="558">
        <f t="shared" si="12"/>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3"/>
      <c r="AE145" s="383"/>
      <c r="AF145" s="374"/>
    </row>
    <row r="146" spans="1:32" s="402" customFormat="1" x14ac:dyDescent="0.2">
      <c r="A146" s="370">
        <v>24</v>
      </c>
      <c r="B146" s="435">
        <v>1</v>
      </c>
      <c r="C146" s="446">
        <v>1</v>
      </c>
      <c r="D146" s="582"/>
      <c r="E146" s="488"/>
      <c r="F146" s="587">
        <f t="shared" si="11"/>
        <v>-0.25</v>
      </c>
      <c r="G146" s="558">
        <f>D146+0.56</f>
        <v>0.56000000000000005</v>
      </c>
      <c r="H146" s="447"/>
      <c r="I146" s="458"/>
      <c r="J146" s="457"/>
      <c r="K146" s="435"/>
      <c r="L146" s="435"/>
      <c r="M146" s="451"/>
      <c r="N146" s="451"/>
      <c r="O146" s="435"/>
      <c r="R146" s="435"/>
      <c r="S146" s="435"/>
      <c r="T146" s="435"/>
      <c r="U146" s="435"/>
      <c r="V146" s="435"/>
      <c r="W146" s="435"/>
      <c r="X146" s="435"/>
      <c r="Y146" s="370"/>
      <c r="Z146" s="370"/>
      <c r="AA146" s="370"/>
      <c r="AB146" s="370"/>
      <c r="AC146" s="472"/>
      <c r="AD146" s="384"/>
      <c r="AE146" s="384"/>
      <c r="AF146" s="374"/>
    </row>
    <row r="147" spans="1:32" s="402" customFormat="1" x14ac:dyDescent="0.2">
      <c r="A147" s="370"/>
      <c r="B147" s="370"/>
      <c r="C147" s="370"/>
      <c r="D147" s="576"/>
      <c r="E147" s="491"/>
      <c r="F147" s="370"/>
      <c r="G147" s="370"/>
      <c r="H147" s="393"/>
      <c r="I147" s="370"/>
      <c r="J147" s="370"/>
      <c r="K147" s="370"/>
      <c r="L147" s="370"/>
      <c r="M147" s="385"/>
      <c r="N147" s="385"/>
      <c r="O147" s="370"/>
      <c r="R147" s="370"/>
      <c r="S147" s="370"/>
      <c r="T147" s="370"/>
      <c r="U147" s="370"/>
      <c r="V147" s="370"/>
      <c r="W147" s="370"/>
      <c r="X147" s="370"/>
      <c r="Y147" s="370"/>
      <c r="Z147" s="370"/>
      <c r="AA147" s="370"/>
      <c r="AB147" s="370"/>
      <c r="AC147" s="472"/>
      <c r="AD147" s="384"/>
      <c r="AE147" s="384"/>
      <c r="AF147" s="374"/>
    </row>
    <row r="148" spans="1:32" s="402" customFormat="1" x14ac:dyDescent="0.2">
      <c r="A148" s="370"/>
      <c r="B148" s="370"/>
      <c r="C148" s="370"/>
      <c r="D148" s="370"/>
      <c r="E148" s="370"/>
      <c r="F148" s="370"/>
      <c r="G148" s="370"/>
      <c r="H148" s="370"/>
      <c r="I148" s="370"/>
      <c r="J148" s="370"/>
      <c r="K148" s="370"/>
      <c r="L148" s="370"/>
      <c r="M148" s="385"/>
      <c r="N148" s="385"/>
      <c r="O148" s="370"/>
      <c r="R148" s="370"/>
      <c r="S148" s="370"/>
      <c r="T148" s="370"/>
      <c r="U148" s="370"/>
      <c r="V148" s="370"/>
      <c r="W148" s="370"/>
      <c r="X148" s="370"/>
      <c r="Y148" s="370"/>
      <c r="Z148" s="370"/>
      <c r="AA148" s="370"/>
      <c r="AB148" s="370"/>
      <c r="AC148" s="472"/>
      <c r="AD148" s="384"/>
      <c r="AE148" s="384"/>
      <c r="AF148" s="379"/>
    </row>
    <row r="149" spans="1:32" s="402" customFormat="1" x14ac:dyDescent="0.2">
      <c r="A149" s="370"/>
      <c r="B149" s="370"/>
      <c r="C149" s="370"/>
      <c r="D149" s="370"/>
      <c r="E149" s="370"/>
      <c r="F149" s="370"/>
      <c r="G149" s="370"/>
      <c r="H149" s="370"/>
      <c r="I149" s="370"/>
      <c r="J149" s="370"/>
      <c r="K149" s="370"/>
      <c r="L149" s="370"/>
      <c r="M149" s="385"/>
      <c r="N149" s="385"/>
      <c r="O149" s="370"/>
      <c r="R149" s="370"/>
      <c r="S149" s="370"/>
      <c r="T149" s="370"/>
      <c r="U149" s="370"/>
      <c r="V149" s="370"/>
      <c r="W149" s="370"/>
      <c r="X149" s="370"/>
      <c r="Y149" s="370"/>
      <c r="Z149" s="370"/>
      <c r="AA149" s="370"/>
      <c r="AB149" s="370"/>
      <c r="AC149" s="472"/>
      <c r="AD149" s="384"/>
      <c r="AE149" s="384"/>
      <c r="AF149" s="381"/>
    </row>
    <row r="150" spans="1:32" s="402" customFormat="1" x14ac:dyDescent="0.2">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72"/>
      <c r="AD150" s="384"/>
      <c r="AE150" s="384"/>
      <c r="AF150" s="370"/>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82"/>
    </row>
    <row r="152" spans="1:32" s="402" customFormat="1" x14ac:dyDescent="0.2">
      <c r="A152" s="370"/>
      <c r="B152" s="370"/>
      <c r="C152" s="370"/>
      <c r="D152" s="370"/>
      <c r="E152" s="370"/>
      <c r="F152" s="370"/>
      <c r="G152" s="370"/>
      <c r="H152" s="370"/>
      <c r="I152" s="370"/>
      <c r="L152" s="370"/>
      <c r="M152" s="385"/>
      <c r="N152" s="385"/>
      <c r="O152" s="370"/>
      <c r="R152" s="370"/>
      <c r="S152" s="370"/>
      <c r="T152" s="370"/>
      <c r="U152" s="370"/>
      <c r="V152" s="370"/>
      <c r="W152" s="370"/>
      <c r="X152" s="370"/>
      <c r="Y152" s="370"/>
      <c r="Z152" s="370"/>
      <c r="AA152" s="370"/>
      <c r="AB152" s="370"/>
      <c r="AC152" s="472"/>
      <c r="AD152" s="384"/>
      <c r="AE152" s="384"/>
      <c r="AF152" s="382"/>
    </row>
    <row r="153" spans="1:32" s="402" customFormat="1" x14ac:dyDescent="0.2">
      <c r="A153" s="370"/>
      <c r="B153" s="370"/>
      <c r="C153" s="370"/>
      <c r="D153" s="370"/>
      <c r="E153" s="370"/>
      <c r="F153" s="370"/>
      <c r="G153" s="370"/>
      <c r="H153" s="370"/>
      <c r="I153" s="370"/>
      <c r="L153" s="370"/>
      <c r="M153" s="385"/>
      <c r="N153" s="385"/>
      <c r="O153" s="370"/>
      <c r="R153" s="370"/>
      <c r="S153" s="370"/>
      <c r="T153" s="370"/>
      <c r="U153" s="370"/>
      <c r="V153" s="370"/>
      <c r="W153" s="370"/>
      <c r="X153" s="370"/>
      <c r="Y153" s="370"/>
      <c r="Z153" s="370"/>
      <c r="AA153" s="370"/>
      <c r="AB153" s="370"/>
      <c r="AC153" s="472"/>
      <c r="AD153" s="387"/>
      <c r="AE153" s="387"/>
      <c r="AF153" s="370"/>
    </row>
    <row r="154" spans="1:32" s="402" customFormat="1" x14ac:dyDescent="0.2">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72"/>
      <c r="AD154" s="388"/>
      <c r="AE154" s="388"/>
      <c r="AF154" s="383"/>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72"/>
      <c r="AD155" s="388"/>
      <c r="AE155" s="388"/>
      <c r="AF155" s="384"/>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8"/>
      <c r="AE156" s="388"/>
      <c r="AF156" s="384"/>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8"/>
      <c r="AE157" s="388"/>
      <c r="AF157" s="384"/>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91"/>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91"/>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91"/>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91"/>
      <c r="AF161" s="384"/>
    </row>
    <row r="162" spans="1:32" s="402" customFormat="1" x14ac:dyDescent="0.2">
      <c r="A162" s="370"/>
      <c r="B162" s="370"/>
      <c r="C162" s="370"/>
      <c r="D162" s="370"/>
      <c r="E162" s="370"/>
      <c r="F162" s="370"/>
      <c r="G162" s="370"/>
      <c r="H162" s="370"/>
      <c r="I162" s="370"/>
      <c r="L162" s="370"/>
      <c r="M162" s="385"/>
      <c r="N162" s="385"/>
      <c r="O162" s="370"/>
      <c r="P162" s="370"/>
      <c r="Q162" s="370"/>
      <c r="R162" s="370"/>
      <c r="S162" s="370"/>
      <c r="T162" s="370"/>
      <c r="U162" s="370"/>
      <c r="V162" s="370"/>
      <c r="W162" s="370"/>
      <c r="X162" s="370"/>
      <c r="Y162" s="370"/>
      <c r="Z162" s="370"/>
      <c r="AA162" s="370"/>
      <c r="AB162" s="370"/>
      <c r="AC162" s="472"/>
      <c r="AD162" s="388"/>
      <c r="AE162" s="391"/>
      <c r="AF162" s="386"/>
    </row>
    <row r="163" spans="1:32" s="402" customFormat="1" x14ac:dyDescent="0.2">
      <c r="A163" s="370"/>
      <c r="B163" s="370"/>
      <c r="C163" s="370"/>
      <c r="D163" s="370"/>
      <c r="E163" s="370"/>
      <c r="F163" s="370"/>
      <c r="G163" s="370"/>
      <c r="H163" s="370"/>
      <c r="I163" s="370"/>
      <c r="L163" s="370"/>
      <c r="M163" s="385"/>
      <c r="N163" s="385"/>
      <c r="O163" s="370"/>
      <c r="P163" s="370"/>
      <c r="Q163" s="370"/>
      <c r="R163" s="370"/>
      <c r="S163" s="370"/>
      <c r="T163" s="370"/>
      <c r="U163" s="370"/>
      <c r="V163" s="370"/>
      <c r="W163" s="370"/>
      <c r="X163" s="370"/>
      <c r="Y163" s="370"/>
      <c r="Z163" s="370"/>
      <c r="AA163" s="370"/>
      <c r="AB163" s="370"/>
      <c r="AC163" s="472"/>
      <c r="AD163" s="391"/>
      <c r="AE163" s="391"/>
      <c r="AF163" s="388"/>
    </row>
    <row r="164" spans="1:32" s="402" customFormat="1" x14ac:dyDescent="0.2">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72"/>
      <c r="AD164" s="391"/>
      <c r="AE164" s="391"/>
      <c r="AF164" s="388"/>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72"/>
      <c r="AD165" s="391"/>
      <c r="AE165" s="391"/>
      <c r="AF165" s="388"/>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9"/>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9"/>
      <c r="AE168" s="390"/>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9"/>
      <c r="AE169" s="389"/>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89"/>
      <c r="AE170" s="392"/>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89"/>
      <c r="AE171" s="390"/>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90"/>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89"/>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2"/>
      <c r="AF175" s="388"/>
    </row>
    <row r="176" spans="1:32" s="402" customFormat="1" x14ac:dyDescent="0.2">
      <c r="A176" s="370"/>
      <c r="B176" s="370"/>
      <c r="C176" s="370"/>
      <c r="D176" s="370"/>
      <c r="E176" s="370"/>
      <c r="F176" s="370"/>
      <c r="G176" s="370"/>
      <c r="H176" s="370"/>
      <c r="I176" s="370"/>
      <c r="J176" s="370"/>
      <c r="K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
      <c r="A177" s="370"/>
      <c r="B177" s="370"/>
      <c r="C177" s="370"/>
      <c r="D177" s="370"/>
      <c r="E177" s="370"/>
      <c r="F177" s="370"/>
      <c r="G177" s="370"/>
      <c r="H177" s="370"/>
      <c r="I177" s="370"/>
      <c r="J177" s="370"/>
      <c r="K177" s="370"/>
      <c r="L177" s="370"/>
      <c r="M177" s="385"/>
      <c r="N177" s="385"/>
      <c r="O177" s="370"/>
      <c r="P177" s="370"/>
      <c r="Q177" s="370"/>
      <c r="R177" s="370"/>
      <c r="S177" s="370"/>
      <c r="T177" s="370"/>
      <c r="U177" s="370"/>
      <c r="V177" s="370"/>
      <c r="W177" s="370"/>
      <c r="X177" s="370"/>
      <c r="Y177" s="370"/>
      <c r="Z177" s="370"/>
      <c r="AA177" s="370"/>
      <c r="AB177" s="370"/>
      <c r="AC177" s="472"/>
      <c r="AD177" s="391"/>
      <c r="AE177" s="389"/>
      <c r="AF177" s="388"/>
    </row>
    <row r="178" spans="1:32" s="402" customFormat="1" x14ac:dyDescent="0.2">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72"/>
      <c r="AD178" s="391"/>
      <c r="AE178" s="389"/>
      <c r="AF178" s="388"/>
    </row>
    <row r="179" spans="1:32" s="402" customFormat="1" ht="12.75" customHeigh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72"/>
      <c r="AD179" s="391"/>
      <c r="AE179" s="389"/>
      <c r="AF179" s="391"/>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70"/>
      <c r="AE180" s="374"/>
      <c r="AF180" s="391"/>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70"/>
      <c r="AE181" s="374"/>
      <c r="AF181" s="391"/>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70"/>
      <c r="AE182" s="374"/>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70"/>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70"/>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70"/>
    </row>
    <row r="190" spans="1:32" s="402" customFormat="1" ht="12" customHeigh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70"/>
    </row>
    <row r="191" spans="1:32" s="402" customFormat="1" ht="12" customHeigh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ht="12"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356" customForma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c r="AG209" s="402"/>
    </row>
    <row r="210" spans="1:33" s="356" customForma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c r="AG210" s="402"/>
    </row>
    <row r="211" spans="1:33" s="356"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c r="AG211" s="402"/>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c r="AH236" s="398"/>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c r="AG237" s="403"/>
      <c r="AH237" s="398"/>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c r="AG238" s="403"/>
      <c r="AH238" s="40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c r="AG239" s="403"/>
      <c r="AH239" s="398"/>
    </row>
    <row r="240" spans="1:34" s="356" customFormat="1" ht="14.25" customHeigh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G240" s="403"/>
      <c r="AH240" s="397"/>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H241" s="397"/>
    </row>
    <row r="242" spans="1:34" s="404" customFormat="1" ht="12" customHeigh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356"/>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ht="17.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8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97"/>
      <c r="AH246" s="369"/>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397"/>
      <c r="AH247" s="369"/>
    </row>
    <row r="248" spans="1:34" s="356" customFormat="1" ht="13.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95"/>
      <c r="AH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68"/>
      <c r="AH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68"/>
      <c r="AH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68"/>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75"/>
      <c r="AH252" s="377"/>
    </row>
    <row r="253" spans="1:34" s="356" customFormat="1" ht="15.7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75"/>
      <c r="AH253" s="381"/>
    </row>
    <row r="254" spans="1:34" s="356" customFormat="1" ht="15.7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75"/>
      <c r="AH254" s="370"/>
    </row>
    <row r="255" spans="1:34" s="356" customFormat="1" ht="12.7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80"/>
      <c r="AH255" s="382"/>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81"/>
      <c r="AH256" s="382"/>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0"/>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82"/>
      <c r="AH258" s="383"/>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2"/>
      <c r="AH259" s="384"/>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0"/>
      <c r="AH260" s="384"/>
    </row>
    <row r="261" spans="1:34" s="356" customFormat="1" ht="14.2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3"/>
      <c r="AH261" s="384"/>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4"/>
      <c r="AH262" s="384"/>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4"/>
      <c r="AH263" s="384"/>
    </row>
    <row r="264" spans="1:34" s="37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4"/>
      <c r="AH264" s="384"/>
    </row>
    <row r="265" spans="1:34" s="376" customFormat="1" ht="12"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4"/>
    </row>
    <row r="266" spans="1:34" s="37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row>
    <row r="267" spans="1:34" s="377" customFormat="1" ht="11.2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row>
    <row r="268" spans="1:34" s="381"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row>
    <row r="269" spans="1:34" x14ac:dyDescent="0.2">
      <c r="AG269" s="386"/>
    </row>
    <row r="270" spans="1:34" s="382"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8"/>
    </row>
    <row r="271" spans="1:34" s="382"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8"/>
    </row>
    <row r="272" spans="1:34" x14ac:dyDescent="0.2">
      <c r="AG272" s="388"/>
    </row>
    <row r="273" spans="1:33" x14ac:dyDescent="0.2">
      <c r="AG273" s="388"/>
    </row>
    <row r="274" spans="1:33" s="385" customFormat="1" x14ac:dyDescent="0.2">
      <c r="A274" s="370"/>
      <c r="B274" s="370"/>
      <c r="C274" s="370"/>
      <c r="D274" s="370"/>
      <c r="E274" s="370"/>
      <c r="F274" s="370"/>
      <c r="G274" s="370"/>
      <c r="H274" s="370"/>
      <c r="I274" s="370"/>
      <c r="J274" s="370"/>
      <c r="K274" s="370"/>
      <c r="L274" s="370"/>
      <c r="O274" s="370"/>
      <c r="P274" s="370"/>
      <c r="Q274" s="370"/>
      <c r="R274" s="370"/>
      <c r="S274" s="370"/>
      <c r="T274" s="370"/>
      <c r="U274" s="370"/>
      <c r="V274" s="370"/>
      <c r="W274" s="370"/>
      <c r="X274" s="370"/>
      <c r="Y274" s="370"/>
      <c r="Z274" s="370"/>
      <c r="AA274" s="370"/>
      <c r="AB274" s="370"/>
      <c r="AC274" s="472"/>
      <c r="AD274" s="370"/>
      <c r="AE274" s="374"/>
      <c r="AF274" s="370"/>
      <c r="AG274" s="390"/>
    </row>
    <row r="275" spans="1:33" s="385" customFormat="1" x14ac:dyDescent="0.2">
      <c r="A275" s="370"/>
      <c r="B275" s="370"/>
      <c r="C275" s="370"/>
      <c r="D275" s="370"/>
      <c r="E275" s="370"/>
      <c r="F275" s="370"/>
      <c r="G275" s="370"/>
      <c r="H275" s="370"/>
      <c r="I275" s="370"/>
      <c r="J275" s="370"/>
      <c r="K275" s="370"/>
      <c r="L275" s="370"/>
      <c r="O275" s="370"/>
      <c r="P275" s="370"/>
      <c r="Q275" s="370"/>
      <c r="R275" s="370"/>
      <c r="S275" s="370"/>
      <c r="T275" s="370"/>
      <c r="U275" s="370"/>
      <c r="V275" s="370"/>
      <c r="W275" s="370"/>
      <c r="X275" s="370"/>
      <c r="Y275" s="370"/>
      <c r="Z275" s="370"/>
      <c r="AA275" s="370"/>
      <c r="AB275" s="370"/>
      <c r="AC275" s="472"/>
      <c r="AD275" s="370"/>
      <c r="AE275" s="374"/>
      <c r="AF275" s="370"/>
      <c r="AG275" s="376"/>
    </row>
    <row r="276" spans="1:33" s="385" customFormat="1" x14ac:dyDescent="0.2">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72"/>
      <c r="AD276" s="370"/>
      <c r="AE276" s="374"/>
      <c r="AF276" s="370"/>
      <c r="AG276" s="376"/>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72"/>
      <c r="AD277" s="370"/>
      <c r="AE277" s="374"/>
      <c r="AF277" s="370"/>
      <c r="AG277" s="377"/>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81"/>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0"/>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82"/>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82"/>
    </row>
    <row r="283" spans="1:33" s="383"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4"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5"/>
    </row>
    <row r="285" spans="1:33" s="384"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5"/>
    </row>
    <row r="286" spans="1:33" s="384"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5"/>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7"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8" customFormat="1" ht="12.75" customHeigh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70"/>
    </row>
    <row r="293" spans="1:33" s="388" customFormat="1" ht="12.75" customHeigh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3"/>
    </row>
    <row r="294" spans="1:33" s="388" customFormat="1" ht="12.75" customHeigh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4"/>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4"/>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4"/>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91"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7"/>
    </row>
    <row r="302" spans="1:33" s="391"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8"/>
    </row>
    <row r="303" spans="1:33" s="391"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8"/>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8"/>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x14ac:dyDescent="0.2">
      <c r="AG309" s="388"/>
    </row>
    <row r="310" spans="1:33" x14ac:dyDescent="0.2">
      <c r="AG310" s="388"/>
    </row>
    <row r="311" spans="1:33" x14ac:dyDescent="0.2">
      <c r="AG311" s="391"/>
    </row>
    <row r="312" spans="1:33" x14ac:dyDescent="0.2">
      <c r="AG312" s="391"/>
    </row>
    <row r="313" spans="1:33" x14ac:dyDescent="0.2">
      <c r="AG313" s="391"/>
    </row>
    <row r="314" spans="1:33" x14ac:dyDescent="0.2">
      <c r="AG314" s="391"/>
    </row>
    <row r="315" spans="1:33" x14ac:dyDescent="0.2">
      <c r="AG315" s="391"/>
    </row>
    <row r="316" spans="1:33" x14ac:dyDescent="0.2">
      <c r="AG316" s="391"/>
    </row>
    <row r="317" spans="1:33" x14ac:dyDescent="0.2">
      <c r="AG317" s="391"/>
    </row>
    <row r="318" spans="1:33" x14ac:dyDescent="0.2">
      <c r="AG318"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87</xdr:row>
                    <xdr:rowOff>171450</xdr:rowOff>
                  </from>
                  <to>
                    <xdr:col>12</xdr:col>
                    <xdr:colOff>95250</xdr:colOff>
                    <xdr:row>88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2" activePane="bottomLeft" state="frozen"/>
      <selection pane="bottomLeft" activeCell="K29" sqref="K2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8">
        <v>37235</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9"/>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70"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8" t="s">
        <v>304</v>
      </c>
      <c r="B4" s="525">
        <v>663</v>
      </c>
      <c r="C4" s="525">
        <v>652</v>
      </c>
      <c r="D4" s="525">
        <v>654</v>
      </c>
      <c r="E4" s="525">
        <v>647</v>
      </c>
      <c r="F4" s="525">
        <v>656</v>
      </c>
      <c r="G4" s="525">
        <v>694</v>
      </c>
      <c r="H4" s="525">
        <v>790</v>
      </c>
      <c r="I4" s="525">
        <v>859</v>
      </c>
      <c r="J4" s="525">
        <v>839</v>
      </c>
      <c r="K4" s="525">
        <v>853</v>
      </c>
      <c r="L4" s="525">
        <v>861</v>
      </c>
      <c r="M4" s="525">
        <v>872</v>
      </c>
      <c r="N4" s="525">
        <v>865</v>
      </c>
      <c r="O4" s="525">
        <v>837</v>
      </c>
      <c r="P4" s="525">
        <v>827</v>
      </c>
      <c r="Q4" s="525">
        <v>837</v>
      </c>
      <c r="R4" s="525">
        <v>825</v>
      </c>
      <c r="S4" s="525">
        <v>980</v>
      </c>
      <c r="T4" s="525">
        <v>1004</v>
      </c>
      <c r="U4" s="525">
        <v>961</v>
      </c>
      <c r="V4" s="525">
        <v>943</v>
      </c>
      <c r="W4" s="525">
        <v>900</v>
      </c>
      <c r="X4" s="526">
        <v>844</v>
      </c>
      <c r="Y4" s="526">
        <v>741</v>
      </c>
      <c r="Z4" s="354"/>
      <c r="AA4" s="354"/>
      <c r="AB4" s="354"/>
      <c r="AC4" s="354"/>
      <c r="AD4" s="354"/>
    </row>
    <row r="5" spans="1:213" s="161" customFormat="1" thickBot="1" x14ac:dyDescent="0.25">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-25</v>
      </c>
      <c r="M10" s="197">
        <f t="array" aca="1" ref="M10" ca="1">SUM(IF((DelPoint= "4C")*IF((DType = "firm")+(DType = "econ")&gt;0,1,0)*(OFFSET(DelPoint,0,M3+2)&lt;0),OFFSET(DelPoint,0,M3+2),0))</f>
        <v>-25</v>
      </c>
      <c r="N10" s="197">
        <f t="array" aca="1" ref="N10" ca="1">SUM(IF((DelPoint= "4C")*IF((DType = "firm")+(DType = "econ")&gt;0,1,0)*(OFFSET(DelPoint,0,N3+2)&lt;0),OFFSET(DelPoint,0,N3+2),0))</f>
        <v>-25</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-50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-13</v>
      </c>
      <c r="U14" s="199">
        <f t="array" aca="1" ref="U14" ca="1">SUM(IF((DelPoint= "PV")*IF((DType = "firm")+(DType = "econ")&gt;0,1,0)*(OFFSET(DelPoint,0,U3+2)&lt;0),OFFSET(DelPoint,0,U3+2),0))</f>
        <v>-22</v>
      </c>
      <c r="V14" s="199">
        <f t="array" aca="1" ref="V14" ca="1">SUM(IF((DelPoint= "PV")*IF((DType = "firm")+(DType = "econ")&gt;0,1,0)*(OFFSET(DelPoint,0,V3+2)&lt;0),OFFSET(DelPoint,0,V3+2),0))</f>
        <v>-22</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5"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65</v>
      </c>
      <c r="C22" s="418">
        <f>Deals!G3</f>
        <v>50</v>
      </c>
      <c r="D22" s="418">
        <f>Deals!H3</f>
        <v>50</v>
      </c>
      <c r="E22" s="418">
        <f>Deals!I3</f>
        <v>50</v>
      </c>
      <c r="F22" s="418">
        <f>Deals!J3</f>
        <v>50</v>
      </c>
      <c r="G22" s="418">
        <f>Deals!K3</f>
        <v>50</v>
      </c>
      <c r="H22" s="418">
        <f>Deals!L3</f>
        <v>60</v>
      </c>
      <c r="I22" s="418">
        <f>Deals!M3</f>
        <v>70</v>
      </c>
      <c r="J22" s="418">
        <f>Deals!N3</f>
        <v>95</v>
      </c>
      <c r="K22" s="418">
        <f>Deals!O3</f>
        <v>95</v>
      </c>
      <c r="L22" s="418">
        <f>Deals!P3</f>
        <v>85</v>
      </c>
      <c r="M22" s="418">
        <f>Deals!Q3</f>
        <v>80</v>
      </c>
      <c r="N22" s="418">
        <f>Deals!R3</f>
        <v>80</v>
      </c>
      <c r="O22" s="418">
        <f>Deals!S3</f>
        <v>70</v>
      </c>
      <c r="P22" s="418">
        <f>Deals!T3</f>
        <v>70</v>
      </c>
      <c r="Q22" s="418">
        <f>Deals!U3</f>
        <v>70</v>
      </c>
      <c r="R22" s="418">
        <f>Deals!V3</f>
        <v>70</v>
      </c>
      <c r="S22" s="418">
        <f>Deals!W3</f>
        <v>70</v>
      </c>
      <c r="T22" s="418">
        <f>Deals!X3</f>
        <v>110</v>
      </c>
      <c r="U22" s="418">
        <f>Deals!Y3</f>
        <v>110</v>
      </c>
      <c r="V22" s="418">
        <f>Deals!Z3</f>
        <v>110</v>
      </c>
      <c r="W22" s="418">
        <f>Deals!AA3</f>
        <v>110</v>
      </c>
      <c r="X22" s="418">
        <f>Deals!AB3</f>
        <v>90</v>
      </c>
      <c r="Y22" s="418">
        <f>Deals!AC3</f>
        <v>80</v>
      </c>
      <c r="Z22" s="160"/>
      <c r="AA22" s="162"/>
    </row>
    <row r="23" spans="1:27" s="161" customFormat="1" ht="12" x14ac:dyDescent="0.2">
      <c r="A23" s="515" t="s">
        <v>305</v>
      </c>
      <c r="B23" s="202">
        <f>Deals!F16</f>
        <v>0</v>
      </c>
      <c r="C23" s="202">
        <f>Deals!G16</f>
        <v>0</v>
      </c>
      <c r="D23" s="202">
        <f>Deals!H16</f>
        <v>0</v>
      </c>
      <c r="E23" s="202">
        <f>Deals!I16</f>
        <v>0</v>
      </c>
      <c r="F23" s="202">
        <f>Deals!J16</f>
        <v>0</v>
      </c>
      <c r="G23" s="202">
        <f>Deals!K16</f>
        <v>0</v>
      </c>
      <c r="H23" s="202">
        <f>Deals!L16</f>
        <v>0</v>
      </c>
      <c r="I23" s="202">
        <f>Deals!M16</f>
        <v>0</v>
      </c>
      <c r="J23" s="202">
        <f>Deals!N16</f>
        <v>0</v>
      </c>
      <c r="K23" s="202">
        <f>Deals!O16</f>
        <v>0</v>
      </c>
      <c r="L23" s="202">
        <f>Deals!P16</f>
        <v>0</v>
      </c>
      <c r="M23" s="202">
        <f>Deals!Q16</f>
        <v>0</v>
      </c>
      <c r="N23" s="202">
        <f>Deals!R16</f>
        <v>0</v>
      </c>
      <c r="O23" s="202">
        <f>Deals!S16</f>
        <v>0</v>
      </c>
      <c r="P23" s="202">
        <f>Deals!T16</f>
        <v>0</v>
      </c>
      <c r="Q23" s="202">
        <f>Deals!U16</f>
        <v>0</v>
      </c>
      <c r="R23" s="202">
        <f>Deals!V16</f>
        <v>0</v>
      </c>
      <c r="S23" s="202">
        <f>Deals!W16</f>
        <v>0</v>
      </c>
      <c r="T23" s="202">
        <f>Deals!X16</f>
        <v>0</v>
      </c>
      <c r="U23" s="202">
        <f>Deals!Y16</f>
        <v>0</v>
      </c>
      <c r="V23" s="202">
        <f>Deals!Z16</f>
        <v>0</v>
      </c>
      <c r="W23" s="202">
        <f>Deals!AA16</f>
        <v>0</v>
      </c>
      <c r="X23" s="202">
        <f>Deals!AB16</f>
        <v>0</v>
      </c>
      <c r="Y23" s="202">
        <f>Deals!AC16</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5">
        <f t="array" aca="1" ref="B25" ca="1">SUM(IF((DelPoint= "4C")*(DType = "pre")*(OFFSET(DelPoint,0,B3+2)&gt;0),OFFSET(DelPoint,0,B3+2),0))</f>
        <v>0</v>
      </c>
      <c r="C25" s="705">
        <f t="array" aca="1" ref="C25" ca="1">SUM(IF((DelPoint= "4C")*(DType = "pre")*(OFFSET(DelPoint,0,C3+2)&gt;0),OFFSET(DelPoint,0,C3+2),0))</f>
        <v>0</v>
      </c>
      <c r="D25" s="705">
        <f t="array" aca="1" ref="D25" ca="1">SUM(IF((DelPoint= "4C")*(DType = "pre")*(OFFSET(DelPoint,0,D3+2)&gt;0),OFFSET(DelPoint,0,D3+2),0))</f>
        <v>0</v>
      </c>
      <c r="E25" s="705">
        <f t="array" aca="1" ref="E25" ca="1">SUM(IF((DelPoint= "4C")*(DType = "pre")*(OFFSET(DelPoint,0,E3+2)&gt;0),OFFSET(DelPoint,0,E3+2),0))</f>
        <v>0</v>
      </c>
      <c r="F25" s="705">
        <f t="array" aca="1" ref="F25" ca="1">SUM(IF((DelPoint= "4C")*(DType = "pre")*(OFFSET(DelPoint,0,F3+2)&gt;0),OFFSET(DelPoint,0,F3+2),0))</f>
        <v>0</v>
      </c>
      <c r="G25" s="705">
        <f t="array" aca="1" ref="G25" ca="1">SUM(IF((DelPoint= "4C")*(DType = "pre")*(OFFSET(DelPoint,0,G3+2)&gt;0),OFFSET(DelPoint,0,G3+2),0))</f>
        <v>0</v>
      </c>
      <c r="H25" s="705">
        <f t="array" aca="1" ref="H25" ca="1">SUM(IF((DelPoint= "4C")*(DType = "pre")*(OFFSET(DelPoint,0,H3+2)&gt;0),OFFSET(DelPoint,0,H3+2),0))</f>
        <v>0</v>
      </c>
      <c r="I25" s="705">
        <f t="array" aca="1" ref="I25" ca="1">SUM(IF((DelPoint= "4C")*(DType = "pre")*(OFFSET(DelPoint,0,I3+2)&gt;0),OFFSET(DelPoint,0,I3+2),0))</f>
        <v>0</v>
      </c>
      <c r="J25" s="705">
        <f t="array" aca="1" ref="J25" ca="1">SUM(IF((DelPoint= "4C")*(DType = "pre")*(OFFSET(DelPoint,0,J3+2)&gt;0),OFFSET(DelPoint,0,J3+2),0))</f>
        <v>0</v>
      </c>
      <c r="K25" s="705">
        <f t="array" aca="1" ref="K25" ca="1">SUM(IF((DelPoint= "4C")*(DType = "pre")*(OFFSET(DelPoint,0,K3+2)&gt;0),OFFSET(DelPoint,0,K3+2),0))</f>
        <v>0</v>
      </c>
      <c r="L25" s="705">
        <f t="array" aca="1" ref="L25" ca="1">SUM(IF((DelPoint= "4C")*(DType = "pre")*(OFFSET(DelPoint,0,L3+2)&gt;0),OFFSET(DelPoint,0,L3+2),0))</f>
        <v>0</v>
      </c>
      <c r="M25" s="705">
        <f t="array" aca="1" ref="M25" ca="1">SUM(IF((DelPoint= "4C")*(DType = "pre")*(OFFSET(DelPoint,0,M3+2)&gt;0),OFFSET(DelPoint,0,M3+2),0))</f>
        <v>0</v>
      </c>
      <c r="N25" s="705">
        <f t="array" aca="1" ref="N25" ca="1">SUM(IF((DelPoint= "4C")*(DType = "pre")*(OFFSET(DelPoint,0,N3+2)&gt;0),OFFSET(DelPoint,0,N3+2),0))</f>
        <v>0</v>
      </c>
      <c r="O25" s="705">
        <f t="array" aca="1" ref="O25" ca="1">SUM(IF((DelPoint= "4C")*(DType = "pre")*(OFFSET(DelPoint,0,O3+2)&gt;0),OFFSET(DelPoint,0,O3+2),0))</f>
        <v>0</v>
      </c>
      <c r="P25" s="705">
        <f t="array" aca="1" ref="P25" ca="1">SUM(IF((DelPoint= "4C")*(DType = "pre")*(OFFSET(DelPoint,0,P3+2)&gt;0),OFFSET(DelPoint,0,P3+2),0))</f>
        <v>0</v>
      </c>
      <c r="Q25" s="705">
        <f t="array" aca="1" ref="Q25" ca="1">SUM(IF((DelPoint= "4C")*(DType = "pre")*(OFFSET(DelPoint,0,Q3+2)&gt;0),OFFSET(DelPoint,0,Q3+2),0))</f>
        <v>0</v>
      </c>
      <c r="R25" s="705">
        <f t="array" aca="1" ref="R25" ca="1">SUM(IF((DelPoint= "4C")*(DType = "pre")*(OFFSET(DelPoint,0,R3+2)&gt;0),OFFSET(DelPoint,0,R3+2),0))</f>
        <v>0</v>
      </c>
      <c r="S25" s="705">
        <f t="array" aca="1" ref="S25" ca="1">SUM(IF((DelPoint= "4C")*(DType = "pre")*(OFFSET(DelPoint,0,S3+2)&gt;0),OFFSET(DelPoint,0,S3+2),0))</f>
        <v>0</v>
      </c>
      <c r="T25" s="705">
        <f t="array" aca="1" ref="T25" ca="1">SUM(IF((DelPoint= "4C")*(DType = "pre")*(OFFSET(DelPoint,0,T3+2)&gt;0),OFFSET(DelPoint,0,T3+2),0))</f>
        <v>0</v>
      </c>
      <c r="U25" s="705">
        <f t="array" aca="1" ref="U25" ca="1">SUM(IF((DelPoint= "4C")*(DType = "pre")*(OFFSET(DelPoint,0,U3+2)&gt;0),OFFSET(DelPoint,0,U3+2),0))</f>
        <v>0</v>
      </c>
      <c r="V25" s="705">
        <f t="array" aca="1" ref="V25" ca="1">SUM(IF((DelPoint= "4C")*(DType = "pre")*(OFFSET(DelPoint,0,V3+2)&gt;0),OFFSET(DelPoint,0,V3+2),0))</f>
        <v>0</v>
      </c>
      <c r="W25" s="705">
        <f t="array" aca="1" ref="W25" ca="1">SUM(IF((DelPoint= "4C")*(DType = "pre")*(OFFSET(DelPoint,0,W3+2)&gt;0),OFFSET(DelPoint,0,W3+2),0))</f>
        <v>0</v>
      </c>
      <c r="X25" s="705">
        <f t="array" aca="1" ref="X25" ca="1">SUM(IF((DelPoint= "4C")*(DType = "pre")*(OFFSET(DelPoint,0,X3+2)&gt;0),OFFSET(DelPoint,0,X3+2),0))</f>
        <v>0</v>
      </c>
      <c r="Y25" s="705">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2" x14ac:dyDescent="0.2">
      <c r="A29" s="506" t="s">
        <v>117</v>
      </c>
      <c r="B29" s="682">
        <f t="array" aca="1" ref="B29" ca="1">SUM(IF((DelPoint= "pv")*(DType = "pre")*(OFFSET(DelPoint,0,B3+2)&gt;0),OFFSET(DelPoint,0,B3+2),0))</f>
        <v>0</v>
      </c>
      <c r="C29" s="682">
        <f t="array" aca="1" ref="C29" ca="1">SUM(IF((DelPoint= "pv")*(DType = "pre")*(OFFSET(DelPoint,0,C3+2)&gt;0),OFFSET(DelPoint,0,C3+2),0))</f>
        <v>0</v>
      </c>
      <c r="D29" s="682">
        <f t="array" aca="1" ref="D29" ca="1">SUM(IF((DelPoint= "pv")*(DType = "pre")*(OFFSET(DelPoint,0,D3+2)&gt;0),OFFSET(DelPoint,0,D3+2),0))</f>
        <v>0</v>
      </c>
      <c r="E29" s="682">
        <f t="array" aca="1" ref="E29" ca="1">SUM(IF((DelPoint= "pv")*(DType = "pre")*(OFFSET(DelPoint,0,E3+2)&gt;0),OFFSET(DelPoint,0,E3+2),0))</f>
        <v>0</v>
      </c>
      <c r="F29" s="682">
        <f t="array" aca="1" ref="F29" ca="1">SUM(IF((DelPoint= "pv")*(DType = "pre")*(OFFSET(DelPoint,0,F3+2)&gt;0),OFFSET(DelPoint,0,F3+2),0))</f>
        <v>0</v>
      </c>
      <c r="G29" s="682">
        <f t="array" aca="1" ref="G29" ca="1">SUM(IF((DelPoint= "pv")*(DType = "pre")*(OFFSET(DelPoint,0,G3+2)&gt;0),OFFSET(DelPoint,0,G3+2),0))</f>
        <v>0</v>
      </c>
      <c r="H29" s="682">
        <f t="array" aca="1" ref="H29" ca="1">SUM(IF((DelPoint= "pv")*(DType = "pre")*(OFFSET(DelPoint,0,H3+2)&gt;0),OFFSET(DelPoint,0,H3+2),0))</f>
        <v>0</v>
      </c>
      <c r="I29" s="682">
        <f t="array" aca="1" ref="I29" ca="1">SUM(IF((DelPoint= "pv")*(DType = "pre")*(OFFSET(DelPoint,0,I3+2)&gt;0),OFFSET(DelPoint,0,I3+2),0))</f>
        <v>0</v>
      </c>
      <c r="J29" s="682">
        <f t="array" aca="1" ref="J29" ca="1">SUM(IF((DelPoint= "pv")*(DType = "pre")*(OFFSET(DelPoint,0,J3+2)&gt;0),OFFSET(DelPoint,0,J3+2),0))</f>
        <v>0</v>
      </c>
      <c r="K29" s="682">
        <f t="array" aca="1" ref="K29" ca="1">SUM(IF((DelPoint= "pv")*(DType = "pre")*(OFFSET(DelPoint,0,K3+2)&gt;0),OFFSET(DelPoint,0,K3+2),0))</f>
        <v>0</v>
      </c>
      <c r="L29" s="682">
        <f t="array" aca="1" ref="L29" ca="1">SUM(IF((DelPoint= "pv")*(DType = "pre")*(OFFSET(DelPoint,0,L3+2)&gt;0),OFFSET(DelPoint,0,L3+2),0))</f>
        <v>0</v>
      </c>
      <c r="M29" s="682">
        <f t="array" aca="1" ref="M29" ca="1">SUM(IF((DelPoint= "pv")*(DType = "pre")*(OFFSET(DelPoint,0,M3+2)&gt;0),OFFSET(DelPoint,0,M3+2),0))</f>
        <v>0</v>
      </c>
      <c r="N29" s="682">
        <f t="array" aca="1" ref="N29" ca="1">SUM(IF((DelPoint= "pv")*(DType = "pre")*(OFFSET(DelPoint,0,N3+2)&gt;0),OFFSET(DelPoint,0,N3+2),0))</f>
        <v>0</v>
      </c>
      <c r="O29" s="682">
        <f t="array" aca="1" ref="O29" ca="1">SUM(IF((DelPoint= "pv")*(DType = "pre")*(OFFSET(DelPoint,0,O3+2)&gt;0),OFFSET(DelPoint,0,O3+2),0))</f>
        <v>0</v>
      </c>
      <c r="P29" s="682">
        <f t="array" aca="1" ref="P29" ca="1">SUM(IF((DelPoint= "pv")*(DType = "pre")*(OFFSET(DelPoint,0,P3+2)&gt;0),OFFSET(DelPoint,0,P3+2),0))</f>
        <v>0</v>
      </c>
      <c r="Q29" s="682">
        <f t="array" aca="1" ref="Q29" ca="1">SUM(IF((DelPoint= "pv")*(DType = "pre")*(OFFSET(DelPoint,0,Q3+2)&gt;0),OFFSET(DelPoint,0,Q3+2),0))</f>
        <v>0</v>
      </c>
      <c r="R29" s="682">
        <f t="array" aca="1" ref="R29" ca="1">SUM(IF((DelPoint= "pv")*(DType = "pre")*(OFFSET(DelPoint,0,R3+2)&gt;0),OFFSET(DelPoint,0,R3+2),0))</f>
        <v>0</v>
      </c>
      <c r="S29" s="682">
        <f t="array" aca="1" ref="S29" ca="1">SUM(IF((DelPoint= "pv")*(DType = "pre")*(OFFSET(DelPoint,0,S3+2)&gt;0),OFFSET(DelPoint,0,S3+2),0))</f>
        <v>0</v>
      </c>
      <c r="T29" s="682">
        <f t="array" aca="1" ref="T29" ca="1">SUM(IF((DelPoint= "pv")*(DType = "pre")*(OFFSET(DelPoint,0,T3+2)&gt;0),OFFSET(DelPoint,0,T3+2),0))</f>
        <v>0</v>
      </c>
      <c r="U29" s="682">
        <f t="array" aca="1" ref="U29" ca="1">SUM(IF((DelPoint= "pv")*(DType = "pre")*(OFFSET(DelPoint,0,U3+2)&gt;0),OFFSET(DelPoint,0,U3+2),0))</f>
        <v>0</v>
      </c>
      <c r="V29" s="682">
        <f t="array" aca="1" ref="V29" ca="1">SUM(IF((DelPoint= "pv")*(DType = "pre")*(OFFSET(DelPoint,0,V3+2)&gt;0),OFFSET(DelPoint,0,V3+2),0))</f>
        <v>0</v>
      </c>
      <c r="W29" s="682">
        <f t="array" aca="1" ref="W29" ca="1">SUM(IF((DelPoint= "pv")*(DType = "pre")*(OFFSET(DelPoint,0,W3+2)&gt;0),OFFSET(DelPoint,0,W3+2),0))</f>
        <v>0</v>
      </c>
      <c r="X29" s="682">
        <f t="array" aca="1" ref="X29" ca="1">SUM(IF((DelPoint= "pv")*(DType = "pre")*(OFFSET(DelPoint,0,X3+2)&gt;0),OFFSET(DelPoint,0,X3+2),0))</f>
        <v>0</v>
      </c>
      <c r="Y29" s="682">
        <f t="array" aca="1" ref="Y29" ca="1">SUM(IF((DelPoint= "pv")*(DType = "pre")*(OFFSET(DelPoint,0,Y3+2)&gt;0),OFFSET(DelPoint,0,Y3+2),0))</f>
        <v>0</v>
      </c>
      <c r="Z29" s="160"/>
      <c r="AA29" s="162"/>
    </row>
    <row r="30" spans="1:27" s="161" customFormat="1" ht="12" x14ac:dyDescent="0.2">
      <c r="A30" s="506" t="s">
        <v>118</v>
      </c>
      <c r="B30" s="706">
        <f t="shared" ref="B30:Y30" ca="1" si="1">SUMIF(OFFSET(PVBalancingVol,B$3,0),"&gt;0")</f>
        <v>0</v>
      </c>
      <c r="C30" s="706">
        <f t="shared" ca="1" si="1"/>
        <v>0</v>
      </c>
      <c r="D30" s="706">
        <f t="shared" ca="1" si="1"/>
        <v>0</v>
      </c>
      <c r="E30" s="706">
        <f t="shared" ca="1" si="1"/>
        <v>0</v>
      </c>
      <c r="F30" s="706">
        <f t="shared" ca="1" si="1"/>
        <v>0</v>
      </c>
      <c r="G30" s="706">
        <f t="shared" ca="1" si="1"/>
        <v>0</v>
      </c>
      <c r="H30" s="706">
        <f t="shared" ca="1" si="1"/>
        <v>0</v>
      </c>
      <c r="I30" s="706">
        <f t="shared" ca="1" si="1"/>
        <v>0</v>
      </c>
      <c r="J30" s="706">
        <f t="shared" ca="1" si="1"/>
        <v>0</v>
      </c>
      <c r="K30" s="706">
        <f t="shared" ca="1" si="1"/>
        <v>0</v>
      </c>
      <c r="L30" s="706">
        <f t="shared" ca="1" si="1"/>
        <v>0</v>
      </c>
      <c r="M30" s="706">
        <f t="shared" ca="1" si="1"/>
        <v>0</v>
      </c>
      <c r="N30" s="706">
        <f t="shared" ca="1" si="1"/>
        <v>0</v>
      </c>
      <c r="O30" s="706">
        <f t="shared" ca="1" si="1"/>
        <v>0</v>
      </c>
      <c r="P30" s="706">
        <f t="shared" ca="1" si="1"/>
        <v>0</v>
      </c>
      <c r="Q30" s="706">
        <f t="shared" ca="1" si="1"/>
        <v>0</v>
      </c>
      <c r="R30" s="706">
        <f t="shared" ca="1" si="1"/>
        <v>0</v>
      </c>
      <c r="S30" s="706">
        <f t="shared" ca="1" si="1"/>
        <v>0</v>
      </c>
      <c r="T30" s="706">
        <f t="shared" ca="1" si="1"/>
        <v>0</v>
      </c>
      <c r="U30" s="706">
        <f t="shared" ca="1" si="1"/>
        <v>0</v>
      </c>
      <c r="V30" s="706">
        <f t="shared" ca="1" si="1"/>
        <v>0</v>
      </c>
      <c r="W30" s="706">
        <f t="shared" ca="1" si="1"/>
        <v>0</v>
      </c>
      <c r="X30" s="706">
        <f t="shared" ca="1" si="1"/>
        <v>0</v>
      </c>
      <c r="Y30" s="706">
        <f t="shared" ca="1" si="1"/>
        <v>0</v>
      </c>
      <c r="Z30" s="160"/>
      <c r="AA30" s="162"/>
    </row>
    <row r="31" spans="1:27" s="161" customFormat="1" ht="12" x14ac:dyDescent="0.2">
      <c r="A31" s="506" t="s">
        <v>303</v>
      </c>
      <c r="B31" s="548">
        <f>SUM(Deals!F8:'Deals'!F16)</f>
        <v>203</v>
      </c>
      <c r="C31" s="548">
        <f>SUM(Deals!G8:'Deals'!G16)</f>
        <v>153</v>
      </c>
      <c r="D31" s="548">
        <f>SUM(Deals!H8:'Deals'!H16)</f>
        <v>153</v>
      </c>
      <c r="E31" s="548">
        <f>SUM(Deals!I8:'Deals'!I16)</f>
        <v>153</v>
      </c>
      <c r="F31" s="548">
        <f>SUM(Deals!J8:'Deals'!J16)</f>
        <v>153</v>
      </c>
      <c r="G31" s="548">
        <f>SUM(Deals!K8:'Deals'!K16)</f>
        <v>153</v>
      </c>
      <c r="H31" s="548">
        <f>SUM(Deals!L8:'Deals'!L16)</f>
        <v>153</v>
      </c>
      <c r="I31" s="548">
        <f>SUM(Deals!M8:'Deals'!M16)</f>
        <v>0</v>
      </c>
      <c r="J31" s="548">
        <f>SUM(Deals!N8:'Deals'!N16)</f>
        <v>0</v>
      </c>
      <c r="K31" s="548">
        <f>SUM(Deals!O8:'Deals'!O16)</f>
        <v>0</v>
      </c>
      <c r="L31" s="548">
        <f>SUM(Deals!P8:'Deals'!P16)</f>
        <v>0</v>
      </c>
      <c r="M31" s="548">
        <f>SUM(Deals!Q8:'Deals'!Q16)</f>
        <v>0</v>
      </c>
      <c r="N31" s="548">
        <f>SUM(Deals!R8:'Deals'!R16)</f>
        <v>0</v>
      </c>
      <c r="O31" s="548">
        <f>SUM(Deals!S8:'Deals'!S16)</f>
        <v>0</v>
      </c>
      <c r="P31" s="548">
        <f>SUM(Deals!T8:'Deals'!T16)</f>
        <v>0</v>
      </c>
      <c r="Q31" s="548">
        <f>SUM(Deals!U8:'Deals'!U16)</f>
        <v>0</v>
      </c>
      <c r="R31" s="548">
        <f>SUM(Deals!V8:'Deals'!V16)</f>
        <v>0</v>
      </c>
      <c r="S31" s="548">
        <f>SUM(Deals!W8:'Deals'!W16)</f>
        <v>0</v>
      </c>
      <c r="T31" s="548">
        <f>SUM(Deals!X8:'Deals'!X16)</f>
        <v>0</v>
      </c>
      <c r="U31" s="548">
        <f>SUM(Deals!Y8:'Deals'!Y16)</f>
        <v>0</v>
      </c>
      <c r="V31" s="548">
        <f>SUM(Deals!Z8:'Deals'!Z16)</f>
        <v>0</v>
      </c>
      <c r="W31" s="548">
        <f>SUM(Deals!AA8:'Deals'!AA16)</f>
        <v>0</v>
      </c>
      <c r="X31" s="548">
        <f>SUM(Deals!AB8:'Deals'!AB16)</f>
        <v>0</v>
      </c>
      <c r="Y31" s="548">
        <f>SUM(Deals!AC8:'Deals'!AC16)</f>
        <v>153</v>
      </c>
      <c r="Z31" s="160"/>
      <c r="AA31" s="162"/>
    </row>
    <row r="32" spans="1:27" s="161" customFormat="1" ht="12"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0</v>
      </c>
      <c r="E32" s="613">
        <f t="array" aca="1" ref="E32" ca="1">SUM(IF((DelPoint= "PV")*IF((DType = "firm")+(DType = "econ")&gt;0,1,0)*(OFFSET(DelPoint,0,E3+2)&gt;0),OFFSET(DelPoint,0,E3+2),0))</f>
        <v>0</v>
      </c>
      <c r="F32" s="613">
        <f t="array" aca="1" ref="F32" ca="1">SUM(IF((DelPoint= "PV")*IF((DType = "firm")+(DType = "econ")&gt;0,1,0)*(OFFSET(DelPoint,0,F3+2)&gt;0),OFFSET(DelPoint,0,F3+2),0))</f>
        <v>0</v>
      </c>
      <c r="G32" s="613">
        <f t="array" aca="1" ref="G32" ca="1">SUM(IF((DelPoint= "PV")*IF((DType = "firm")+(DType = "econ")&gt;0,1,0)*(OFFSET(DelPoint,0,G3+2)&gt;0),OFFSET(DelPoint,0,G3+2),0))</f>
        <v>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25</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8">
        <f t="array" aca="1" ref="I33" ca="1">SUM(IF((DelPoint= "4C")*(DType = "pre")*(OFFSET(DelPoint,0,I9+2)&gt;0),OFFSET(DelPoint,0,I9+2),0))</f>
        <v>0</v>
      </c>
      <c r="J33" s="699">
        <f t="array" aca="1" ref="J33" ca="1">SUM(IF((DelPoint= "hidalgo")*(DType = "pre")*(OFFSET(DelPoint,0,J3+2)&gt;0),OFFSET(DelPoint,0,J3+2),0))</f>
        <v>0</v>
      </c>
      <c r="K33" s="699">
        <f t="array" aca="1" ref="K33" ca="1">SUM(IF((DelPoint= "hidalgo")*(DType = "pre")*(OFFSET(DelPoint,0,K3+2)&gt;0),OFFSET(DelPoint,0,K3+2),0))</f>
        <v>0</v>
      </c>
      <c r="L33" s="699">
        <f t="array" aca="1" ref="L33" ca="1">SUM(IF((DelPoint= "hidalgo")*(DType = "pre")*(OFFSET(DelPoint,0,L3+2)&gt;0),OFFSET(DelPoint,0,L3+2),0))</f>
        <v>0</v>
      </c>
      <c r="M33" s="699">
        <f t="array" aca="1" ref="M33" ca="1">SUM(IF((DelPoint= "hidalgo")*(DType = "pre")*(OFFSET(DelPoint,0,M3+2)&gt;0),OFFSET(DelPoint,0,M3+2),0))</f>
        <v>0</v>
      </c>
      <c r="N33" s="699">
        <f t="array" aca="1" ref="N33" ca="1">SUM(IF((DelPoint= "hidalgo")*(DType = "pre")*(OFFSET(DelPoint,0,N3+2)&gt;0),OFFSET(DelPoint,0,N3+2),0))</f>
        <v>0</v>
      </c>
      <c r="O33" s="699">
        <f t="array" aca="1" ref="O33" ca="1">SUM(IF((DelPoint= "hidalgo")*(DType = "pre")*(OFFSET(DelPoint,0,O3+2)&gt;0),OFFSET(DelPoint,0,O3+2),0))</f>
        <v>0</v>
      </c>
      <c r="P33" s="699">
        <f t="array" aca="1" ref="P33" ca="1">SUM(IF((DelPoint= "hidalgo")*(DType = "pre")*(OFFSET(DelPoint,0,P3+2)&gt;0),OFFSET(DelPoint,0,P3+2),0))</f>
        <v>0</v>
      </c>
      <c r="Q33" s="699">
        <f t="array" aca="1" ref="Q33" ca="1">SUM(IF((DelPoint= "hidalgo")*(DType = "pre")*(OFFSET(DelPoint,0,Q3+2)&gt;0),OFFSET(DelPoint,0,Q3+2),0))</f>
        <v>0</v>
      </c>
      <c r="R33" s="699">
        <f t="array" aca="1" ref="R33" ca="1">SUM(IF((DelPoint= "hidalgo")*(DType = "pre")*(OFFSET(DelPoint,0,R3+2)&gt;0),OFFSET(DelPoint,0,R3+2),0))</f>
        <v>0</v>
      </c>
      <c r="S33" s="699">
        <f t="array" aca="1" ref="S33" ca="1">SUM(IF((DelPoint= "hidalgo")*(DType = "pre")*(OFFSET(DelPoint,0,S3+2)&gt;0),OFFSET(DelPoint,0,S3+2),0))</f>
        <v>0</v>
      </c>
      <c r="T33" s="699">
        <f t="array" aca="1" ref="T33" ca="1">SUM(IF((DelPoint= "hidalgo")*(DType = "pre")*(OFFSET(DelPoint,0,T3+2)&gt;0),OFFSET(DelPoint,0,T3+2),0))</f>
        <v>0</v>
      </c>
      <c r="U33" s="699">
        <f t="array" aca="1" ref="U33" ca="1">SUM(IF((DelPoint= "hidalgo")*(DType = "pre")*(OFFSET(DelPoint,0,U3+2)&gt;0),OFFSET(DelPoint,0,U3+2),0))</f>
        <v>0</v>
      </c>
      <c r="V33" s="699">
        <f t="array" aca="1" ref="V33" ca="1">SUM(IF((DelPoint= "hidalgo")*(DType = "pre")*(OFFSET(DelPoint,0,V3+2)&gt;0),OFFSET(DelPoint,0,V3+2),0))</f>
        <v>0</v>
      </c>
      <c r="W33" s="699">
        <f t="array" aca="1" ref="W33" ca="1">SUM(IF((DelPoint= "hidalgo")*(DType = "pre")*(OFFSET(DelPoint,0,W3+2)&gt;0),OFFSET(DelPoint,0,W3+2),0))</f>
        <v>0</v>
      </c>
      <c r="X33" s="699">
        <f t="array" aca="1" ref="X33" ca="1">SUM(IF((DelPoint= "hidalgo")*(DType = "pre")*(OFFSET(DelPoint,0,X3+2)&gt;0),OFFSET(DelPoint,0,X3+2),0))</f>
        <v>0</v>
      </c>
      <c r="Y33" s="700">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2"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71" t="s">
        <v>121</v>
      </c>
      <c r="B38" s="547">
        <f t="shared" ref="B38:Y38" ca="1" si="4">SUM(B22:B37)+B4+B5</f>
        <v>956</v>
      </c>
      <c r="C38" s="547">
        <f t="shared" ca="1" si="4"/>
        <v>880</v>
      </c>
      <c r="D38" s="547">
        <f t="shared" ca="1" si="4"/>
        <v>882</v>
      </c>
      <c r="E38" s="547">
        <f t="shared" ca="1" si="4"/>
        <v>875</v>
      </c>
      <c r="F38" s="547">
        <f t="shared" ca="1" si="4"/>
        <v>884</v>
      </c>
      <c r="G38" s="547">
        <f t="shared" ca="1" si="4"/>
        <v>922</v>
      </c>
      <c r="H38" s="547">
        <f t="shared" ca="1" si="4"/>
        <v>1028</v>
      </c>
      <c r="I38" s="547">
        <f t="shared" ca="1" si="4"/>
        <v>954</v>
      </c>
      <c r="J38" s="547">
        <f t="shared" ca="1" si="4"/>
        <v>959</v>
      </c>
      <c r="K38" s="547">
        <f t="shared" ca="1" si="4"/>
        <v>973</v>
      </c>
      <c r="L38" s="547">
        <f t="shared" ca="1" si="4"/>
        <v>996</v>
      </c>
      <c r="M38" s="547">
        <f t="shared" ca="1" si="4"/>
        <v>977</v>
      </c>
      <c r="N38" s="547">
        <f t="shared" ca="1" si="4"/>
        <v>970</v>
      </c>
      <c r="O38" s="547">
        <f t="shared" ca="1" si="4"/>
        <v>932</v>
      </c>
      <c r="P38" s="547">
        <f t="shared" ca="1" si="4"/>
        <v>922</v>
      </c>
      <c r="Q38" s="547">
        <f t="shared" ca="1" si="4"/>
        <v>932</v>
      </c>
      <c r="R38" s="547">
        <f t="shared" ca="1" si="4"/>
        <v>920</v>
      </c>
      <c r="S38" s="547">
        <f t="shared" ca="1" si="4"/>
        <v>1075</v>
      </c>
      <c r="T38" s="547">
        <f t="shared" ca="1" si="4"/>
        <v>1139</v>
      </c>
      <c r="U38" s="547">
        <f t="shared" ca="1" si="4"/>
        <v>1096</v>
      </c>
      <c r="V38" s="547">
        <f t="shared" ca="1" si="4"/>
        <v>1078</v>
      </c>
      <c r="W38" s="547">
        <f t="shared" ca="1" si="4"/>
        <v>1035</v>
      </c>
      <c r="X38" s="547">
        <f t="shared" ca="1" si="4"/>
        <v>959</v>
      </c>
      <c r="Y38" s="547">
        <f t="shared" ca="1" si="4"/>
        <v>999</v>
      </c>
      <c r="Z38" s="348"/>
      <c r="AA38" s="162"/>
    </row>
    <row r="39" spans="1:33" s="161" customFormat="1" ht="16.5"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5" t="s">
        <v>129</v>
      </c>
      <c r="B41" s="676">
        <v>0</v>
      </c>
      <c r="C41" s="676">
        <v>0</v>
      </c>
      <c r="D41" s="676">
        <v>0</v>
      </c>
      <c r="E41" s="677">
        <v>0</v>
      </c>
      <c r="F41" s="676">
        <v>0</v>
      </c>
      <c r="G41" s="676">
        <v>0</v>
      </c>
      <c r="H41" s="676">
        <v>0</v>
      </c>
      <c r="I41" s="676">
        <v>0</v>
      </c>
      <c r="J41" s="676">
        <v>0</v>
      </c>
      <c r="K41" s="676">
        <v>0</v>
      </c>
      <c r="L41" s="676">
        <v>0</v>
      </c>
      <c r="M41" s="676">
        <v>0</v>
      </c>
      <c r="N41" s="676">
        <v>0</v>
      </c>
      <c r="O41" s="676">
        <v>0</v>
      </c>
      <c r="P41" s="676">
        <v>0</v>
      </c>
      <c r="Q41" s="676">
        <v>0</v>
      </c>
      <c r="R41" s="676">
        <v>0</v>
      </c>
      <c r="S41" s="676">
        <v>0</v>
      </c>
      <c r="T41" s="676">
        <v>0</v>
      </c>
      <c r="U41" s="676">
        <v>0</v>
      </c>
      <c r="V41" s="676">
        <v>0</v>
      </c>
      <c r="W41" s="676">
        <v>0</v>
      </c>
      <c r="X41" s="676">
        <v>0</v>
      </c>
      <c r="Y41" s="678">
        <v>0</v>
      </c>
      <c r="Z41" s="350">
        <v>80</v>
      </c>
      <c r="AA41" s="210">
        <f ca="1">-Economics!D34/Economics!I34</f>
        <v>0</v>
      </c>
    </row>
    <row r="42" spans="1:33" s="161" customFormat="1" ht="15" customHeight="1" x14ac:dyDescent="0.2">
      <c r="A42" s="626" t="s">
        <v>130</v>
      </c>
      <c r="B42" s="630">
        <v>0</v>
      </c>
      <c r="C42" s="630">
        <v>0</v>
      </c>
      <c r="D42" s="630">
        <v>0</v>
      </c>
      <c r="E42" s="631">
        <v>0</v>
      </c>
      <c r="F42" s="630">
        <v>0</v>
      </c>
      <c r="G42" s="630">
        <v>0</v>
      </c>
      <c r="H42" s="630">
        <v>0</v>
      </c>
      <c r="I42" s="630">
        <v>0</v>
      </c>
      <c r="J42" s="630">
        <v>0</v>
      </c>
      <c r="K42" s="630">
        <v>0</v>
      </c>
      <c r="L42" s="630">
        <v>0</v>
      </c>
      <c r="M42" s="630">
        <v>0</v>
      </c>
      <c r="N42" s="630">
        <v>0</v>
      </c>
      <c r="O42" s="630">
        <v>0</v>
      </c>
      <c r="P42" s="630">
        <v>0</v>
      </c>
      <c r="Q42" s="630">
        <v>0</v>
      </c>
      <c r="R42" s="630">
        <v>0</v>
      </c>
      <c r="S42" s="630">
        <v>0</v>
      </c>
      <c r="T42" s="630">
        <v>0</v>
      </c>
      <c r="U42" s="630">
        <v>0</v>
      </c>
      <c r="V42" s="630">
        <v>0</v>
      </c>
      <c r="W42" s="630">
        <v>0</v>
      </c>
      <c r="X42" s="630">
        <v>0</v>
      </c>
      <c r="Y42" s="632">
        <v>0</v>
      </c>
      <c r="Z42" s="350">
        <v>78</v>
      </c>
      <c r="AA42" s="210">
        <f ca="1">-Economics!D35/Economics!I35</f>
        <v>0</v>
      </c>
    </row>
    <row r="43" spans="1:33" s="161" customFormat="1" ht="12.75" customHeight="1" x14ac:dyDescent="0.2">
      <c r="A43" s="627" t="s">
        <v>131</v>
      </c>
      <c r="B43" s="633">
        <v>42</v>
      </c>
      <c r="C43" s="633">
        <v>64</v>
      </c>
      <c r="D43" s="633">
        <v>59</v>
      </c>
      <c r="E43" s="634">
        <v>55</v>
      </c>
      <c r="F43" s="633">
        <v>70</v>
      </c>
      <c r="G43" s="633">
        <v>99</v>
      </c>
      <c r="H43" s="633">
        <v>77</v>
      </c>
      <c r="I43" s="633">
        <v>46</v>
      </c>
      <c r="J43" s="633">
        <v>46</v>
      </c>
      <c r="K43" s="633">
        <v>51</v>
      </c>
      <c r="L43" s="633">
        <v>50</v>
      </c>
      <c r="M43" s="633">
        <v>44</v>
      </c>
      <c r="N43" s="633">
        <v>41</v>
      </c>
      <c r="O43" s="633">
        <v>38</v>
      </c>
      <c r="P43" s="633">
        <v>38</v>
      </c>
      <c r="Q43" s="633">
        <v>51</v>
      </c>
      <c r="R43" s="633">
        <v>38</v>
      </c>
      <c r="S43" s="633">
        <v>99</v>
      </c>
      <c r="T43" s="633">
        <v>98</v>
      </c>
      <c r="U43" s="633">
        <v>48</v>
      </c>
      <c r="V43" s="633">
        <v>49</v>
      </c>
      <c r="W43" s="633">
        <v>64</v>
      </c>
      <c r="X43" s="633">
        <v>50</v>
      </c>
      <c r="Y43" s="635">
        <v>69</v>
      </c>
      <c r="Z43" s="352">
        <v>103</v>
      </c>
      <c r="AA43" s="211">
        <f ca="1">-Economics!D36/Economics!I36</f>
        <v>14347.65625</v>
      </c>
    </row>
    <row r="44" spans="1:33" s="161" customFormat="1" ht="12.75" customHeight="1" x14ac:dyDescent="0.2">
      <c r="A44" s="626" t="s">
        <v>49</v>
      </c>
      <c r="B44" s="630">
        <v>0</v>
      </c>
      <c r="C44" s="630">
        <v>20</v>
      </c>
      <c r="D44" s="630">
        <v>21</v>
      </c>
      <c r="E44" s="630">
        <v>20</v>
      </c>
      <c r="F44" s="630">
        <v>21</v>
      </c>
      <c r="G44" s="630">
        <v>21</v>
      </c>
      <c r="H44" s="630">
        <v>0</v>
      </c>
      <c r="I44" s="630">
        <v>0</v>
      </c>
      <c r="J44" s="630">
        <v>0</v>
      </c>
      <c r="K44" s="630">
        <v>0</v>
      </c>
      <c r="L44" s="630">
        <v>0</v>
      </c>
      <c r="M44" s="630">
        <v>0</v>
      </c>
      <c r="N44" s="630">
        <v>0</v>
      </c>
      <c r="O44" s="630">
        <v>0</v>
      </c>
      <c r="P44" s="630">
        <v>0</v>
      </c>
      <c r="Q44" s="630">
        <v>0</v>
      </c>
      <c r="R44" s="630">
        <v>0</v>
      </c>
      <c r="S44" s="630">
        <v>0</v>
      </c>
      <c r="T44" s="630">
        <v>0</v>
      </c>
      <c r="U44" s="630">
        <v>0</v>
      </c>
      <c r="V44" s="630">
        <v>0</v>
      </c>
      <c r="W44" s="630">
        <v>0</v>
      </c>
      <c r="X44" s="630">
        <v>0</v>
      </c>
      <c r="Y44" s="632">
        <v>0</v>
      </c>
      <c r="Z44" s="350">
        <v>40</v>
      </c>
      <c r="AA44" s="210">
        <f ca="1">-Economics!D37/Economics!I37</f>
        <v>1762.0919363839287</v>
      </c>
    </row>
    <row r="45" spans="1:33" s="161" customFormat="1" ht="12.75" customHeight="1" thickBot="1" x14ac:dyDescent="0.25">
      <c r="A45" s="626" t="s">
        <v>50</v>
      </c>
      <c r="B45" s="630">
        <v>0</v>
      </c>
      <c r="C45" s="630">
        <v>20</v>
      </c>
      <c r="D45" s="630">
        <v>20</v>
      </c>
      <c r="E45" s="630">
        <v>20</v>
      </c>
      <c r="F45" s="630">
        <v>20</v>
      </c>
      <c r="G45" s="630">
        <v>20</v>
      </c>
      <c r="H45" s="630">
        <v>0</v>
      </c>
      <c r="I45" s="630">
        <v>0</v>
      </c>
      <c r="J45" s="630">
        <v>0</v>
      </c>
      <c r="K45" s="630">
        <v>0</v>
      </c>
      <c r="L45" s="630">
        <v>0</v>
      </c>
      <c r="M45" s="630">
        <v>0</v>
      </c>
      <c r="N45" s="630">
        <v>0</v>
      </c>
      <c r="O45" s="630">
        <v>0</v>
      </c>
      <c r="P45" s="630">
        <v>0</v>
      </c>
      <c r="Q45" s="630">
        <v>0</v>
      </c>
      <c r="R45" s="630">
        <v>0</v>
      </c>
      <c r="S45" s="630">
        <v>0</v>
      </c>
      <c r="T45" s="630">
        <v>0</v>
      </c>
      <c r="U45" s="630">
        <v>0</v>
      </c>
      <c r="V45" s="630">
        <v>0</v>
      </c>
      <c r="W45" s="630">
        <v>0</v>
      </c>
      <c r="X45" s="630">
        <v>0</v>
      </c>
      <c r="Y45" s="632">
        <v>0</v>
      </c>
      <c r="Z45" s="350">
        <v>40</v>
      </c>
      <c r="AA45" s="210">
        <f ca="1">-Economics!D38/Economics!I38</f>
        <v>1731.1601911272321</v>
      </c>
    </row>
    <row r="46" spans="1:33" s="161" customFormat="1" ht="12.75" customHeight="1" thickBot="1" x14ac:dyDescent="0.25">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0</v>
      </c>
      <c r="M47" s="630">
        <v>0</v>
      </c>
      <c r="N47" s="630">
        <v>0</v>
      </c>
      <c r="O47" s="630">
        <v>0</v>
      </c>
      <c r="P47" s="630">
        <v>0</v>
      </c>
      <c r="Q47" s="630">
        <v>0</v>
      </c>
      <c r="R47" s="630">
        <v>0</v>
      </c>
      <c r="S47" s="630">
        <v>0</v>
      </c>
      <c r="T47" s="630">
        <v>0</v>
      </c>
      <c r="U47" s="630">
        <v>0</v>
      </c>
      <c r="V47" s="630">
        <v>0</v>
      </c>
      <c r="W47" s="630">
        <v>0</v>
      </c>
      <c r="X47" s="630">
        <v>0</v>
      </c>
      <c r="Y47" s="632">
        <v>0</v>
      </c>
      <c r="Z47" s="350">
        <v>108</v>
      </c>
      <c r="AA47" s="210">
        <f ca="1">-Economics!D40/Economics!I40</f>
        <v>0</v>
      </c>
    </row>
    <row r="48" spans="1:33" s="161" customFormat="1" ht="12.75" customHeight="1" x14ac:dyDescent="0.2">
      <c r="A48" s="627" t="s">
        <v>132</v>
      </c>
      <c r="B48" s="633">
        <v>127</v>
      </c>
      <c r="C48" s="633">
        <v>0</v>
      </c>
      <c r="D48" s="633">
        <v>0</v>
      </c>
      <c r="E48" s="633">
        <v>0</v>
      </c>
      <c r="F48" s="633">
        <v>0</v>
      </c>
      <c r="G48" s="633">
        <v>0</v>
      </c>
      <c r="H48" s="633">
        <v>130</v>
      </c>
      <c r="I48" s="633">
        <v>133</v>
      </c>
      <c r="J48" s="633">
        <v>134</v>
      </c>
      <c r="K48" s="633">
        <v>142</v>
      </c>
      <c r="L48" s="633">
        <v>139</v>
      </c>
      <c r="M48" s="633">
        <v>127</v>
      </c>
      <c r="N48" s="633">
        <v>123</v>
      </c>
      <c r="O48" s="633">
        <v>116</v>
      </c>
      <c r="P48" s="633">
        <v>106</v>
      </c>
      <c r="Q48" s="633">
        <v>97</v>
      </c>
      <c r="R48" s="633">
        <v>97</v>
      </c>
      <c r="S48" s="633">
        <v>199</v>
      </c>
      <c r="T48" s="633">
        <v>203</v>
      </c>
      <c r="U48" s="633">
        <v>204</v>
      </c>
      <c r="V48" s="633">
        <v>182</v>
      </c>
      <c r="W48" s="633">
        <v>158</v>
      </c>
      <c r="X48" s="633">
        <v>138</v>
      </c>
      <c r="Y48" s="635">
        <v>154</v>
      </c>
      <c r="Z48" s="352">
        <v>212</v>
      </c>
      <c r="AA48" s="211">
        <f ca="1">-Economics!D41/Economics!I41</f>
        <v>26541.563695790817</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0</v>
      </c>
      <c r="M49" s="633">
        <v>0</v>
      </c>
      <c r="N49" s="633">
        <v>0</v>
      </c>
      <c r="O49" s="633">
        <v>0</v>
      </c>
      <c r="P49" s="633">
        <v>0</v>
      </c>
      <c r="Q49" s="633">
        <v>0</v>
      </c>
      <c r="R49" s="633">
        <v>0</v>
      </c>
      <c r="S49" s="633">
        <v>9</v>
      </c>
      <c r="T49" s="633">
        <v>52</v>
      </c>
      <c r="U49" s="633">
        <v>31</v>
      </c>
      <c r="V49" s="633">
        <v>36</v>
      </c>
      <c r="W49" s="633">
        <v>36</v>
      </c>
      <c r="X49" s="633">
        <v>0</v>
      </c>
      <c r="Y49" s="635">
        <v>0</v>
      </c>
      <c r="Z49" s="352">
        <v>68</v>
      </c>
      <c r="AA49" s="211">
        <f ca="1">-Economics!D42/Economics!I42</f>
        <v>2625.2316844706634</v>
      </c>
    </row>
    <row r="50" spans="1:27" s="161" customFormat="1" ht="12.75" customHeight="1" x14ac:dyDescent="0.2">
      <c r="A50" s="626" t="s">
        <v>134</v>
      </c>
      <c r="B50" s="630">
        <v>27</v>
      </c>
      <c r="C50" s="630">
        <v>27</v>
      </c>
      <c r="D50" s="630">
        <v>27</v>
      </c>
      <c r="E50" s="630">
        <v>27</v>
      </c>
      <c r="F50" s="630">
        <v>27</v>
      </c>
      <c r="G50" s="630">
        <v>27</v>
      </c>
      <c r="H50" s="630">
        <v>27</v>
      </c>
      <c r="I50" s="630">
        <v>27</v>
      </c>
      <c r="J50" s="630">
        <v>27</v>
      </c>
      <c r="K50" s="630">
        <v>27</v>
      </c>
      <c r="L50" s="630">
        <v>27</v>
      </c>
      <c r="M50" s="630">
        <v>27</v>
      </c>
      <c r="N50" s="630">
        <v>27</v>
      </c>
      <c r="O50" s="630">
        <v>25</v>
      </c>
      <c r="P50" s="630">
        <v>27</v>
      </c>
      <c r="Q50" s="630">
        <v>27</v>
      </c>
      <c r="R50" s="630">
        <v>27</v>
      </c>
      <c r="S50" s="630">
        <v>28</v>
      </c>
      <c r="T50" s="630">
        <v>31</v>
      </c>
      <c r="U50" s="630">
        <v>37</v>
      </c>
      <c r="V50" s="630">
        <v>38</v>
      </c>
      <c r="W50" s="630">
        <v>28</v>
      </c>
      <c r="X50" s="630">
        <v>28</v>
      </c>
      <c r="Y50" s="632">
        <v>29</v>
      </c>
      <c r="Z50" s="350">
        <v>48</v>
      </c>
      <c r="AA50" s="210">
        <f ca="1">-Economics!D43/Economics!I43</f>
        <v>8407.9358552631584</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f ca="1">-Economics!D44/Economics!I44</f>
        <v>0</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f ca="1">-Economics!D45/Economics!I45</f>
        <v>0</v>
      </c>
    </row>
    <row r="53" spans="1:27" s="161" customFormat="1" ht="12.75" customHeight="1" thickTop="1" x14ac:dyDescent="0.2">
      <c r="A53" s="626" t="s">
        <v>126</v>
      </c>
      <c r="B53" s="630">
        <v>201</v>
      </c>
      <c r="C53" s="630">
        <v>201</v>
      </c>
      <c r="D53" s="630">
        <v>201</v>
      </c>
      <c r="E53" s="630">
        <v>201</v>
      </c>
      <c r="F53" s="630">
        <v>201</v>
      </c>
      <c r="G53" s="630">
        <v>201</v>
      </c>
      <c r="H53" s="630">
        <v>201</v>
      </c>
      <c r="I53" s="630">
        <v>201</v>
      </c>
      <c r="J53" s="630">
        <v>201</v>
      </c>
      <c r="K53" s="630">
        <v>201</v>
      </c>
      <c r="L53" s="630">
        <v>201</v>
      </c>
      <c r="M53" s="630">
        <v>201</v>
      </c>
      <c r="N53" s="630">
        <v>201</v>
      </c>
      <c r="O53" s="630">
        <v>201</v>
      </c>
      <c r="P53" s="630">
        <v>201</v>
      </c>
      <c r="Q53" s="630">
        <v>202</v>
      </c>
      <c r="R53" s="630">
        <v>201</v>
      </c>
      <c r="S53" s="630">
        <v>202</v>
      </c>
      <c r="T53" s="630">
        <v>201</v>
      </c>
      <c r="U53" s="630">
        <v>201</v>
      </c>
      <c r="V53" s="630">
        <v>201</v>
      </c>
      <c r="W53" s="630">
        <v>202</v>
      </c>
      <c r="X53" s="630">
        <v>201</v>
      </c>
      <c r="Y53" s="632">
        <v>201</v>
      </c>
      <c r="Z53" s="350">
        <v>198</v>
      </c>
      <c r="AA53" s="208"/>
    </row>
    <row r="54" spans="1:27" s="161" customFormat="1" ht="12.75" customHeight="1" x14ac:dyDescent="0.2">
      <c r="A54" s="626" t="s">
        <v>127</v>
      </c>
      <c r="B54" s="630">
        <v>201</v>
      </c>
      <c r="C54" s="630">
        <v>201</v>
      </c>
      <c r="D54" s="630">
        <v>201</v>
      </c>
      <c r="E54" s="630">
        <v>201</v>
      </c>
      <c r="F54" s="630">
        <v>201</v>
      </c>
      <c r="G54" s="630">
        <v>201</v>
      </c>
      <c r="H54" s="630">
        <v>201</v>
      </c>
      <c r="I54" s="630">
        <v>201</v>
      </c>
      <c r="J54" s="630">
        <v>201</v>
      </c>
      <c r="K54" s="630">
        <v>201</v>
      </c>
      <c r="L54" s="630">
        <v>201</v>
      </c>
      <c r="M54" s="630">
        <v>201</v>
      </c>
      <c r="N54" s="630">
        <v>201</v>
      </c>
      <c r="O54" s="630">
        <v>201</v>
      </c>
      <c r="P54" s="630">
        <v>201</v>
      </c>
      <c r="Q54" s="630">
        <v>202</v>
      </c>
      <c r="R54" s="630">
        <v>201</v>
      </c>
      <c r="S54" s="630">
        <v>202</v>
      </c>
      <c r="T54" s="630">
        <v>201</v>
      </c>
      <c r="U54" s="630">
        <v>201</v>
      </c>
      <c r="V54" s="630">
        <v>202</v>
      </c>
      <c r="W54" s="630">
        <v>202</v>
      </c>
      <c r="X54" s="630">
        <v>201</v>
      </c>
      <c r="Y54" s="632">
        <v>201</v>
      </c>
      <c r="Z54" s="350">
        <v>198</v>
      </c>
      <c r="AA54" s="208"/>
    </row>
    <row r="55" spans="1:27" s="161" customFormat="1" ht="12.75" customHeight="1" x14ac:dyDescent="0.2">
      <c r="A55" s="626" t="s">
        <v>128</v>
      </c>
      <c r="B55" s="630">
        <v>201</v>
      </c>
      <c r="C55" s="630">
        <v>201</v>
      </c>
      <c r="D55" s="630">
        <v>201</v>
      </c>
      <c r="E55" s="630">
        <v>201</v>
      </c>
      <c r="F55" s="630">
        <v>201</v>
      </c>
      <c r="G55" s="630">
        <v>201</v>
      </c>
      <c r="H55" s="630">
        <v>201</v>
      </c>
      <c r="I55" s="630">
        <v>201</v>
      </c>
      <c r="J55" s="630">
        <v>201</v>
      </c>
      <c r="K55" s="630">
        <v>201</v>
      </c>
      <c r="L55" s="630">
        <v>201</v>
      </c>
      <c r="M55" s="630">
        <v>201</v>
      </c>
      <c r="N55" s="630">
        <v>201</v>
      </c>
      <c r="O55" s="630">
        <v>201</v>
      </c>
      <c r="P55" s="630">
        <v>201</v>
      </c>
      <c r="Q55" s="630">
        <v>202</v>
      </c>
      <c r="R55" s="630">
        <v>201</v>
      </c>
      <c r="S55" s="630">
        <v>202</v>
      </c>
      <c r="T55" s="630">
        <v>201</v>
      </c>
      <c r="U55" s="630">
        <v>201</v>
      </c>
      <c r="V55" s="630">
        <v>202</v>
      </c>
      <c r="W55" s="630">
        <v>202</v>
      </c>
      <c r="X55" s="630">
        <v>201</v>
      </c>
      <c r="Y55" s="632">
        <v>201</v>
      </c>
      <c r="Z55" s="350">
        <v>198</v>
      </c>
      <c r="AA55" s="208"/>
    </row>
    <row r="56" spans="1:27" s="161" customFormat="1" ht="12" customHeight="1" x14ac:dyDescent="0.2">
      <c r="A56" s="626" t="s">
        <v>124</v>
      </c>
      <c r="B56" s="630">
        <v>54</v>
      </c>
      <c r="C56" s="630">
        <v>42</v>
      </c>
      <c r="D56" s="630">
        <v>42</v>
      </c>
      <c r="E56" s="630">
        <v>43</v>
      </c>
      <c r="F56" s="630">
        <v>42</v>
      </c>
      <c r="G56" s="630">
        <v>40</v>
      </c>
      <c r="H56" s="630">
        <v>42</v>
      </c>
      <c r="I56" s="630">
        <v>42</v>
      </c>
      <c r="J56" s="630">
        <v>42</v>
      </c>
      <c r="K56" s="630">
        <v>42</v>
      </c>
      <c r="L56" s="630">
        <v>42</v>
      </c>
      <c r="M56" s="630">
        <v>42</v>
      </c>
      <c r="N56" s="630">
        <v>42</v>
      </c>
      <c r="O56" s="630">
        <v>42</v>
      </c>
      <c r="P56" s="630">
        <v>43</v>
      </c>
      <c r="Q56" s="630">
        <v>43</v>
      </c>
      <c r="R56" s="630">
        <v>43</v>
      </c>
      <c r="S56" s="630">
        <v>42</v>
      </c>
      <c r="T56" s="630">
        <v>42</v>
      </c>
      <c r="U56" s="630">
        <v>42</v>
      </c>
      <c r="V56" s="630">
        <v>42</v>
      </c>
      <c r="W56" s="630">
        <v>41</v>
      </c>
      <c r="X56" s="630">
        <v>42</v>
      </c>
      <c r="Y56" s="632">
        <v>42</v>
      </c>
      <c r="Z56" s="350">
        <v>52</v>
      </c>
      <c r="AA56" s="208"/>
    </row>
    <row r="57" spans="1:27" s="161" customFormat="1" ht="12.75" customHeight="1" thickBot="1" x14ac:dyDescent="0.25">
      <c r="A57" s="679" t="s">
        <v>125</v>
      </c>
      <c r="B57" s="680"/>
      <c r="C57" s="680"/>
      <c r="D57" s="680"/>
      <c r="E57" s="680"/>
      <c r="F57" s="680"/>
      <c r="G57" s="680"/>
      <c r="H57" s="680"/>
      <c r="I57" s="680"/>
      <c r="J57" s="680"/>
      <c r="K57" s="680"/>
      <c r="L57" s="680"/>
      <c r="M57" s="680">
        <v>0</v>
      </c>
      <c r="N57" s="680"/>
      <c r="O57" s="680"/>
      <c r="P57" s="680"/>
      <c r="Q57" s="680"/>
      <c r="R57" s="680"/>
      <c r="S57" s="680"/>
      <c r="T57" s="680"/>
      <c r="U57" s="680"/>
      <c r="V57" s="680"/>
      <c r="W57" s="680"/>
      <c r="X57" s="680"/>
      <c r="Y57" s="681"/>
      <c r="Z57" s="350">
        <v>52</v>
      </c>
      <c r="AA57" s="208"/>
    </row>
    <row r="58" spans="1:27" s="161" customFormat="1" ht="17.25" customHeight="1" thickBot="1" x14ac:dyDescent="0.25">
      <c r="A58" s="673" t="s">
        <v>10</v>
      </c>
      <c r="B58" s="674">
        <f ca="1">B59-B38</f>
        <v>0</v>
      </c>
      <c r="C58" s="674">
        <f t="shared" ref="C58:I58" ca="1" si="5">C59-C38</f>
        <v>-1</v>
      </c>
      <c r="D58" s="674">
        <f t="shared" ca="1" si="5"/>
        <v>-7</v>
      </c>
      <c r="E58" s="674">
        <f t="shared" ca="1" si="5"/>
        <v>-4</v>
      </c>
      <c r="F58" s="674">
        <f t="shared" ca="1" si="5"/>
        <v>2</v>
      </c>
      <c r="G58" s="674">
        <f t="shared" ca="1" si="5"/>
        <v>-9</v>
      </c>
      <c r="H58" s="674">
        <f t="shared" ca="1" si="5"/>
        <v>4</v>
      </c>
      <c r="I58" s="674">
        <f t="shared" ca="1" si="5"/>
        <v>0</v>
      </c>
      <c r="J58" s="674">
        <f t="shared" ref="J58:Y58" ca="1" si="6">J59-J38</f>
        <v>-4</v>
      </c>
      <c r="K58" s="674">
        <f t="shared" ca="1" si="6"/>
        <v>-5</v>
      </c>
      <c r="L58" s="674">
        <f t="shared" ca="1" si="6"/>
        <v>-7</v>
      </c>
      <c r="M58" s="674">
        <f t="shared" ca="1" si="6"/>
        <v>-6</v>
      </c>
      <c r="N58" s="674">
        <f t="shared" ca="1" si="6"/>
        <v>-6</v>
      </c>
      <c r="O58" s="674">
        <f t="shared" ca="1" si="6"/>
        <v>-5</v>
      </c>
      <c r="P58" s="674">
        <f t="shared" ca="1" si="6"/>
        <v>-2</v>
      </c>
      <c r="Q58" s="674">
        <f t="shared" ca="1" si="6"/>
        <v>-5</v>
      </c>
      <c r="R58" s="674">
        <f t="shared" ca="1" si="6"/>
        <v>-9</v>
      </c>
      <c r="S58" s="674">
        <f t="shared" ca="1" si="6"/>
        <v>11</v>
      </c>
      <c r="T58" s="674">
        <f t="shared" ca="1" si="6"/>
        <v>6</v>
      </c>
      <c r="U58" s="674">
        <f t="shared" ca="1" si="6"/>
        <v>-6</v>
      </c>
      <c r="V58" s="674">
        <f t="shared" ca="1" si="6"/>
        <v>-1</v>
      </c>
      <c r="W58" s="674">
        <f t="shared" ca="1" si="6"/>
        <v>1</v>
      </c>
      <c r="X58" s="674">
        <f t="shared" ca="1" si="6"/>
        <v>5</v>
      </c>
      <c r="Y58" s="674">
        <f t="shared" ca="1" si="6"/>
        <v>1</v>
      </c>
      <c r="Z58" s="351">
        <f>SUM(Z41:Z55)+Z41+Z42+Z43+Z48+Z49+Z50+Z51+Z52</f>
        <v>2416</v>
      </c>
      <c r="AA58" s="209">
        <f ca="1">SUM(AA41:AA55)</f>
        <v>55415.639613035804</v>
      </c>
    </row>
    <row r="59" spans="1:27" s="161" customFormat="1" ht="12" x14ac:dyDescent="0.2">
      <c r="A59" s="564">
        <v>0</v>
      </c>
      <c r="B59" s="565">
        <f t="shared" ref="B59:I59" ca="1" si="7">SUM(B41:B57)-SUM(B7:B20)</f>
        <v>956</v>
      </c>
      <c r="C59" s="565">
        <f t="shared" ca="1" si="7"/>
        <v>879</v>
      </c>
      <c r="D59" s="565">
        <f t="shared" ca="1" si="7"/>
        <v>875</v>
      </c>
      <c r="E59" s="565">
        <f t="shared" ca="1" si="7"/>
        <v>871</v>
      </c>
      <c r="F59" s="565">
        <f t="shared" ca="1" si="7"/>
        <v>886</v>
      </c>
      <c r="G59" s="565">
        <f t="shared" ca="1" si="7"/>
        <v>913</v>
      </c>
      <c r="H59" s="565">
        <f t="shared" ca="1" si="7"/>
        <v>1032</v>
      </c>
      <c r="I59" s="565">
        <f t="shared" ca="1" si="7"/>
        <v>954</v>
      </c>
      <c r="J59" s="565">
        <f t="shared" ref="J59:Y59" ca="1" si="8">SUM(J41:J57)-SUM(J7:J20)</f>
        <v>955</v>
      </c>
      <c r="K59" s="565">
        <f t="shared" ca="1" si="8"/>
        <v>968</v>
      </c>
      <c r="L59" s="565">
        <f t="shared" ca="1" si="8"/>
        <v>989</v>
      </c>
      <c r="M59" s="565">
        <f t="shared" ca="1" si="8"/>
        <v>971</v>
      </c>
      <c r="N59" s="565">
        <f t="shared" ca="1" si="8"/>
        <v>964</v>
      </c>
      <c r="O59" s="565">
        <f t="shared" ca="1" si="8"/>
        <v>927</v>
      </c>
      <c r="P59" s="565">
        <f t="shared" ca="1" si="8"/>
        <v>920</v>
      </c>
      <c r="Q59" s="565">
        <f t="shared" ca="1" si="8"/>
        <v>927</v>
      </c>
      <c r="R59" s="565">
        <f t="shared" ca="1" si="8"/>
        <v>911</v>
      </c>
      <c r="S59" s="565">
        <f t="shared" ca="1" si="8"/>
        <v>1086</v>
      </c>
      <c r="T59" s="565">
        <f t="shared" ca="1" si="8"/>
        <v>1145</v>
      </c>
      <c r="U59" s="565">
        <f ca="1">SUM(U41:U57)-SUM(U7:U20)</f>
        <v>1090</v>
      </c>
      <c r="V59" s="565">
        <f t="shared" ca="1" si="8"/>
        <v>1077</v>
      </c>
      <c r="W59" s="565">
        <f t="shared" ca="1" si="8"/>
        <v>1036</v>
      </c>
      <c r="X59" s="565">
        <f t="shared" ca="1" si="8"/>
        <v>964</v>
      </c>
      <c r="Y59" s="565">
        <f t="shared" ca="1" si="8"/>
        <v>1000</v>
      </c>
      <c r="Z59" s="213">
        <f ca="1">SUM(Economics!D28:D45)</f>
        <v>-211345.50578273437</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335</v>
      </c>
      <c r="C62" s="169">
        <f t="shared" ca="1" si="10"/>
        <v>400</v>
      </c>
      <c r="D62" s="169">
        <f t="shared" ca="1" si="10"/>
        <v>400</v>
      </c>
      <c r="E62" s="169">
        <f t="shared" ca="1" si="10"/>
        <v>400</v>
      </c>
      <c r="F62" s="169">
        <f t="shared" ca="1" si="10"/>
        <v>400</v>
      </c>
      <c r="G62" s="169">
        <f t="shared" ca="1" si="10"/>
        <v>400</v>
      </c>
      <c r="H62" s="169">
        <f t="shared" ca="1" si="10"/>
        <v>440</v>
      </c>
      <c r="I62" s="169">
        <f t="shared" ca="1" si="10"/>
        <v>533</v>
      </c>
      <c r="J62" s="169">
        <f t="shared" ca="1" si="10"/>
        <v>508</v>
      </c>
      <c r="K62" s="169">
        <f t="shared" ca="1" si="10"/>
        <v>508</v>
      </c>
      <c r="L62" s="169">
        <f t="shared" ca="1" si="10"/>
        <v>493</v>
      </c>
      <c r="M62" s="169">
        <f t="shared" ca="1" si="10"/>
        <v>523</v>
      </c>
      <c r="N62" s="169">
        <f t="shared" ca="1" si="10"/>
        <v>523</v>
      </c>
      <c r="O62" s="169">
        <f t="shared" ca="1" si="10"/>
        <v>533</v>
      </c>
      <c r="P62" s="169">
        <f t="shared" ca="1" si="10"/>
        <v>533</v>
      </c>
      <c r="Q62" s="169">
        <f t="shared" ca="1" si="10"/>
        <v>536</v>
      </c>
      <c r="R62" s="169">
        <f t="shared" ca="1" si="10"/>
        <v>533</v>
      </c>
      <c r="S62" s="169">
        <f t="shared" ca="1" si="10"/>
        <v>536</v>
      </c>
      <c r="T62" s="169">
        <f t="shared" ca="1" si="10"/>
        <v>506</v>
      </c>
      <c r="U62" s="169">
        <f t="shared" ca="1" si="10"/>
        <v>515</v>
      </c>
      <c r="V62" s="169">
        <f t="shared" ca="1" si="10"/>
        <v>517</v>
      </c>
      <c r="W62" s="169">
        <f t="shared" ca="1" si="10"/>
        <v>496</v>
      </c>
      <c r="X62" s="169">
        <f t="shared" ca="1" si="10"/>
        <v>513</v>
      </c>
      <c r="Y62" s="170">
        <f t="shared" ca="1" si="10"/>
        <v>370</v>
      </c>
      <c r="Z62" s="191"/>
      <c r="AA62" s="162"/>
    </row>
    <row r="63" spans="1:27" s="161" customFormat="1" ht="12" x14ac:dyDescent="0.2">
      <c r="A63" s="193" t="s">
        <v>140</v>
      </c>
      <c r="B63" s="169">
        <f t="shared" ref="B63:L63" ca="1" si="11">-SUM(B8:B10,B25:B28) + SUM(B56:B57)</f>
        <v>54</v>
      </c>
      <c r="C63" s="169">
        <f t="shared" ca="1" si="11"/>
        <v>42</v>
      </c>
      <c r="D63" s="169">
        <f t="shared" ca="1" si="11"/>
        <v>42</v>
      </c>
      <c r="E63" s="169">
        <f t="shared" ca="1" si="11"/>
        <v>43</v>
      </c>
      <c r="F63" s="169">
        <f t="shared" ca="1" si="11"/>
        <v>42</v>
      </c>
      <c r="G63" s="169">
        <f t="shared" ca="1" si="11"/>
        <v>40</v>
      </c>
      <c r="H63" s="169">
        <f t="shared" ca="1" si="11"/>
        <v>42</v>
      </c>
      <c r="I63" s="169">
        <f t="shared" ca="1" si="11"/>
        <v>42</v>
      </c>
      <c r="J63" s="169">
        <f t="shared" ca="1" si="11"/>
        <v>42</v>
      </c>
      <c r="K63" s="169">
        <f t="shared" ca="1" si="11"/>
        <v>42</v>
      </c>
      <c r="L63" s="169">
        <f t="shared" ca="1" si="11"/>
        <v>67</v>
      </c>
      <c r="M63" s="169">
        <f ca="1">-SUM(M8:M10,M25:M28) + SUM(M57:M57)</f>
        <v>25</v>
      </c>
      <c r="N63" s="169">
        <f t="shared" ref="N63:Y63" ca="1" si="12">-SUM(N8:N10,N25:N28) + SUM(N56:N57)</f>
        <v>67</v>
      </c>
      <c r="O63" s="169">
        <f t="shared" ca="1" si="12"/>
        <v>42</v>
      </c>
      <c r="P63" s="169">
        <f t="shared" ca="1" si="12"/>
        <v>43</v>
      </c>
      <c r="Q63" s="169">
        <f t="shared" ca="1" si="12"/>
        <v>43</v>
      </c>
      <c r="R63" s="169">
        <f t="shared" ca="1" si="12"/>
        <v>43</v>
      </c>
      <c r="S63" s="169">
        <f t="shared" ca="1" si="12"/>
        <v>42</v>
      </c>
      <c r="T63" s="169">
        <f t="shared" ca="1" si="12"/>
        <v>42</v>
      </c>
      <c r="U63" s="169">
        <f t="shared" ca="1" si="12"/>
        <v>42</v>
      </c>
      <c r="V63" s="169">
        <f t="shared" ca="1" si="12"/>
        <v>42</v>
      </c>
      <c r="W63" s="169">
        <f t="shared" ca="1" si="12"/>
        <v>41</v>
      </c>
      <c r="X63" s="169">
        <f t="shared" ca="1" si="12"/>
        <v>42</v>
      </c>
      <c r="Y63" s="170">
        <f t="shared" ca="1" si="12"/>
        <v>42</v>
      </c>
      <c r="Z63" s="191"/>
      <c r="AA63" s="162"/>
    </row>
    <row r="64" spans="1:27" s="161" customFormat="1" ht="12" x14ac:dyDescent="0.2">
      <c r="A64" s="193" t="s">
        <v>141</v>
      </c>
      <c r="B64" s="169">
        <f ca="1">IF(B62+B63&gt;645,"err",B62+B63)</f>
        <v>389</v>
      </c>
      <c r="C64" s="169">
        <f t="shared" ref="C64:Y64" ca="1" si="13">IF(C62+C63&gt;645,"err",C62+C63)</f>
        <v>442</v>
      </c>
      <c r="D64" s="169">
        <f t="shared" ca="1" si="13"/>
        <v>442</v>
      </c>
      <c r="E64" s="169">
        <f t="shared" ca="1" si="13"/>
        <v>443</v>
      </c>
      <c r="F64" s="169">
        <f t="shared" ca="1" si="13"/>
        <v>442</v>
      </c>
      <c r="G64" s="169">
        <f t="shared" ca="1" si="13"/>
        <v>440</v>
      </c>
      <c r="H64" s="169">
        <f t="shared" ca="1" si="13"/>
        <v>482</v>
      </c>
      <c r="I64" s="169">
        <f t="shared" ca="1" si="13"/>
        <v>575</v>
      </c>
      <c r="J64" s="169">
        <f t="shared" ca="1" si="13"/>
        <v>550</v>
      </c>
      <c r="K64" s="169">
        <f t="shared" ca="1" si="13"/>
        <v>550</v>
      </c>
      <c r="L64" s="169">
        <f t="shared" ca="1" si="13"/>
        <v>560</v>
      </c>
      <c r="M64" s="169">
        <f t="shared" ca="1" si="13"/>
        <v>548</v>
      </c>
      <c r="N64" s="169">
        <f t="shared" ca="1" si="13"/>
        <v>590</v>
      </c>
      <c r="O64" s="169">
        <f t="shared" ca="1" si="13"/>
        <v>575</v>
      </c>
      <c r="P64" s="169">
        <f t="shared" ca="1" si="13"/>
        <v>576</v>
      </c>
      <c r="Q64" s="169">
        <f t="shared" ca="1" si="13"/>
        <v>579</v>
      </c>
      <c r="R64" s="169">
        <f t="shared" ca="1" si="13"/>
        <v>576</v>
      </c>
      <c r="S64" s="169">
        <f t="shared" ca="1" si="13"/>
        <v>578</v>
      </c>
      <c r="T64" s="169">
        <f t="shared" ca="1" si="13"/>
        <v>548</v>
      </c>
      <c r="U64" s="169">
        <f t="shared" ca="1" si="13"/>
        <v>557</v>
      </c>
      <c r="V64" s="169">
        <f t="shared" ca="1" si="13"/>
        <v>559</v>
      </c>
      <c r="W64" s="169">
        <f t="shared" ca="1" si="13"/>
        <v>537</v>
      </c>
      <c r="X64" s="169">
        <f t="shared" ca="1" si="13"/>
        <v>555</v>
      </c>
      <c r="Y64" s="170">
        <f t="shared" ca="1" si="13"/>
        <v>412</v>
      </c>
      <c r="Z64" s="192"/>
      <c r="AA64" s="162"/>
    </row>
    <row r="65" spans="1:27" s="161" customFormat="1" ht="12" x14ac:dyDescent="0.2">
      <c r="A65" s="193" t="s">
        <v>18</v>
      </c>
      <c r="B65" s="169">
        <f ca="1">SUM(B61:B63)</f>
        <v>492</v>
      </c>
      <c r="C65" s="169">
        <f t="shared" ref="C65:Y65" ca="1" si="14">SUM(C61:C63)</f>
        <v>545</v>
      </c>
      <c r="D65" s="169">
        <f t="shared" ca="1" si="14"/>
        <v>545</v>
      </c>
      <c r="E65" s="169">
        <f t="shared" ca="1" si="14"/>
        <v>546</v>
      </c>
      <c r="F65" s="169">
        <f t="shared" ca="1" si="14"/>
        <v>545</v>
      </c>
      <c r="G65" s="169">
        <f t="shared" ca="1" si="14"/>
        <v>543</v>
      </c>
      <c r="H65" s="169">
        <f t="shared" ca="1" si="14"/>
        <v>585</v>
      </c>
      <c r="I65" s="169">
        <f t="shared" ca="1" si="14"/>
        <v>678</v>
      </c>
      <c r="J65" s="169">
        <f t="shared" ca="1" si="14"/>
        <v>653</v>
      </c>
      <c r="K65" s="169">
        <f t="shared" ca="1" si="14"/>
        <v>653</v>
      </c>
      <c r="L65" s="169">
        <f t="shared" ca="1" si="14"/>
        <v>663</v>
      </c>
      <c r="M65" s="169">
        <f t="shared" ca="1" si="14"/>
        <v>548</v>
      </c>
      <c r="N65" s="169">
        <f t="shared" ca="1" si="14"/>
        <v>693</v>
      </c>
      <c r="O65" s="169">
        <f t="shared" ca="1" si="14"/>
        <v>678</v>
      </c>
      <c r="P65" s="169">
        <f t="shared" ca="1" si="14"/>
        <v>679</v>
      </c>
      <c r="Q65" s="169">
        <f t="shared" ca="1" si="14"/>
        <v>682</v>
      </c>
      <c r="R65" s="169">
        <f t="shared" ca="1" si="14"/>
        <v>679</v>
      </c>
      <c r="S65" s="169">
        <f t="shared" ca="1" si="14"/>
        <v>681</v>
      </c>
      <c r="T65" s="169">
        <f t="shared" ca="1" si="14"/>
        <v>651</v>
      </c>
      <c r="U65" s="169">
        <f t="shared" ca="1" si="14"/>
        <v>660</v>
      </c>
      <c r="V65" s="169">
        <f t="shared" ca="1" si="14"/>
        <v>662</v>
      </c>
      <c r="W65" s="169">
        <f t="shared" ca="1" si="14"/>
        <v>640</v>
      </c>
      <c r="X65" s="169">
        <f t="shared" ca="1" si="14"/>
        <v>658</v>
      </c>
      <c r="Y65" s="170">
        <f t="shared" ca="1" si="14"/>
        <v>515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158</v>
      </c>
      <c r="C67" s="169">
        <f t="array" ref="C67">SUM(IF(C$41:C$55 = 0,0,$Z$41:$Z$55-C$41:C$55))-INDEX(Balancing!$R$4:$R$27,C$3)</f>
        <v>91</v>
      </c>
      <c r="D67" s="169">
        <f t="array" ref="D67">SUM(IF(D$41:D$55 = 0,0,$Z$41:$Z$55-D$41:D$55))-INDEX(Balancing!$R$4:$R$27,D$3)</f>
        <v>95</v>
      </c>
      <c r="E67" s="169">
        <f t="array" ref="E67">SUM(IF(E$41:E$55 = 0,0,$Z$41:$Z$55-E$41:E$55))-INDEX(Balancing!$R$4:$R$27,E$3)</f>
        <v>100</v>
      </c>
      <c r="F67" s="169">
        <f t="array" ref="F67">SUM(IF(F$41:F$55 = 0,0,$Z$41:$Z$55-F$41:F$55))-INDEX(Balancing!$R$4:$R$27,F$3)</f>
        <v>84</v>
      </c>
      <c r="G67" s="169">
        <f t="array" ref="G67">SUM(IF(G$41:G$55 = 0,0,$Z$41:$Z$55-G$41:G$55))-INDEX(Balancing!$R$4:$R$27,G$3)</f>
        <v>55</v>
      </c>
      <c r="H67" s="169">
        <f t="array" ref="H67">SUM(IF(H$41:H$55 = 0,0,$Z$41:$Z$55-H$41:H$55))-INDEX(Balancing!$R$4:$R$27,H$3)</f>
        <v>120</v>
      </c>
      <c r="I67" s="169">
        <f t="array" ref="I67">SUM(IF(I$41:I$55 = 0,0,$Z$41:$Z$55-I$41:I$55))-INDEX(Balancing!$R$4:$R$27,I$3)</f>
        <v>148</v>
      </c>
      <c r="J67" s="169">
        <f t="array" ref="J67">SUM(IF(J$41:J$55 = 0,0,$Z$41:$Z$55-J$41:J$55))-INDEX(Balancing!$R$4:$R$27,J$3)</f>
        <v>147</v>
      </c>
      <c r="K67" s="169">
        <f t="array" ref="K67">SUM(IF(K$41:K$55 = 0,0,$Z$41:$Z$55-K$41:K$55))-INDEX(Balancing!$R$4:$R$27,K$3)</f>
        <v>134</v>
      </c>
      <c r="L67" s="169">
        <f t="array" ref="L67">SUM(IF(L$41:L$55 = 0,0,$Z$41:$Z$55-L$41:L$55))-INDEX(Balancing!$R$4:$R$27,L$3)</f>
        <v>138</v>
      </c>
      <c r="M67" s="169">
        <f t="array" ref="M67">SUM(IF(M$41:M$55 = 0,0,$Z$41:$Z$55-M$41:M$55))-INDEX(Balancing!$R$4:$R$27,M$3)</f>
        <v>156</v>
      </c>
      <c r="N67" s="169">
        <v>179</v>
      </c>
      <c r="O67" s="169">
        <f t="array" ref="O67">SUM(IF(O$41:O$55 = 0,0,$Z$41:$Z$55-O$41:O$55))-INDEX(Balancing!$R$4:$R$27,O$3)</f>
        <v>175</v>
      </c>
      <c r="P67" s="169">
        <f t="array" ref="P67">SUM(IF(P$41:P$55 = 0,0,$Z$41:$Z$55-P$41:P$55))-INDEX(Balancing!$R$4:$R$27,P$3)</f>
        <v>183</v>
      </c>
      <c r="Q67" s="169">
        <f t="array" ref="Q67">SUM(IF(Q$41:Q$55 = 0,0,$Z$41:$Z$55-Q$41:Q$55))-INDEX(Balancing!$R$4:$R$27,Q$3)</f>
        <v>176</v>
      </c>
      <c r="R67" s="169">
        <f t="array" ref="R67">SUM(IF(R$41:R$55 = 0,0,$Z$41:$Z$55-R$41:R$55))-INDEX(Balancing!$R$4:$R$27,R$3)</f>
        <v>192</v>
      </c>
      <c r="S67" s="169">
        <f t="array" ref="S67">SUM(IF(S$41:S$55 = 0,0,$Z$41:$Z$55-S$41:S$55))-INDEX(Balancing!$R$4:$R$27,S$3)</f>
        <v>84</v>
      </c>
      <c r="T67" s="169">
        <f t="array" ref="T67">SUM(IF(T$41:T$55 = 0,0,$Z$41:$Z$55-T$41:T$55))-INDEX(Balancing!$R$4:$R$27,T$3)</f>
        <v>38</v>
      </c>
      <c r="U67" s="169">
        <f t="array" ref="U67">SUM(IF(U$41:U$55 = 0,0,$Z$41:$Z$55-U$41:U$55))-INDEX(Balancing!$R$4:$R$27,U$3)</f>
        <v>102</v>
      </c>
      <c r="V67" s="169">
        <f t="array" ref="V67">SUM(IF(V$41:V$55 = 0,0,$Z$41:$Z$55-V$41:V$55))-INDEX(Balancing!$R$4:$R$27,V$3)</f>
        <v>115</v>
      </c>
      <c r="W67" s="169">
        <f t="array" ref="W67">SUM(IF(W$41:W$55 = 0,0,$Z$41:$Z$55-W$41:W$55))-INDEX(Balancing!$R$4:$R$27,W$3)</f>
        <v>133</v>
      </c>
      <c r="X67" s="169">
        <f t="array" ref="X67">SUM(IF(X$41:X$55 = 0,0,$Z$41:$Z$55-X$41:X$55))-INDEX(Balancing!$R$4:$R$27,X$3)</f>
        <v>138</v>
      </c>
      <c r="Y67" s="170">
        <f t="array" ref="Y67">SUM(IF(Y$41:Y$55 = 0,0,$Z$41:$Z$55-Y$41:Y$55))-INDEX(Balancing!$R$4:$R$27,Y$3)</f>
        <v>102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46</v>
      </c>
      <c r="D69" s="171">
        <f t="shared" si="15"/>
        <v>46</v>
      </c>
      <c r="E69" s="171">
        <f t="shared" si="15"/>
        <v>45</v>
      </c>
      <c r="F69" s="171">
        <f t="shared" si="15"/>
        <v>46</v>
      </c>
      <c r="G69" s="171">
        <f t="shared" si="15"/>
        <v>49</v>
      </c>
      <c r="H69" s="171">
        <f t="shared" ref="H69:X69" si="16">IF(H67&lt;0.07*I4,"err",ROUND(I4*0.07,0))</f>
        <v>60</v>
      </c>
      <c r="I69" s="171">
        <f t="shared" si="16"/>
        <v>59</v>
      </c>
      <c r="J69" s="171">
        <f t="shared" si="16"/>
        <v>60</v>
      </c>
      <c r="K69" s="171">
        <f t="shared" si="16"/>
        <v>60</v>
      </c>
      <c r="L69" s="171">
        <f t="shared" si="16"/>
        <v>61</v>
      </c>
      <c r="M69" s="171">
        <f t="shared" si="16"/>
        <v>61</v>
      </c>
      <c r="N69" s="171">
        <f t="shared" si="16"/>
        <v>59</v>
      </c>
      <c r="O69" s="171">
        <f t="shared" si="16"/>
        <v>58</v>
      </c>
      <c r="P69" s="171">
        <f t="shared" si="16"/>
        <v>59</v>
      </c>
      <c r="Q69" s="171">
        <f t="shared" si="16"/>
        <v>58</v>
      </c>
      <c r="R69" s="171">
        <f t="shared" si="16"/>
        <v>69</v>
      </c>
      <c r="S69" s="171">
        <f t="shared" si="16"/>
        <v>70</v>
      </c>
      <c r="T69" s="171" t="str">
        <f t="shared" si="16"/>
        <v>err</v>
      </c>
      <c r="U69" s="171">
        <f t="shared" si="16"/>
        <v>66</v>
      </c>
      <c r="V69" s="171">
        <f t="shared" si="16"/>
        <v>63</v>
      </c>
      <c r="W69" s="171">
        <f t="shared" si="16"/>
        <v>59</v>
      </c>
      <c r="X69" s="171">
        <f t="shared" si="16"/>
        <v>52</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65</v>
      </c>
      <c r="C78" s="469">
        <f t="shared" ca="1" si="17"/>
        <v>50</v>
      </c>
      <c r="D78" s="469">
        <f t="shared" ca="1" si="17"/>
        <v>50</v>
      </c>
      <c r="E78" s="469">
        <f ca="1">(E22+E25+E29)</f>
        <v>50</v>
      </c>
      <c r="F78" s="469">
        <f t="shared" ca="1" si="17"/>
        <v>50</v>
      </c>
      <c r="G78" s="469">
        <f ca="1">(G22+G25+G29)</f>
        <v>50</v>
      </c>
      <c r="H78" s="469">
        <f ca="1">(H22+H25+H29)</f>
        <v>60</v>
      </c>
      <c r="I78" s="469">
        <f ca="1">(I22+I25+I29)</f>
        <v>70</v>
      </c>
      <c r="J78" s="469">
        <f ca="1">(J22+J25+J29)</f>
        <v>95</v>
      </c>
      <c r="K78" s="469">
        <f t="shared" ca="1" si="17"/>
        <v>95</v>
      </c>
      <c r="L78" s="469">
        <f t="shared" ca="1" si="17"/>
        <v>85</v>
      </c>
      <c r="M78" s="469">
        <f t="shared" ca="1" si="17"/>
        <v>80</v>
      </c>
      <c r="N78" s="469">
        <f t="shared" ca="1" si="17"/>
        <v>80</v>
      </c>
      <c r="O78" s="469">
        <f t="shared" ca="1" si="17"/>
        <v>70</v>
      </c>
      <c r="P78" s="469">
        <f t="shared" ca="1" si="17"/>
        <v>70</v>
      </c>
      <c r="Q78" s="469">
        <f t="shared" ca="1" si="17"/>
        <v>70</v>
      </c>
      <c r="R78" s="469">
        <f t="shared" ca="1" si="17"/>
        <v>70</v>
      </c>
      <c r="S78" s="469">
        <f t="shared" ca="1" si="17"/>
        <v>70</v>
      </c>
      <c r="T78" s="469">
        <f t="shared" ca="1" si="17"/>
        <v>110</v>
      </c>
      <c r="U78" s="469">
        <f t="shared" ca="1" si="17"/>
        <v>110</v>
      </c>
      <c r="V78" s="469">
        <f t="shared" ca="1" si="17"/>
        <v>110</v>
      </c>
      <c r="W78" s="469">
        <f t="shared" ca="1" si="17"/>
        <v>110</v>
      </c>
      <c r="X78" s="469">
        <f t="shared" ca="1" si="17"/>
        <v>90</v>
      </c>
      <c r="Y78" s="469">
        <f t="shared" ca="1" si="17"/>
        <v>80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Deals!AD112</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1840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244500.3739101626</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54</v>
      </c>
      <c r="C89" s="228">
        <f t="shared" si="18"/>
        <v>42</v>
      </c>
      <c r="D89" s="228">
        <f t="shared" si="18"/>
        <v>42</v>
      </c>
      <c r="E89" s="228">
        <f>E56</f>
        <v>43</v>
      </c>
      <c r="F89" s="228">
        <f t="shared" si="18"/>
        <v>42</v>
      </c>
      <c r="G89" s="228">
        <f t="shared" si="18"/>
        <v>40</v>
      </c>
      <c r="H89" s="228">
        <f t="shared" si="18"/>
        <v>42</v>
      </c>
      <c r="I89" s="228">
        <f t="shared" si="18"/>
        <v>42</v>
      </c>
      <c r="J89" s="228">
        <f t="shared" si="18"/>
        <v>42</v>
      </c>
      <c r="K89" s="228">
        <f t="shared" si="18"/>
        <v>42</v>
      </c>
      <c r="L89" s="228">
        <f t="shared" si="18"/>
        <v>42</v>
      </c>
      <c r="M89" s="228">
        <f>M57</f>
        <v>0</v>
      </c>
      <c r="N89" s="228">
        <f t="shared" si="18"/>
        <v>42</v>
      </c>
      <c r="O89" s="228">
        <f t="shared" si="18"/>
        <v>42</v>
      </c>
      <c r="P89" s="228">
        <f t="shared" si="18"/>
        <v>43</v>
      </c>
      <c r="Q89" s="228">
        <f t="shared" si="18"/>
        <v>43</v>
      </c>
      <c r="R89" s="228">
        <f t="shared" si="18"/>
        <v>43</v>
      </c>
      <c r="S89" s="228">
        <f t="shared" si="18"/>
        <v>42</v>
      </c>
      <c r="T89" s="228">
        <f t="shared" si="18"/>
        <v>42</v>
      </c>
      <c r="U89" s="228">
        <f t="shared" si="18"/>
        <v>42</v>
      </c>
      <c r="V89" s="228">
        <f t="shared" si="18"/>
        <v>42</v>
      </c>
      <c r="W89" s="228">
        <f t="shared" si="18"/>
        <v>41</v>
      </c>
      <c r="X89" s="228">
        <f t="shared" si="18"/>
        <v>42</v>
      </c>
      <c r="Y89" s="228">
        <f t="shared" si="18"/>
        <v>42</v>
      </c>
      <c r="Z89" s="257">
        <f t="array" ref="Z89">SUM(B89:Y89*Economics!F$28)</f>
        <v>12800.307519999997</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49</v>
      </c>
      <c r="C91" s="206">
        <f t="shared" si="19"/>
        <v>10</v>
      </c>
      <c r="D91" s="206">
        <f t="shared" si="19"/>
        <v>-40</v>
      </c>
      <c r="E91" s="206">
        <f t="shared" si="19"/>
        <v>-41</v>
      </c>
      <c r="F91" s="206">
        <f t="shared" si="19"/>
        <v>-40</v>
      </c>
      <c r="G91" s="206">
        <f t="shared" si="19"/>
        <v>-38</v>
      </c>
      <c r="H91" s="206">
        <f t="shared" si="19"/>
        <v>10</v>
      </c>
      <c r="I91" s="206">
        <f t="shared" si="19"/>
        <v>10</v>
      </c>
      <c r="J91" s="206">
        <f t="shared" si="19"/>
        <v>10</v>
      </c>
      <c r="K91" s="206">
        <f t="shared" si="19"/>
        <v>10</v>
      </c>
      <c r="L91" s="206">
        <f t="shared" si="19"/>
        <v>61</v>
      </c>
      <c r="M91" s="206">
        <f t="shared" si="19"/>
        <v>103</v>
      </c>
      <c r="N91" s="206">
        <f t="shared" si="19"/>
        <v>61</v>
      </c>
      <c r="O91" s="206">
        <f t="shared" si="19"/>
        <v>61</v>
      </c>
      <c r="P91" s="206">
        <f t="shared" si="19"/>
        <v>60</v>
      </c>
      <c r="Q91" s="206">
        <f t="shared" si="19"/>
        <v>60</v>
      </c>
      <c r="R91" s="206">
        <f t="shared" si="19"/>
        <v>60</v>
      </c>
      <c r="S91" s="206">
        <f t="shared" si="19"/>
        <v>61</v>
      </c>
      <c r="T91" s="206">
        <f t="shared" si="19"/>
        <v>61</v>
      </c>
      <c r="U91" s="206">
        <f t="shared" si="19"/>
        <v>61</v>
      </c>
      <c r="V91" s="206">
        <f t="shared" si="19"/>
        <v>10</v>
      </c>
      <c r="W91" s="206">
        <f t="shared" si="19"/>
        <v>11</v>
      </c>
      <c r="X91" s="206">
        <f t="shared" si="19"/>
        <v>10</v>
      </c>
      <c r="Y91" s="206">
        <f t="shared" si="19"/>
        <v>10</v>
      </c>
      <c r="Z91" s="260">
        <f>Z89-Z90</f>
        <v>-8237.1743999999981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202</v>
      </c>
      <c r="R95" s="181">
        <f t="shared" si="22"/>
        <v>201</v>
      </c>
      <c r="S95" s="181">
        <f t="shared" si="22"/>
        <v>202</v>
      </c>
      <c r="T95" s="181">
        <f t="shared" si="22"/>
        <v>201</v>
      </c>
      <c r="U95" s="181">
        <f t="shared" si="22"/>
        <v>201</v>
      </c>
      <c r="V95" s="181">
        <f t="shared" si="22"/>
        <v>201</v>
      </c>
      <c r="W95" s="181">
        <f t="shared" si="22"/>
        <v>202</v>
      </c>
      <c r="X95" s="181">
        <f t="shared" si="22"/>
        <v>201</v>
      </c>
      <c r="Y95" s="181">
        <f t="shared" si="22"/>
        <v>201</v>
      </c>
      <c r="Z95" s="259">
        <f t="array" ref="Z95">SUM(B95:Y95*Economics!F$30)</f>
        <v>29425.391999999989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-2</v>
      </c>
      <c r="R97" s="206">
        <f t="shared" si="23"/>
        <v>-1</v>
      </c>
      <c r="S97" s="206">
        <f t="shared" si="23"/>
        <v>-2</v>
      </c>
      <c r="T97" s="206">
        <f t="shared" si="23"/>
        <v>-1</v>
      </c>
      <c r="U97" s="206">
        <f t="shared" si="23"/>
        <v>-1</v>
      </c>
      <c r="V97" s="206">
        <f t="shared" si="23"/>
        <v>-1</v>
      </c>
      <c r="W97" s="206">
        <f t="shared" si="23"/>
        <v>-2</v>
      </c>
      <c r="X97" s="206">
        <f t="shared" si="23"/>
        <v>-1</v>
      </c>
      <c r="Y97" s="206">
        <f t="shared" si="23"/>
        <v>-1</v>
      </c>
      <c r="Z97" s="260">
        <f>Z95-Z96</f>
        <v>164.59199999997873</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202</v>
      </c>
      <c r="R98" s="181">
        <f t="shared" si="24"/>
        <v>201</v>
      </c>
      <c r="S98" s="181">
        <f t="shared" si="24"/>
        <v>202</v>
      </c>
      <c r="T98" s="181">
        <f t="shared" si="24"/>
        <v>201</v>
      </c>
      <c r="U98" s="181">
        <f t="shared" si="24"/>
        <v>201</v>
      </c>
      <c r="V98" s="181">
        <f t="shared" si="24"/>
        <v>202</v>
      </c>
      <c r="W98" s="181">
        <f t="shared" si="24"/>
        <v>202</v>
      </c>
      <c r="X98" s="181">
        <f t="shared" si="24"/>
        <v>201</v>
      </c>
      <c r="Y98" s="181">
        <f t="shared" si="24"/>
        <v>201</v>
      </c>
      <c r="Z98" s="259">
        <f t="array" ref="Z98">SUM(B98:Y98*Economics!F$31)</f>
        <v>29431.48799999999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-7</v>
      </c>
      <c r="R100" s="206">
        <f t="shared" si="25"/>
        <v>-6</v>
      </c>
      <c r="S100" s="206">
        <f t="shared" si="25"/>
        <v>-7</v>
      </c>
      <c r="T100" s="206">
        <f t="shared" si="25"/>
        <v>-6</v>
      </c>
      <c r="U100" s="206">
        <f t="shared" si="25"/>
        <v>-6</v>
      </c>
      <c r="V100" s="206">
        <f t="shared" si="25"/>
        <v>-7</v>
      </c>
      <c r="W100" s="206">
        <f t="shared" si="25"/>
        <v>-7</v>
      </c>
      <c r="X100" s="206">
        <f t="shared" si="25"/>
        <v>-6</v>
      </c>
      <c r="Y100" s="206">
        <f t="shared" si="25"/>
        <v>-6</v>
      </c>
      <c r="Z100" s="260">
        <f>Z98-Z99</f>
        <v>926.59199999998236</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202</v>
      </c>
      <c r="R101" s="181">
        <f t="shared" si="26"/>
        <v>201</v>
      </c>
      <c r="S101" s="181">
        <f t="shared" si="26"/>
        <v>202</v>
      </c>
      <c r="T101" s="181">
        <f t="shared" si="26"/>
        <v>201</v>
      </c>
      <c r="U101" s="181">
        <f t="shared" si="26"/>
        <v>201</v>
      </c>
      <c r="V101" s="181">
        <f t="shared" si="26"/>
        <v>202</v>
      </c>
      <c r="W101" s="181">
        <f t="shared" si="26"/>
        <v>202</v>
      </c>
      <c r="X101" s="181">
        <f t="shared" si="26"/>
        <v>201</v>
      </c>
      <c r="Y101" s="181">
        <f t="shared" si="26"/>
        <v>201</v>
      </c>
      <c r="Z101" s="259">
        <f t="array" ref="Z101">SUM(B101:Y101*Economics!F$32)</f>
        <v>29431.48799999999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-2</v>
      </c>
      <c r="R103" s="206">
        <f t="shared" si="27"/>
        <v>-1</v>
      </c>
      <c r="S103" s="206">
        <f t="shared" si="27"/>
        <v>-2</v>
      </c>
      <c r="T103" s="206">
        <f t="shared" si="27"/>
        <v>-1</v>
      </c>
      <c r="U103" s="206">
        <f t="shared" si="27"/>
        <v>-1</v>
      </c>
      <c r="V103" s="206">
        <f t="shared" si="27"/>
        <v>-2</v>
      </c>
      <c r="W103" s="206">
        <f t="shared" si="27"/>
        <v>-2</v>
      </c>
      <c r="X103" s="206">
        <f t="shared" si="27"/>
        <v>-1</v>
      </c>
      <c r="Y103" s="206">
        <f t="shared" si="27"/>
        <v>-1</v>
      </c>
      <c r="Z103" s="260">
        <f>Z101-Z102</f>
        <v>170.68799999998009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
      <c r="A114" s="183" t="str">
        <f>Economics!A36</f>
        <v>Newman 3</v>
      </c>
      <c r="B114" s="181">
        <f t="shared" ref="B114:Y114" si="36">B43</f>
        <v>42</v>
      </c>
      <c r="C114" s="181">
        <f t="shared" si="36"/>
        <v>64</v>
      </c>
      <c r="D114" s="181">
        <f t="shared" si="36"/>
        <v>59</v>
      </c>
      <c r="E114" s="181">
        <f>E43</f>
        <v>55</v>
      </c>
      <c r="F114" s="181">
        <f t="shared" si="36"/>
        <v>70</v>
      </c>
      <c r="G114" s="181">
        <f t="shared" si="36"/>
        <v>99</v>
      </c>
      <c r="H114" s="181">
        <f t="shared" si="36"/>
        <v>77</v>
      </c>
      <c r="I114" s="181">
        <f t="shared" si="36"/>
        <v>46</v>
      </c>
      <c r="J114" s="181">
        <f t="shared" si="36"/>
        <v>46</v>
      </c>
      <c r="K114" s="181">
        <f t="shared" si="36"/>
        <v>51</v>
      </c>
      <c r="L114" s="181">
        <f t="shared" si="36"/>
        <v>50</v>
      </c>
      <c r="M114" s="181">
        <f t="shared" si="36"/>
        <v>44</v>
      </c>
      <c r="N114" s="181">
        <f t="shared" si="36"/>
        <v>41</v>
      </c>
      <c r="O114" s="181">
        <f t="shared" si="36"/>
        <v>38</v>
      </c>
      <c r="P114" s="181">
        <f t="shared" si="36"/>
        <v>38</v>
      </c>
      <c r="Q114" s="181">
        <f t="shared" si="36"/>
        <v>51</v>
      </c>
      <c r="R114" s="181">
        <f t="shared" si="36"/>
        <v>38</v>
      </c>
      <c r="S114" s="181">
        <f t="shared" si="36"/>
        <v>99</v>
      </c>
      <c r="T114" s="181">
        <f t="shared" si="36"/>
        <v>98</v>
      </c>
      <c r="U114" s="181">
        <f t="shared" si="36"/>
        <v>48</v>
      </c>
      <c r="V114" s="181">
        <f t="shared" si="36"/>
        <v>49</v>
      </c>
      <c r="W114" s="181">
        <f t="shared" si="36"/>
        <v>64</v>
      </c>
      <c r="X114" s="181">
        <f t="shared" si="36"/>
        <v>50</v>
      </c>
      <c r="Y114" s="181">
        <f t="shared" si="36"/>
        <v>69</v>
      </c>
      <c r="Z114" s="219">
        <f>SUM(B114:Y114)</f>
        <v>1386</v>
      </c>
      <c r="AA114" s="318" t="s">
        <v>172</v>
      </c>
    </row>
    <row r="115" spans="1:29" x14ac:dyDescent="0.2">
      <c r="A115" s="185">
        <f>Economics!$I36</f>
        <v>1.96</v>
      </c>
      <c r="B115" s="189">
        <f t="shared" ref="B115:Y115" ca="1" si="37">IndGencost(B114,OFFSET(HeatRateStart,1,MATCH($A114,HeatRateNames,0)-1,250,1),$A115)</f>
        <v>21.01689374237969</v>
      </c>
      <c r="C115" s="189">
        <f t="shared" ca="1" si="37"/>
        <v>19.962539138525727</v>
      </c>
      <c r="D115" s="189">
        <f t="shared" ca="1" si="37"/>
        <v>20.096411916554988</v>
      </c>
      <c r="E115" s="189">
        <f ca="1">IndGencost(E114,OFFSET(HeatRateStart,1,MATCH($A114,HeatRateNames,0)-1,250,1),$A115)</f>
        <v>20.237713121154094</v>
      </c>
      <c r="F115" s="189">
        <f t="shared" ca="1" si="37"/>
        <v>19.851160386357989</v>
      </c>
      <c r="G115" s="189">
        <f t="shared" ca="1" si="37"/>
        <v>19.764383010931688</v>
      </c>
      <c r="H115" s="189">
        <f t="shared" ca="1" si="37"/>
        <v>19.773269475751107</v>
      </c>
      <c r="I115" s="189">
        <f t="shared" ca="1" si="37"/>
        <v>20.710297794383504</v>
      </c>
      <c r="J115" s="189">
        <f t="shared" ca="1" si="37"/>
        <v>20.710297794383504</v>
      </c>
      <c r="K115" s="189">
        <f t="shared" ca="1" si="37"/>
        <v>20.417166671883827</v>
      </c>
      <c r="L115" s="189">
        <f t="shared" ca="1" si="37"/>
        <v>20.469064398384099</v>
      </c>
      <c r="M115" s="189">
        <f t="shared" ca="1" si="37"/>
        <v>20.854311314972964</v>
      </c>
      <c r="N115" s="189">
        <f t="shared" ca="1" si="37"/>
        <v>21.105997483951292</v>
      </c>
      <c r="O115" s="189">
        <f t="shared" ca="1" si="37"/>
        <v>21.409493048266363</v>
      </c>
      <c r="P115" s="189">
        <f t="shared" ca="1" si="37"/>
        <v>21.409493048266363</v>
      </c>
      <c r="Q115" s="189">
        <f t="shared" ca="1" si="37"/>
        <v>20.417166671883827</v>
      </c>
      <c r="R115" s="189">
        <f t="shared" ca="1" si="37"/>
        <v>21.409493048266363</v>
      </c>
      <c r="S115" s="189">
        <f t="shared" ca="1" si="37"/>
        <v>19.764383010931688</v>
      </c>
      <c r="T115" s="189">
        <f t="shared" ca="1" si="37"/>
        <v>19.759240384568976</v>
      </c>
      <c r="U115" s="189">
        <f t="shared" ca="1" si="37"/>
        <v>20.582532067259152</v>
      </c>
      <c r="V115" s="189">
        <f t="shared" ca="1" si="37"/>
        <v>20.52412039945564</v>
      </c>
      <c r="W115" s="189">
        <f t="shared" ca="1" si="37"/>
        <v>19.962539138525727</v>
      </c>
      <c r="X115" s="189">
        <f t="shared" ca="1" si="37"/>
        <v>20.469064398384099</v>
      </c>
      <c r="Y115" s="189">
        <f t="shared" ca="1" si="37"/>
        <v>19.866531980860064</v>
      </c>
      <c r="Z115" s="259">
        <f t="array" aca="1" ref="Z115" ca="1">SUM(B114:Y114*B115:Y115)</f>
        <v>28121.410227319717</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-21.01689374237969</v>
      </c>
      <c r="C118" s="188">
        <f t="shared" ca="1" si="39"/>
        <v>-19.962539138525727</v>
      </c>
      <c r="D118" s="188">
        <f t="shared" ca="1" si="39"/>
        <v>-20.096411916554988</v>
      </c>
      <c r="E118" s="188">
        <f t="shared" ca="1" si="39"/>
        <v>-20.237713121154094</v>
      </c>
      <c r="F118" s="188">
        <f t="shared" ca="1" si="39"/>
        <v>-19.851160386357989</v>
      </c>
      <c r="G118" s="188">
        <f t="shared" ca="1" si="39"/>
        <v>-19.764383010931688</v>
      </c>
      <c r="H118" s="188">
        <f t="shared" ca="1" si="39"/>
        <v>-19.773269475751107</v>
      </c>
      <c r="I118" s="188">
        <f t="shared" ca="1" si="39"/>
        <v>-20.710297794383504</v>
      </c>
      <c r="J118" s="188">
        <f t="shared" ca="1" si="39"/>
        <v>-20.710297794383504</v>
      </c>
      <c r="K118" s="188">
        <f t="shared" ca="1" si="39"/>
        <v>-20.417166671883827</v>
      </c>
      <c r="L118" s="188">
        <f t="shared" ca="1" si="39"/>
        <v>-20.469064398384099</v>
      </c>
      <c r="M118" s="188">
        <f t="shared" ca="1" si="39"/>
        <v>-20.854311314972964</v>
      </c>
      <c r="N118" s="188">
        <f t="shared" ca="1" si="39"/>
        <v>-21.105997483951292</v>
      </c>
      <c r="O118" s="188">
        <f t="shared" ca="1" si="39"/>
        <v>-21.409493048266363</v>
      </c>
      <c r="P118" s="188">
        <f t="shared" ca="1" si="39"/>
        <v>-21.409493048266363</v>
      </c>
      <c r="Q118" s="188">
        <f t="shared" ca="1" si="39"/>
        <v>-20.417166671883827</v>
      </c>
      <c r="R118" s="188">
        <f t="shared" ca="1" si="39"/>
        <v>-21.409493048266363</v>
      </c>
      <c r="S118" s="188">
        <f t="shared" ca="1" si="39"/>
        <v>-19.764383010931688</v>
      </c>
      <c r="T118" s="188">
        <f t="shared" ca="1" si="39"/>
        <v>-19.759240384568976</v>
      </c>
      <c r="U118" s="188">
        <f t="shared" ca="1" si="39"/>
        <v>-20.582532067259152</v>
      </c>
      <c r="V118" s="188">
        <f t="shared" ca="1" si="39"/>
        <v>-20.52412039945564</v>
      </c>
      <c r="W118" s="188">
        <f t="shared" ca="1" si="39"/>
        <v>-19.962539138525727</v>
      </c>
      <c r="X118" s="188">
        <f t="shared" ca="1" si="39"/>
        <v>-20.469064398384099</v>
      </c>
      <c r="Y118" s="188">
        <f t="shared" ca="1" si="39"/>
        <v>-19.866531980860064</v>
      </c>
      <c r="Z118" s="260">
        <f ca="1">Z115-Z117</f>
        <v>28121.410227319717</v>
      </c>
    </row>
    <row r="119" spans="1:29" x14ac:dyDescent="0.2">
      <c r="A119" s="183" t="str">
        <f>Economics!A37</f>
        <v>GT 1</v>
      </c>
      <c r="B119" s="181">
        <f t="shared" ref="B119:Y119" si="40">B44</f>
        <v>0</v>
      </c>
      <c r="C119" s="181">
        <f t="shared" si="40"/>
        <v>20</v>
      </c>
      <c r="D119" s="181">
        <f t="shared" si="40"/>
        <v>21</v>
      </c>
      <c r="E119" s="181">
        <f>E44</f>
        <v>20</v>
      </c>
      <c r="F119" s="181">
        <f t="shared" si="40"/>
        <v>21</v>
      </c>
      <c r="G119" s="181">
        <f t="shared" si="40"/>
        <v>21</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103</v>
      </c>
      <c r="AA119" s="318" t="s">
        <v>174</v>
      </c>
    </row>
    <row r="120" spans="1:29" x14ac:dyDescent="0.2">
      <c r="A120" s="185">
        <f>Economics!$I37</f>
        <v>1.96</v>
      </c>
      <c r="B120" s="189">
        <f t="shared" ref="B120:Y120" ca="1" si="41">IndGencost(B119,OFFSET(HeatRateStart,1,MATCH($A119,HeatRateNames,0)-1,250,1),$A120)</f>
        <v>0</v>
      </c>
      <c r="C120" s="189">
        <f t="shared" ca="1" si="41"/>
        <v>33.930736660385129</v>
      </c>
      <c r="D120" s="189">
        <f t="shared" ca="1" si="41"/>
        <v>33.277313434334395</v>
      </c>
      <c r="E120" s="189">
        <f ca="1">IndGencost(E119,OFFSET(HeatRateStart,1,MATCH($A119,HeatRateNames,0)-1,250,1),$A120)</f>
        <v>33.930736660385129</v>
      </c>
      <c r="F120" s="189">
        <f t="shared" ca="1" si="41"/>
        <v>33.277313434334395</v>
      </c>
      <c r="G120" s="189">
        <f t="shared" ca="1" si="41"/>
        <v>33.277313434334395</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3453.7002127784722</v>
      </c>
      <c r="AA120" s="318" t="s">
        <v>167</v>
      </c>
    </row>
    <row r="121" spans="1:29" x14ac:dyDescent="0.2">
      <c r="A121" s="184" t="s">
        <v>163</v>
      </c>
      <c r="B121" s="186">
        <f t="shared" ref="B121:Y121" si="42">B119</f>
        <v>0</v>
      </c>
      <c r="C121" s="186">
        <f t="shared" si="42"/>
        <v>20</v>
      </c>
      <c r="D121" s="186">
        <f t="shared" si="42"/>
        <v>21</v>
      </c>
      <c r="E121" s="186">
        <f t="shared" si="42"/>
        <v>20</v>
      </c>
      <c r="F121" s="186">
        <f t="shared" si="42"/>
        <v>21</v>
      </c>
      <c r="G121" s="186">
        <f t="shared" si="42"/>
        <v>21</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103</v>
      </c>
    </row>
    <row r="122" spans="1:29" x14ac:dyDescent="0.2">
      <c r="A122" s="182"/>
      <c r="B122" s="190">
        <f t="shared" ref="B122:Y122" ca="1" si="43">IndGencost(B121,OFFSET(HeatRateStart,1,MATCH($A119,HeatRateNames,0)-1,250,1),$A120)</f>
        <v>0</v>
      </c>
      <c r="C122" s="190">
        <f t="shared" ca="1" si="43"/>
        <v>33.930736660385129</v>
      </c>
      <c r="D122" s="190">
        <f t="shared" ca="1" si="43"/>
        <v>33.277313434334395</v>
      </c>
      <c r="E122" s="190">
        <f ca="1">IndGencost(E121,OFFSET(HeatRateStart,1,MATCH($A119,HeatRateNames,0)-1,250,1),$A120)</f>
        <v>33.930736660385129</v>
      </c>
      <c r="F122" s="190">
        <f t="shared" ca="1" si="43"/>
        <v>33.277313434334395</v>
      </c>
      <c r="G122" s="190">
        <f t="shared" ca="1" si="43"/>
        <v>33.277313434334395</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3453.7002127784722</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100</v>
      </c>
      <c r="AA124" s="318" t="s">
        <v>174</v>
      </c>
    </row>
    <row r="125" spans="1:29" x14ac:dyDescent="0.2">
      <c r="A125" s="185">
        <f>Economics!$I38</f>
        <v>1.96</v>
      </c>
      <c r="B125" s="189">
        <f t="shared" ref="B125:Y125" ca="1" si="46">IndGencost(B124,OFFSET(HeatRateStart,1,MATCH($A124,HeatRateNames,0)-1,250,1),$A125)</f>
        <v>0</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3393.0736660385128</v>
      </c>
      <c r="AA125" s="318" t="s">
        <v>167</v>
      </c>
    </row>
    <row r="126" spans="1:29" x14ac:dyDescent="0.2">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100</v>
      </c>
    </row>
    <row r="127" spans="1:29" x14ac:dyDescent="0.2">
      <c r="A127" s="182"/>
      <c r="B127" s="190">
        <f t="shared" ref="B127:Y127" ca="1" si="48">IndGencost(B126,OFFSET(HeatRateStart,1,MATCH($A124,HeatRateNames,0)-1,250,1),$A125)</f>
        <v>0</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3393.0736660385128</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127</v>
      </c>
      <c r="C139" s="181">
        <f t="shared" si="59"/>
        <v>0</v>
      </c>
      <c r="D139" s="181">
        <f t="shared" si="59"/>
        <v>0</v>
      </c>
      <c r="E139" s="181">
        <f>E48</f>
        <v>0</v>
      </c>
      <c r="F139" s="181">
        <f t="shared" si="59"/>
        <v>0</v>
      </c>
      <c r="G139" s="181">
        <f t="shared" si="59"/>
        <v>0</v>
      </c>
      <c r="H139" s="181">
        <f t="shared" si="59"/>
        <v>130</v>
      </c>
      <c r="I139" s="181">
        <f t="shared" si="59"/>
        <v>133</v>
      </c>
      <c r="J139" s="181">
        <f t="shared" si="59"/>
        <v>134</v>
      </c>
      <c r="K139" s="181">
        <f t="shared" si="59"/>
        <v>142</v>
      </c>
      <c r="L139" s="181">
        <f t="shared" si="59"/>
        <v>139</v>
      </c>
      <c r="M139" s="181">
        <f t="shared" si="59"/>
        <v>127</v>
      </c>
      <c r="N139" s="181">
        <f t="shared" si="59"/>
        <v>123</v>
      </c>
      <c r="O139" s="181">
        <f t="shared" si="59"/>
        <v>116</v>
      </c>
      <c r="P139" s="181">
        <f t="shared" si="59"/>
        <v>106</v>
      </c>
      <c r="Q139" s="181">
        <f t="shared" si="59"/>
        <v>97</v>
      </c>
      <c r="R139" s="181">
        <f t="shared" si="59"/>
        <v>97</v>
      </c>
      <c r="S139" s="181">
        <f t="shared" si="59"/>
        <v>199</v>
      </c>
      <c r="T139" s="181">
        <f t="shared" si="59"/>
        <v>203</v>
      </c>
      <c r="U139" s="181">
        <f t="shared" si="59"/>
        <v>204</v>
      </c>
      <c r="V139" s="181">
        <f t="shared" si="59"/>
        <v>182</v>
      </c>
      <c r="W139" s="181">
        <f t="shared" si="59"/>
        <v>158</v>
      </c>
      <c r="X139" s="181">
        <f t="shared" si="59"/>
        <v>138</v>
      </c>
      <c r="Y139" s="181">
        <f t="shared" si="59"/>
        <v>154</v>
      </c>
      <c r="Z139" s="219">
        <f>SUM(B139:Y139)</f>
        <v>2709</v>
      </c>
      <c r="AA139" s="318" t="s">
        <v>174</v>
      </c>
    </row>
    <row r="140" spans="1:27" x14ac:dyDescent="0.2">
      <c r="A140" s="185">
        <f>Economics!$I41</f>
        <v>1.96</v>
      </c>
      <c r="B140" s="189">
        <f t="shared" ref="B140:Y140" ca="1" si="60">IndGencost(B139,OFFSET(HeatRateStart,1,MATCH($A139,HeatRateNames,0)-1,250,1),$A140)</f>
        <v>19.663016247782799</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19.539476861830234</v>
      </c>
      <c r="I140" s="189">
        <f t="shared" ca="1" si="60"/>
        <v>19.42344807055985</v>
      </c>
      <c r="J140" s="189">
        <f t="shared" ca="1" si="60"/>
        <v>19.386353640177248</v>
      </c>
      <c r="K140" s="189">
        <f t="shared" ca="1" si="60"/>
        <v>19.115665028775627</v>
      </c>
      <c r="L140" s="189">
        <f t="shared" ca="1" si="60"/>
        <v>19.211977082076</v>
      </c>
      <c r="M140" s="189">
        <f t="shared" ca="1" si="60"/>
        <v>19.663016247782799</v>
      </c>
      <c r="N140" s="189">
        <f t="shared" ca="1" si="60"/>
        <v>19.84036842570892</v>
      </c>
      <c r="O140" s="189">
        <f t="shared" ca="1" si="60"/>
        <v>20.189668325911796</v>
      </c>
      <c r="P140" s="189">
        <f t="shared" ca="1" si="60"/>
        <v>20.791654728662589</v>
      </c>
      <c r="Q140" s="189">
        <f t="shared" ca="1" si="60"/>
        <v>21.464801860918516</v>
      </c>
      <c r="R140" s="189">
        <f t="shared" ca="1" si="60"/>
        <v>21.464801860918516</v>
      </c>
      <c r="S140" s="189">
        <f t="shared" ca="1" si="60"/>
        <v>18.083492641170409</v>
      </c>
      <c r="T140" s="189">
        <f t="shared" ca="1" si="60"/>
        <v>18.050031509854808</v>
      </c>
      <c r="U140" s="189">
        <f t="shared" ca="1" si="60"/>
        <v>18.042222120092266</v>
      </c>
      <c r="V140" s="189">
        <f t="shared" ca="1" si="60"/>
        <v>18.270190998972605</v>
      </c>
      <c r="W140" s="189">
        <f t="shared" ca="1" si="60"/>
        <v>18.69131358186014</v>
      </c>
      <c r="X140" s="189">
        <f t="shared" ca="1" si="60"/>
        <v>19.245426583090488</v>
      </c>
      <c r="Y140" s="189">
        <f t="shared" ca="1" si="60"/>
        <v>18.78467299069213</v>
      </c>
      <c r="Z140" s="259">
        <f t="array" aca="1" ref="Z140" ca="1">SUM(B139:Y139*B140:Y140)</f>
        <v>52021.466714434326</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0.58101920404769913</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v>
      </c>
      <c r="I143" s="188">
        <f t="shared" ca="1" si="62"/>
        <v>0.82058738127064856</v>
      </c>
      <c r="J143" s="188">
        <f t="shared" ca="1" si="62"/>
        <v>0.85768181165325075</v>
      </c>
      <c r="K143" s="188">
        <f t="shared" ca="1" si="62"/>
        <v>1.1283704230548715</v>
      </c>
      <c r="L143" s="188">
        <f t="shared" ca="1" si="62"/>
        <v>1.0320583697544983</v>
      </c>
      <c r="M143" s="188">
        <f t="shared" ca="1" si="62"/>
        <v>0.58101920404769913</v>
      </c>
      <c r="N143" s="188">
        <f t="shared" ca="1" si="62"/>
        <v>0.40366702612157823</v>
      </c>
      <c r="O143" s="188">
        <f t="shared" ca="1" si="62"/>
        <v>5.4367125918702186E-2</v>
      </c>
      <c r="P143" s="188">
        <f t="shared" ca="1" si="62"/>
        <v>-0.54761927683209066</v>
      </c>
      <c r="Q143" s="188">
        <f t="shared" ca="1" si="62"/>
        <v>-1.2207664090880179</v>
      </c>
      <c r="R143" s="188">
        <f t="shared" ca="1" si="62"/>
        <v>-1.2207664090880179</v>
      </c>
      <c r="S143" s="188">
        <f t="shared" ca="1" si="62"/>
        <v>2.1605428106600897</v>
      </c>
      <c r="T143" s="188">
        <f t="shared" ca="1" si="62"/>
        <v>0.18146952416935846</v>
      </c>
      <c r="U143" s="188">
        <f t="shared" ca="1" si="62"/>
        <v>0.18927891393190066</v>
      </c>
      <c r="V143" s="188">
        <f t="shared" ca="1" si="62"/>
        <v>0.18357236371761942</v>
      </c>
      <c r="W143" s="188">
        <f t="shared" ca="1" si="62"/>
        <v>-0.14580662909556352</v>
      </c>
      <c r="X143" s="188">
        <f t="shared" ca="1" si="62"/>
        <v>-0.22031122763718258</v>
      </c>
      <c r="Y143" s="188">
        <f t="shared" ca="1" si="62"/>
        <v>0.24044236476117575</v>
      </c>
      <c r="Z143" s="260">
        <f ca="1">Z140-Z142</f>
        <v>-9692.5967825905027</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9</v>
      </c>
      <c r="T144" s="181">
        <f t="shared" si="63"/>
        <v>52</v>
      </c>
      <c r="U144" s="181">
        <v>0</v>
      </c>
      <c r="V144" s="181">
        <v>0</v>
      </c>
      <c r="W144" s="181">
        <v>0</v>
      </c>
      <c r="X144" s="181">
        <f>X49</f>
        <v>0</v>
      </c>
      <c r="Y144" s="181">
        <f>Y49</f>
        <v>0</v>
      </c>
      <c r="Z144" s="219">
        <f>SUM(B144:Y144)</f>
        <v>61</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71.632800338170625</v>
      </c>
      <c r="T145" s="189">
        <f t="shared" ca="1" si="64"/>
        <v>26.365005283596798</v>
      </c>
      <c r="U145" s="189">
        <f t="shared" ca="1" si="64"/>
        <v>0</v>
      </c>
      <c r="V145" s="189">
        <f t="shared" ca="1" si="64"/>
        <v>0</v>
      </c>
      <c r="W145" s="189">
        <f t="shared" ca="1" si="64"/>
        <v>0</v>
      </c>
      <c r="X145" s="189">
        <f t="shared" ca="1" si="64"/>
        <v>0</v>
      </c>
      <c r="Y145" s="189">
        <f t="shared" ca="1" si="64"/>
        <v>0</v>
      </c>
      <c r="Z145" s="259">
        <f t="array" aca="1" ref="Z145" ca="1">SUM(B144:Y144*B145:Y145)</f>
        <v>2015.6754777905692</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9</v>
      </c>
      <c r="T146" s="186">
        <f t="shared" si="65"/>
        <v>52</v>
      </c>
      <c r="U146" s="186"/>
      <c r="V146" s="186"/>
      <c r="W146" s="186"/>
      <c r="X146" s="186">
        <f>X144</f>
        <v>0</v>
      </c>
      <c r="Y146" s="186">
        <f>Y144</f>
        <v>0</v>
      </c>
      <c r="Z146" s="220">
        <f>SUM(B146:Y146)</f>
        <v>61</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71.632800338170625</v>
      </c>
      <c r="T147" s="190">
        <f t="shared" ca="1" si="66"/>
        <v>26.365005283596798</v>
      </c>
      <c r="U147" s="190">
        <f t="shared" ca="1" si="66"/>
        <v>0</v>
      </c>
      <c r="V147" s="190">
        <f t="shared" ca="1" si="66"/>
        <v>0</v>
      </c>
      <c r="W147" s="190">
        <f t="shared" ca="1" si="66"/>
        <v>0</v>
      </c>
      <c r="X147" s="190">
        <f t="shared" ca="1" si="66"/>
        <v>0</v>
      </c>
      <c r="Y147" s="190">
        <f t="shared" ca="1" si="66"/>
        <v>0</v>
      </c>
      <c r="Z147" s="258">
        <f t="array" aca="1" ref="Z147" ca="1">SUM(B146:Y146*B147:Y147)</f>
        <v>2015.6754777905692</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27</v>
      </c>
      <c r="C149" s="181">
        <f t="shared" si="68"/>
        <v>27</v>
      </c>
      <c r="D149" s="181">
        <f t="shared" si="68"/>
        <v>27</v>
      </c>
      <c r="E149" s="181">
        <f>E50</f>
        <v>27</v>
      </c>
      <c r="F149" s="181">
        <f t="shared" si="68"/>
        <v>27</v>
      </c>
      <c r="G149" s="181">
        <f t="shared" si="68"/>
        <v>27</v>
      </c>
      <c r="H149" s="181">
        <f t="shared" si="68"/>
        <v>27</v>
      </c>
      <c r="I149" s="181">
        <f t="shared" si="68"/>
        <v>27</v>
      </c>
      <c r="J149" s="181">
        <f t="shared" si="68"/>
        <v>27</v>
      </c>
      <c r="K149" s="181">
        <f t="shared" si="68"/>
        <v>27</v>
      </c>
      <c r="L149" s="181">
        <f t="shared" si="68"/>
        <v>27</v>
      </c>
      <c r="M149" s="181">
        <f t="shared" si="68"/>
        <v>27</v>
      </c>
      <c r="N149" s="181">
        <f t="shared" si="68"/>
        <v>27</v>
      </c>
      <c r="O149" s="181">
        <f t="shared" si="68"/>
        <v>25</v>
      </c>
      <c r="P149" s="181">
        <f t="shared" si="68"/>
        <v>27</v>
      </c>
      <c r="Q149" s="181">
        <f t="shared" si="68"/>
        <v>27</v>
      </c>
      <c r="R149" s="181">
        <f t="shared" si="68"/>
        <v>27</v>
      </c>
      <c r="S149" s="181">
        <f t="shared" si="68"/>
        <v>28</v>
      </c>
      <c r="T149" s="181">
        <f t="shared" si="68"/>
        <v>31</v>
      </c>
      <c r="U149" s="181">
        <f t="shared" si="68"/>
        <v>37</v>
      </c>
      <c r="V149" s="181">
        <f t="shared" si="68"/>
        <v>38</v>
      </c>
      <c r="W149" s="181">
        <f t="shared" si="68"/>
        <v>28</v>
      </c>
      <c r="X149" s="181">
        <f t="shared" si="68"/>
        <v>28</v>
      </c>
      <c r="Y149" s="181">
        <f t="shared" si="68"/>
        <v>29</v>
      </c>
      <c r="Z149" s="219">
        <f>SUM(B149:Y149)</f>
        <v>676</v>
      </c>
      <c r="AA149" s="318" t="s">
        <v>178</v>
      </c>
    </row>
    <row r="150" spans="1:27" x14ac:dyDescent="0.2">
      <c r="A150" s="185">
        <f>Economics!$I43</f>
        <v>2.09</v>
      </c>
      <c r="B150" s="189">
        <f t="shared" ref="B150:Y150" ca="1" si="69">IndGencost(B149,OFFSET(HeatRateStart,1,MATCH($A149,HeatRateNames,0)-1,250,1),$A150)</f>
        <v>26.095054879086852</v>
      </c>
      <c r="C150" s="189">
        <f t="shared" ca="1" si="69"/>
        <v>26.095054879086852</v>
      </c>
      <c r="D150" s="189">
        <f t="shared" ca="1" si="69"/>
        <v>26.095054879086852</v>
      </c>
      <c r="E150" s="189">
        <f ca="1">IndGencost(E149,OFFSET(HeatRateStart,1,MATCH($A149,HeatRateNames,0)-1,250,1),$A150)</f>
        <v>26.095054879086852</v>
      </c>
      <c r="F150" s="189">
        <f t="shared" ca="1" si="69"/>
        <v>26.095054879086852</v>
      </c>
      <c r="G150" s="189">
        <f t="shared" ca="1" si="69"/>
        <v>26.095054879086852</v>
      </c>
      <c r="H150" s="189">
        <f t="shared" ca="1" si="69"/>
        <v>26.095054879086852</v>
      </c>
      <c r="I150" s="189">
        <f t="shared" ca="1" si="69"/>
        <v>26.095054879086852</v>
      </c>
      <c r="J150" s="189">
        <f t="shared" ca="1" si="69"/>
        <v>26.095054879086852</v>
      </c>
      <c r="K150" s="189">
        <f t="shared" ca="1" si="69"/>
        <v>26.095054879086852</v>
      </c>
      <c r="L150" s="189">
        <f t="shared" ca="1" si="69"/>
        <v>26.095054879086852</v>
      </c>
      <c r="M150" s="189">
        <f t="shared" ca="1" si="69"/>
        <v>26.095054879086852</v>
      </c>
      <c r="N150" s="189">
        <f t="shared" ca="1" si="69"/>
        <v>26.095054879086852</v>
      </c>
      <c r="O150" s="189">
        <f t="shared" ca="1" si="69"/>
        <v>26.372360866957905</v>
      </c>
      <c r="P150" s="189">
        <f t="shared" ca="1" si="69"/>
        <v>26.095054879086852</v>
      </c>
      <c r="Q150" s="189">
        <f t="shared" ca="1" si="69"/>
        <v>26.095054879086852</v>
      </c>
      <c r="R150" s="189">
        <f t="shared" ca="1" si="69"/>
        <v>26.095054879086852</v>
      </c>
      <c r="S150" s="189">
        <f t="shared" ca="1" si="69"/>
        <v>25.98161358729056</v>
      </c>
      <c r="T150" s="189">
        <f t="shared" ca="1" si="69"/>
        <v>25.72261778331853</v>
      </c>
      <c r="U150" s="189">
        <f t="shared" ca="1" si="69"/>
        <v>25.471689977459551</v>
      </c>
      <c r="V150" s="189">
        <f t="shared" ca="1" si="69"/>
        <v>25.45537769461594</v>
      </c>
      <c r="W150" s="189">
        <f t="shared" ca="1" si="69"/>
        <v>25.98161358729056</v>
      </c>
      <c r="X150" s="189">
        <f t="shared" ca="1" si="69"/>
        <v>25.98161358729056</v>
      </c>
      <c r="Y150" s="189">
        <f t="shared" ca="1" si="69"/>
        <v>25.882661779482326</v>
      </c>
      <c r="Z150" s="259">
        <f t="array" aca="1" ref="Z150" ca="1">SUM(B149:Y149*B150:Y150)</f>
        <v>17572.583495221144</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-26.095054879086852</v>
      </c>
      <c r="C153" s="188">
        <f t="shared" ca="1" si="71"/>
        <v>-26.095054879086852</v>
      </c>
      <c r="D153" s="188">
        <f t="shared" ca="1" si="71"/>
        <v>-26.095054879086852</v>
      </c>
      <c r="E153" s="188">
        <f t="shared" ca="1" si="71"/>
        <v>-26.095054879086852</v>
      </c>
      <c r="F153" s="188">
        <f t="shared" ca="1" si="71"/>
        <v>-26.095054879086852</v>
      </c>
      <c r="G153" s="188">
        <f t="shared" ca="1" si="71"/>
        <v>-26.095054879086852</v>
      </c>
      <c r="H153" s="188">
        <f t="shared" ca="1" si="71"/>
        <v>-26.095054879086852</v>
      </c>
      <c r="I153" s="188">
        <f t="shared" ca="1" si="71"/>
        <v>-26.095054879086852</v>
      </c>
      <c r="J153" s="188">
        <f t="shared" ca="1" si="71"/>
        <v>-26.095054879086852</v>
      </c>
      <c r="K153" s="188">
        <f t="shared" ca="1" si="71"/>
        <v>-26.095054879086852</v>
      </c>
      <c r="L153" s="188">
        <f t="shared" ca="1" si="71"/>
        <v>-26.095054879086852</v>
      </c>
      <c r="M153" s="188">
        <f t="shared" ca="1" si="71"/>
        <v>-26.095054879086852</v>
      </c>
      <c r="N153" s="188">
        <f t="shared" ca="1" si="71"/>
        <v>-26.095054879086852</v>
      </c>
      <c r="O153" s="188">
        <f t="shared" ca="1" si="71"/>
        <v>-26.372360866957905</v>
      </c>
      <c r="P153" s="188">
        <f t="shared" ca="1" si="71"/>
        <v>-26.095054879086852</v>
      </c>
      <c r="Q153" s="188">
        <f t="shared" ca="1" si="71"/>
        <v>-26.095054879086852</v>
      </c>
      <c r="R153" s="188">
        <f t="shared" ca="1" si="71"/>
        <v>-26.095054879086852</v>
      </c>
      <c r="S153" s="188">
        <f t="shared" ca="1" si="71"/>
        <v>-25.98161358729056</v>
      </c>
      <c r="T153" s="188">
        <f t="shared" ca="1" si="71"/>
        <v>-25.72261778331853</v>
      </c>
      <c r="U153" s="188">
        <f t="shared" ca="1" si="71"/>
        <v>-25.471689977459551</v>
      </c>
      <c r="V153" s="188">
        <f t="shared" ca="1" si="71"/>
        <v>-25.45537769461594</v>
      </c>
      <c r="W153" s="188">
        <f t="shared" ca="1" si="71"/>
        <v>-25.98161358729056</v>
      </c>
      <c r="X153" s="188">
        <f t="shared" ca="1" si="71"/>
        <v>-25.98161358729056</v>
      </c>
      <c r="Y153" s="188">
        <f t="shared" ca="1" si="71"/>
        <v>-25.882661779482326</v>
      </c>
      <c r="Z153" s="260">
        <f ca="1">Z150-Z152</f>
        <v>17572.583495221144</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884</v>
      </c>
      <c r="C164" s="303">
        <f t="shared" si="80"/>
        <v>776</v>
      </c>
      <c r="D164" s="303">
        <f t="shared" si="80"/>
        <v>772</v>
      </c>
      <c r="E164" s="303">
        <f t="shared" si="80"/>
        <v>768</v>
      </c>
      <c r="F164" s="303">
        <f t="shared" si="80"/>
        <v>783</v>
      </c>
      <c r="G164" s="303">
        <f t="shared" si="80"/>
        <v>810</v>
      </c>
      <c r="H164" s="303">
        <f t="shared" si="80"/>
        <v>879</v>
      </c>
      <c r="I164" s="303">
        <f t="shared" si="80"/>
        <v>851</v>
      </c>
      <c r="J164" s="303">
        <f t="shared" si="80"/>
        <v>852</v>
      </c>
      <c r="K164" s="303">
        <f t="shared" si="80"/>
        <v>865</v>
      </c>
      <c r="L164" s="303">
        <f t="shared" si="80"/>
        <v>861</v>
      </c>
      <c r="M164" s="303" t="e">
        <f t="shared" si="80"/>
        <v>#REF!</v>
      </c>
      <c r="N164" s="303">
        <f t="shared" si="80"/>
        <v>836</v>
      </c>
      <c r="O164" s="303">
        <f t="shared" si="80"/>
        <v>824</v>
      </c>
      <c r="P164" s="303">
        <f t="shared" si="80"/>
        <v>817</v>
      </c>
      <c r="Q164" s="303">
        <f t="shared" si="80"/>
        <v>824</v>
      </c>
      <c r="R164" s="303">
        <f t="shared" si="80"/>
        <v>808</v>
      </c>
      <c r="S164" s="303">
        <f t="shared" si="80"/>
        <v>1017</v>
      </c>
      <c r="T164" s="303">
        <f t="shared" si="80"/>
        <v>1063</v>
      </c>
      <c r="U164" s="303">
        <f t="shared" si="80"/>
        <v>968</v>
      </c>
      <c r="V164" s="303">
        <f t="shared" si="80"/>
        <v>950</v>
      </c>
      <c r="W164" s="303">
        <f t="shared" si="80"/>
        <v>897</v>
      </c>
      <c r="X164" s="303">
        <f t="shared" si="80"/>
        <v>861</v>
      </c>
      <c r="Y164" s="304">
        <f t="shared" si="80"/>
        <v>897</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918</v>
      </c>
      <c r="D165" s="306">
        <f t="shared" si="81"/>
        <v>889</v>
      </c>
      <c r="E165" s="306">
        <f t="shared" si="81"/>
        <v>888</v>
      </c>
      <c r="F165" s="306">
        <f t="shared" si="81"/>
        <v>899</v>
      </c>
      <c r="G165" s="306">
        <f t="shared" si="81"/>
        <v>909</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939</v>
      </c>
      <c r="T165" s="306">
        <f t="shared" si="81"/>
        <v>1081</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
      <c r="A166" s="330" t="s">
        <v>184</v>
      </c>
      <c r="B166" s="331">
        <f t="shared" ref="B166:Y166" si="82">B165-B164</f>
        <v>95</v>
      </c>
      <c r="C166" s="331">
        <f t="shared" si="82"/>
        <v>142</v>
      </c>
      <c r="D166" s="331">
        <f t="shared" si="82"/>
        <v>117</v>
      </c>
      <c r="E166" s="331">
        <f t="shared" si="82"/>
        <v>120</v>
      </c>
      <c r="F166" s="331">
        <f t="shared" si="82"/>
        <v>116</v>
      </c>
      <c r="G166" s="331">
        <f t="shared" si="82"/>
        <v>99</v>
      </c>
      <c r="H166" s="331">
        <f t="shared" si="82"/>
        <v>15</v>
      </c>
      <c r="I166" s="331">
        <f t="shared" si="82"/>
        <v>28</v>
      </c>
      <c r="J166" s="331">
        <f t="shared" si="82"/>
        <v>27</v>
      </c>
      <c r="K166" s="331">
        <f t="shared" si="82"/>
        <v>14</v>
      </c>
      <c r="L166" s="331">
        <f t="shared" si="82"/>
        <v>69</v>
      </c>
      <c r="M166" s="331" t="e">
        <f t="shared" si="82"/>
        <v>#REF!</v>
      </c>
      <c r="N166" s="331">
        <f t="shared" si="82"/>
        <v>94</v>
      </c>
      <c r="O166" s="331">
        <f t="shared" si="82"/>
        <v>106</v>
      </c>
      <c r="P166" s="331">
        <f t="shared" si="82"/>
        <v>113</v>
      </c>
      <c r="Q166" s="331">
        <f t="shared" si="82"/>
        <v>106</v>
      </c>
      <c r="R166" s="331">
        <f t="shared" si="82"/>
        <v>122</v>
      </c>
      <c r="S166" s="331">
        <f t="shared" si="82"/>
        <v>-78</v>
      </c>
      <c r="T166" s="331">
        <f t="shared" si="82"/>
        <v>18</v>
      </c>
      <c r="U166" s="331">
        <f t="shared" si="82"/>
        <v>86</v>
      </c>
      <c r="V166" s="331">
        <f t="shared" si="82"/>
        <v>18</v>
      </c>
      <c r="W166" s="331">
        <f t="shared" si="82"/>
        <v>41</v>
      </c>
      <c r="X166" s="331">
        <f t="shared" si="82"/>
        <v>48</v>
      </c>
      <c r="Y166" s="332">
        <f t="shared" si="82"/>
        <v>12</v>
      </c>
      <c r="Z166" s="336" t="e">
        <f>SUM(B166:Y166)</f>
        <v>#REF!</v>
      </c>
    </row>
    <row r="167" spans="1:27" s="325" customFormat="1" ht="32.25" customHeight="1" thickBot="1" x14ac:dyDescent="0.25">
      <c r="A167" s="333" t="s">
        <v>185</v>
      </c>
      <c r="B167" s="334">
        <f t="shared" ref="B167:Y167" ca="1" si="83">B58</f>
        <v>0</v>
      </c>
      <c r="C167" s="334">
        <f t="shared" ca="1" si="83"/>
        <v>-1</v>
      </c>
      <c r="D167" s="334">
        <f t="shared" ca="1" si="83"/>
        <v>-7</v>
      </c>
      <c r="E167" s="334">
        <f ca="1">E58</f>
        <v>-4</v>
      </c>
      <c r="F167" s="334">
        <f t="shared" ca="1" si="83"/>
        <v>2</v>
      </c>
      <c r="G167" s="334">
        <f t="shared" ca="1" si="83"/>
        <v>-9</v>
      </c>
      <c r="H167" s="334">
        <f t="shared" ca="1" si="83"/>
        <v>4</v>
      </c>
      <c r="I167" s="334">
        <f t="shared" ca="1" si="83"/>
        <v>0</v>
      </c>
      <c r="J167" s="334">
        <f t="shared" ca="1" si="83"/>
        <v>-4</v>
      </c>
      <c r="K167" s="334">
        <f t="shared" ca="1" si="83"/>
        <v>-5</v>
      </c>
      <c r="L167" s="334">
        <f t="shared" ca="1" si="83"/>
        <v>-7</v>
      </c>
      <c r="M167" s="334">
        <f t="shared" ca="1" si="83"/>
        <v>-6</v>
      </c>
      <c r="N167" s="334">
        <f t="shared" ca="1" si="83"/>
        <v>-6</v>
      </c>
      <c r="O167" s="334">
        <f t="shared" ca="1" si="83"/>
        <v>-5</v>
      </c>
      <c r="P167" s="334">
        <f t="shared" ca="1" si="83"/>
        <v>-2</v>
      </c>
      <c r="Q167" s="334">
        <f t="shared" ca="1" si="83"/>
        <v>-5</v>
      </c>
      <c r="R167" s="334">
        <f t="shared" ca="1" si="83"/>
        <v>-9</v>
      </c>
      <c r="S167" s="334">
        <f t="shared" ca="1" si="83"/>
        <v>11</v>
      </c>
      <c r="T167" s="334">
        <f t="shared" ca="1" si="83"/>
        <v>6</v>
      </c>
      <c r="U167" s="334">
        <f t="shared" ca="1" si="83"/>
        <v>-6</v>
      </c>
      <c r="V167" s="334">
        <f t="shared" ca="1" si="83"/>
        <v>-1</v>
      </c>
      <c r="W167" s="334">
        <f t="shared" ca="1" si="83"/>
        <v>1</v>
      </c>
      <c r="X167" s="334">
        <f t="shared" ca="1" si="83"/>
        <v>5</v>
      </c>
      <c r="Y167" s="335">
        <f t="shared" ca="1" si="83"/>
        <v>1</v>
      </c>
      <c r="Z167" s="323">
        <f ca="1">SUM(B167:Y167)</f>
        <v>-47</v>
      </c>
      <c r="AA167" s="324"/>
    </row>
    <row r="168" spans="1:27" ht="13.5" hidden="1" thickBot="1" x14ac:dyDescent="0.25">
      <c r="A168" s="326" t="s">
        <v>186</v>
      </c>
      <c r="B168" s="327">
        <f t="shared" ref="B168:Y168" ca="1" si="84">B167+B166</f>
        <v>95</v>
      </c>
      <c r="C168" s="327">
        <f t="shared" ca="1" si="84"/>
        <v>141</v>
      </c>
      <c r="D168" s="327">
        <f t="shared" ca="1" si="84"/>
        <v>110</v>
      </c>
      <c r="E168" s="327">
        <f t="shared" ca="1" si="84"/>
        <v>116</v>
      </c>
      <c r="F168" s="327">
        <f t="shared" ca="1" si="84"/>
        <v>118</v>
      </c>
      <c r="G168" s="327">
        <f t="shared" ca="1" si="84"/>
        <v>90</v>
      </c>
      <c r="H168" s="327">
        <f t="shared" ca="1" si="84"/>
        <v>19</v>
      </c>
      <c r="I168" s="327">
        <f t="shared" ca="1" si="84"/>
        <v>28</v>
      </c>
      <c r="J168" s="327">
        <f t="shared" ca="1" si="84"/>
        <v>23</v>
      </c>
      <c r="K168" s="327">
        <f t="shared" ca="1" si="84"/>
        <v>9</v>
      </c>
      <c r="L168" s="327">
        <f t="shared" ca="1" si="84"/>
        <v>62</v>
      </c>
      <c r="M168" s="327" t="e">
        <f t="shared" ca="1" si="84"/>
        <v>#REF!</v>
      </c>
      <c r="N168" s="327">
        <f t="shared" ca="1" si="84"/>
        <v>88</v>
      </c>
      <c r="O168" s="327">
        <f t="shared" ca="1" si="84"/>
        <v>101</v>
      </c>
      <c r="P168" s="327">
        <f t="shared" ca="1" si="84"/>
        <v>111</v>
      </c>
      <c r="Q168" s="327">
        <f t="shared" ca="1" si="84"/>
        <v>101</v>
      </c>
      <c r="R168" s="327">
        <f t="shared" ca="1" si="84"/>
        <v>113</v>
      </c>
      <c r="S168" s="327">
        <f t="shared" ca="1" si="84"/>
        <v>-67</v>
      </c>
      <c r="T168" s="327">
        <f t="shared" ca="1" si="84"/>
        <v>24</v>
      </c>
      <c r="U168" s="327">
        <f t="shared" ca="1" si="84"/>
        <v>80</v>
      </c>
      <c r="V168" s="327">
        <f t="shared" ca="1" si="84"/>
        <v>17</v>
      </c>
      <c r="W168" s="327">
        <f t="shared" ca="1" si="84"/>
        <v>42</v>
      </c>
      <c r="X168" s="327">
        <f t="shared" ca="1" si="84"/>
        <v>53</v>
      </c>
      <c r="Y168" s="327">
        <f t="shared" ca="1" si="84"/>
        <v>13</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230</v>
      </c>
      <c r="C171" s="338">
        <f t="shared" si="85"/>
        <v>183</v>
      </c>
      <c r="D171" s="338">
        <f t="shared" si="85"/>
        <v>188</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191</v>
      </c>
      <c r="F171" s="338">
        <f t="shared" si="85"/>
        <v>177</v>
      </c>
      <c r="G171" s="338">
        <f t="shared" si="85"/>
        <v>150</v>
      </c>
      <c r="H171" s="338">
        <f t="shared" si="85"/>
        <v>165</v>
      </c>
      <c r="I171" s="338">
        <f t="shared" si="85"/>
        <v>193</v>
      </c>
      <c r="J171" s="338">
        <f t="shared" si="85"/>
        <v>192</v>
      </c>
      <c r="K171" s="338">
        <f t="shared" si="85"/>
        <v>179</v>
      </c>
      <c r="L171" s="338">
        <f t="shared" si="85"/>
        <v>183</v>
      </c>
      <c r="M171" s="338">
        <f t="shared" si="85"/>
        <v>140</v>
      </c>
      <c r="N171" s="338">
        <f t="shared" si="85"/>
        <v>206</v>
      </c>
      <c r="O171" s="338">
        <f t="shared" si="85"/>
        <v>209</v>
      </c>
      <c r="P171" s="338">
        <f t="shared" si="85"/>
        <v>208</v>
      </c>
      <c r="Q171" s="338">
        <f t="shared" si="85"/>
        <v>192</v>
      </c>
      <c r="R171" s="338">
        <f t="shared" si="85"/>
        <v>208</v>
      </c>
      <c r="S171" s="338">
        <f t="shared" si="85"/>
        <v>157</v>
      </c>
      <c r="T171" s="338">
        <f t="shared" si="85"/>
        <v>116</v>
      </c>
      <c r="U171" s="338">
        <f t="shared" si="85"/>
        <v>147</v>
      </c>
      <c r="V171" s="338">
        <f t="shared" si="85"/>
        <v>165</v>
      </c>
      <c r="W171" s="338">
        <f t="shared" si="85"/>
        <v>148</v>
      </c>
      <c r="X171" s="338">
        <f t="shared" si="85"/>
        <v>184</v>
      </c>
      <c r="Y171" s="339">
        <f t="shared" si="85"/>
        <v>148</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228</v>
      </c>
      <c r="G172" s="341">
        <f t="shared" si="86"/>
        <v>228</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228</v>
      </c>
      <c r="T172" s="341">
        <f t="shared" si="86"/>
        <v>130</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8407.9358552631584</v>
      </c>
      <c r="F14" s="33">
        <f>(D14*$C$6)+(C14*$C$7)</f>
        <v>2.09</v>
      </c>
      <c r="G14" s="32">
        <f ca="1">E14*F14</f>
        <v>17572.5859375</v>
      </c>
      <c r="H14" s="33"/>
    </row>
    <row r="15" spans="1:8" x14ac:dyDescent="0.2">
      <c r="B15" s="236" t="s">
        <v>18</v>
      </c>
      <c r="E15" s="34">
        <f ca="1">SUM(E12:E14)</f>
        <v>8407.9358552631584</v>
      </c>
      <c r="F15" s="35"/>
      <c r="G15" s="34">
        <f ca="1">SUM(G12:G14)</f>
        <v>17572.5859375</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2625.2316844706634</v>
      </c>
      <c r="F18" s="35">
        <f>C18*G7+D18*G6</f>
        <v>1.96</v>
      </c>
      <c r="G18" s="34">
        <f ca="1">F18*E18</f>
        <v>5145.4541015625</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26541.563695790817</v>
      </c>
      <c r="F22" s="33">
        <f>IF($I$22=1,C22*$C$8,C22*$G$7)+IF($J$22=1,D22*$C$6,D22*$G$6)</f>
        <v>1.96</v>
      </c>
      <c r="G22" s="32">
        <f t="shared" ref="G22:G29" ca="1" si="0">F22*E22</f>
        <v>52021.46484375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14347.65625</v>
      </c>
      <c r="F25" s="33">
        <f t="shared" si="1"/>
        <v>1.96</v>
      </c>
      <c r="G25" s="32">
        <f t="shared" ca="1" si="0"/>
        <v>28121.40625</v>
      </c>
      <c r="I25" s="31"/>
      <c r="J25" s="31"/>
      <c r="K25" s="31"/>
    </row>
    <row r="26" spans="1:12" x14ac:dyDescent="0.2">
      <c r="B26" s="234" t="s">
        <v>47</v>
      </c>
      <c r="C26" s="235">
        <v>1</v>
      </c>
      <c r="D26" s="235">
        <v>0</v>
      </c>
      <c r="E26" s="32">
        <f ca="1">-INDEX(Economics!$A$34:$D$45,MATCH(Fuel!B26,Economics!$A$34:$A$45,0),4)/Fuel!F26</f>
        <v>0</v>
      </c>
      <c r="F26" s="33">
        <f t="shared" si="1"/>
        <v>1.96</v>
      </c>
      <c r="G26" s="32">
        <f t="shared" ca="1" si="0"/>
        <v>0</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1762.0919363839287</v>
      </c>
      <c r="F28" s="33">
        <f t="shared" si="1"/>
        <v>1.96</v>
      </c>
      <c r="G28" s="32">
        <f t="shared" ca="1" si="0"/>
        <v>3453.7001953125</v>
      </c>
      <c r="I28" s="31"/>
      <c r="J28" s="31"/>
      <c r="K28" s="31"/>
    </row>
    <row r="29" spans="1:12" x14ac:dyDescent="0.2">
      <c r="B29" s="234" t="s">
        <v>50</v>
      </c>
      <c r="C29" s="235">
        <v>1</v>
      </c>
      <c r="D29" s="235">
        <v>0</v>
      </c>
      <c r="E29" s="32">
        <f ca="1">-INDEX(Economics!$A$34:$D$45,MATCH(Fuel!B29,Economics!$A$34:$A$45,0),4)/Fuel!F29</f>
        <v>1731.1601911272321</v>
      </c>
      <c r="F29" s="33">
        <f t="shared" si="1"/>
        <v>1.96</v>
      </c>
      <c r="G29" s="32">
        <f t="shared" ca="1" si="0"/>
        <v>3393.073974609375</v>
      </c>
      <c r="I29" s="31"/>
      <c r="J29" s="31"/>
      <c r="K29" s="31"/>
    </row>
    <row r="30" spans="1:12" x14ac:dyDescent="0.2">
      <c r="B30" s="236"/>
      <c r="C30" s="36"/>
      <c r="D30" s="36"/>
      <c r="E30" s="34">
        <f ca="1">SUM(E22:E29)</f>
        <v>44382.472073301971</v>
      </c>
      <c r="F30" s="35"/>
      <c r="G30" s="34">
        <f ca="1">SUM(G22:G29)</f>
        <v>86989.645263671875</v>
      </c>
      <c r="I30" s="31"/>
      <c r="J30" s="31"/>
      <c r="K30" s="31"/>
    </row>
    <row r="31" spans="1:12" x14ac:dyDescent="0.2">
      <c r="B31" s="236"/>
      <c r="I31" s="31"/>
      <c r="J31" s="31"/>
      <c r="K31" s="31"/>
    </row>
    <row r="32" spans="1:12" ht="13.5" thickBot="1" x14ac:dyDescent="0.25">
      <c r="B32" s="236" t="s">
        <v>18</v>
      </c>
      <c r="E32" s="7">
        <f ca="1">E15+E18+E30</f>
        <v>55415.63961303579</v>
      </c>
      <c r="F32" s="8"/>
      <c r="G32" s="7">
        <f ca="1">G15+G18+G30</f>
        <v>109707.68530273438</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482227.20000000001</v>
      </c>
      <c r="C3" s="117">
        <f ca="1">6.8*0.75*E3</f>
        <v>118809.59999999999</v>
      </c>
      <c r="D3" s="117">
        <f ca="1">C3+B3</f>
        <v>601036.80000000005</v>
      </c>
      <c r="E3" s="118">
        <f ca="1">SUM(Preschedule!B59:Y59)</f>
        <v>23296</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-75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-107</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-13349.452480000002</v>
      </c>
      <c r="C28" s="120"/>
      <c r="D28" s="120">
        <f>C28+B28</f>
        <v>-13349.452480000002</v>
      </c>
      <c r="E28" s="114">
        <f>SUM(Preschedule!B56:Y56)</f>
        <v>1021</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x14ac:dyDescent="0.2">
      <c r="A31" s="83" t="s">
        <v>44</v>
      </c>
      <c r="B31" s="120">
        <f>-F31*E31</f>
        <v>-29431.488000000001</v>
      </c>
      <c r="C31" s="120"/>
      <c r="D31" s="120">
        <f>C31+B31</f>
        <v>-29431.488000000001</v>
      </c>
      <c r="E31" s="114">
        <f>SUM(Preschedule!B54:Y54)</f>
        <v>4828</v>
      </c>
      <c r="F31" s="120">
        <f>H31*I31</f>
        <v>6.0960000000000001</v>
      </c>
      <c r="G31" s="79">
        <f>-IF(E31=0,0,D31/E31)</f>
        <v>6.0960000000000001</v>
      </c>
      <c r="H31" s="134">
        <v>10.16</v>
      </c>
      <c r="I31" s="135">
        <v>0.6</v>
      </c>
    </row>
    <row r="32" spans="1:9" x14ac:dyDescent="0.2">
      <c r="A32" s="83" t="s">
        <v>45</v>
      </c>
      <c r="B32" s="120">
        <f>-F32*E32</f>
        <v>-29431.488000000001</v>
      </c>
      <c r="C32" s="120"/>
      <c r="D32" s="120">
        <f>C32+B32</f>
        <v>-29431.488000000001</v>
      </c>
      <c r="E32" s="114">
        <f>SUM(Preschedule!B55:Y55)</f>
        <v>4828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f ca="1">Gencost(Preschedule!B43:Y43,OFFSET(HeatRateStart,1,MATCH(A36,HeatRateNames,0)-1,250,1),I36)</f>
        <v>-28121.40625</v>
      </c>
      <c r="C36" s="120"/>
      <c r="D36" s="120">
        <f t="shared" ca="1" si="7"/>
        <v>-28121.40625</v>
      </c>
      <c r="E36" s="114">
        <f>SUM(Preschedule!B43:Y43)</f>
        <v>1386</v>
      </c>
      <c r="F36" s="120">
        <f t="shared" ca="1" si="8"/>
        <v>20.2896148989899</v>
      </c>
      <c r="G36" s="79">
        <f t="shared" ca="1" si="6"/>
        <v>20.2896148989899</v>
      </c>
      <c r="H36" s="136"/>
      <c r="I36" s="135">
        <f>INDEX(FuelPriceTable,MATCH(A36,FuelNames,0),5)</f>
        <v>1.96</v>
      </c>
    </row>
    <row r="37" spans="1:9" x14ac:dyDescent="0.2">
      <c r="A37" s="83" t="s">
        <v>49</v>
      </c>
      <c r="B37" s="120">
        <f ca="1">Gencost(Preschedule!B44:Y44,OFFSET(HeatRateStart,1,MATCH(A37,HeatRateNames,0)-1,250,1),I37)</f>
        <v>-3453.7001953125</v>
      </c>
      <c r="C37" s="120"/>
      <c r="D37" s="120">
        <f t="shared" ca="1" si="7"/>
        <v>-3453.7001953125</v>
      </c>
      <c r="E37" s="114">
        <f>SUM(Preschedule!B44:Y44)</f>
        <v>103</v>
      </c>
      <c r="F37" s="120">
        <f t="shared" ca="1" si="8"/>
        <v>33.531069857402912</v>
      </c>
      <c r="G37" s="79">
        <f t="shared" ca="1" si="6"/>
        <v>33.531069857402912</v>
      </c>
      <c r="H37" s="136"/>
      <c r="I37" s="135">
        <f t="shared" si="9"/>
        <v>1.96</v>
      </c>
    </row>
    <row r="38" spans="1:9" x14ac:dyDescent="0.2">
      <c r="A38" s="83" t="s">
        <v>50</v>
      </c>
      <c r="B38" s="120">
        <f ca="1">Gencost(Preschedule!B45:Y45,OFFSET(HeatRateStart,1,MATCH(A38,HeatRateNames,0)-1,250,1),I38)</f>
        <v>-3393.073974609375</v>
      </c>
      <c r="C38" s="120"/>
      <c r="D38" s="120">
        <f t="shared" ca="1" si="7"/>
        <v>-3393.073974609375</v>
      </c>
      <c r="E38" s="114">
        <f>SUM(Preschedule!B45:Y45)</f>
        <v>100</v>
      </c>
      <c r="F38" s="120">
        <f t="shared" ca="1" si="8"/>
        <v>33.930739746093749</v>
      </c>
      <c r="G38" s="79">
        <f t="shared" ca="1" si="6"/>
        <v>33.930739746093749</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-52021.46484375</v>
      </c>
      <c r="C41" s="120"/>
      <c r="D41" s="120">
        <f t="shared" ca="1" si="7"/>
        <v>-52021.46484375</v>
      </c>
      <c r="E41" s="114">
        <f>SUM(Preschedule!B48:Y48)</f>
        <v>2709</v>
      </c>
      <c r="F41" s="120">
        <f t="shared" ca="1" si="8"/>
        <v>19.203198539590254</v>
      </c>
      <c r="G41" s="79">
        <f t="shared" ca="1" si="6"/>
        <v>19.203198539590254</v>
      </c>
      <c r="H41" s="136"/>
      <c r="I41" s="135">
        <v>1.96</v>
      </c>
    </row>
    <row r="42" spans="1:9" x14ac:dyDescent="0.2">
      <c r="A42" s="83" t="s">
        <v>54</v>
      </c>
      <c r="B42" s="120">
        <f ca="1">Gencost(Preschedule!B49:Y49,OFFSET(HeatRateStart,1,MATCH(A42,HeatRateNames,0)-1,250,1),I42)</f>
        <v>-5145.4541015625</v>
      </c>
      <c r="C42" s="120"/>
      <c r="D42" s="120">
        <f t="shared" ca="1" si="7"/>
        <v>-5145.4541015625</v>
      </c>
      <c r="E42" s="114">
        <f>SUM(Preschedule!B49:Y49)</f>
        <v>164</v>
      </c>
      <c r="F42" s="120">
        <f t="shared" ca="1" si="8"/>
        <v>31.374720131478657</v>
      </c>
      <c r="G42" s="79">
        <f t="shared" ca="1" si="6"/>
        <v>31.374720131478657</v>
      </c>
      <c r="H42" s="136"/>
      <c r="I42" s="135">
        <f t="shared" si="9"/>
        <v>1.96</v>
      </c>
    </row>
    <row r="43" spans="1:9" x14ac:dyDescent="0.2">
      <c r="A43" s="83" t="s">
        <v>55</v>
      </c>
      <c r="B43" s="120">
        <f ca="1">Gencost(Preschedule!B50:Y50,OFFSET(HeatRateStart,1,MATCH(A43,HeatRateNames,0)-1,250,1),I43)</f>
        <v>-17572.5859375</v>
      </c>
      <c r="C43" s="120"/>
      <c r="D43" s="120">
        <f t="shared" ca="1" si="7"/>
        <v>-17572.5859375</v>
      </c>
      <c r="E43" s="114">
        <f>SUM(Preschedule!B50:Y50)</f>
        <v>676</v>
      </c>
      <c r="F43" s="120">
        <f t="shared" ca="1" si="8"/>
        <v>25.994949611686391</v>
      </c>
      <c r="G43" s="79">
        <f t="shared" ca="1" si="6"/>
        <v>25.994949611686391</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37332.261111111111</v>
      </c>
    </row>
    <row r="32" spans="2:2" x14ac:dyDescent="0.2">
      <c r="B32" t="s">
        <v>366</v>
      </c>
    </row>
    <row r="33" spans="2:2" x14ac:dyDescent="0.2">
      <c r="B33" t="s">
        <v>369</v>
      </c>
    </row>
    <row r="34" spans="2:2" x14ac:dyDescent="0.2">
      <c r="B34" t="s">
        <v>379</v>
      </c>
    </row>
    <row r="35" spans="2:2" x14ac:dyDescent="0.2">
      <c r="B35" t="s">
        <v>372</v>
      </c>
    </row>
    <row r="36" spans="2:2" x14ac:dyDescent="0.2">
      <c r="B36" t="s">
        <v>373</v>
      </c>
    </row>
    <row r="37" spans="2:2" x14ac:dyDescent="0.2">
      <c r="B37" t="s">
        <v>362</v>
      </c>
    </row>
    <row r="38" spans="2:2" x14ac:dyDescent="0.2">
      <c r="B38" t="s">
        <v>371</v>
      </c>
    </row>
    <row r="39" spans="2:2" x14ac:dyDescent="0.2">
      <c r="B39" t="s">
        <v>380</v>
      </c>
    </row>
    <row r="40" spans="2:2" x14ac:dyDescent="0.2">
      <c r="B40" t="s">
        <v>381</v>
      </c>
    </row>
    <row r="41" spans="2:2" x14ac:dyDescent="0.2">
      <c r="B41" t="s">
        <v>378</v>
      </c>
    </row>
    <row r="42" spans="2:2" x14ac:dyDescent="0.2">
      <c r="B42" t="s">
        <v>382</v>
      </c>
    </row>
    <row r="43" spans="2:2" x14ac:dyDescent="0.2">
      <c r="B43" t="s">
        <v>367</v>
      </c>
    </row>
    <row r="44" spans="2:2" x14ac:dyDescent="0.2">
      <c r="B44" t="s">
        <v>368</v>
      </c>
    </row>
    <row r="45" spans="2:2" x14ac:dyDescent="0.2">
      <c r="B45" t="s">
        <v>383</v>
      </c>
    </row>
    <row r="46" spans="2:2" x14ac:dyDescent="0.2">
      <c r="B46" t="s">
        <v>375</v>
      </c>
    </row>
    <row r="47" spans="2:2" x14ac:dyDescent="0.2">
      <c r="B47" t="s">
        <v>374</v>
      </c>
    </row>
    <row r="48" spans="2:2" x14ac:dyDescent="0.2">
      <c r="B48" t="s">
        <v>384</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2023-09-09T19:01:35Z</dcterms:modified>
</cp:coreProperties>
</file>