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C21DFFD-CEB7-4B0F-81B9-A059F6B9EFF2}"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Deals!$D$123</definedName>
    <definedName name="CISOEndDate">Deals!$D$124</definedName>
    <definedName name="cRows">COUNTA(#REF!)</definedName>
    <definedName name="CurrDate">[1]Top!#REF!</definedName>
    <definedName name="DataAll">Deals!$A$2:$AF$256</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Deals!$C$122</definedName>
    <definedName name="EndofDType">Deals!$B$122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F105"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9" i="6"/>
  <c r="AE119" i="6"/>
  <c r="AF119" i="6"/>
  <c r="F126" i="6"/>
  <c r="F127" i="6"/>
  <c r="G127" i="6"/>
  <c r="F128" i="6"/>
  <c r="G128" i="6"/>
  <c r="AD128" i="6"/>
  <c r="AE128" i="6"/>
  <c r="F129" i="6"/>
  <c r="G129" i="6"/>
  <c r="AD129" i="6"/>
  <c r="AE129" i="6"/>
  <c r="F130" i="6"/>
  <c r="G130" i="6"/>
  <c r="F131" i="6"/>
  <c r="G131" i="6"/>
  <c r="F132" i="6"/>
  <c r="G132" i="6"/>
  <c r="F133" i="6"/>
  <c r="G133" i="6"/>
  <c r="AD133" i="6"/>
  <c r="AE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G151" i="6"/>
  <c r="F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G18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gsolberg</author>
    <author>A satisfied Microsoft Office user</author>
  </authors>
  <commentList>
    <comment ref="E58" authorId="0" shapeId="0">
      <text>
        <r>
          <rPr>
            <b/>
            <sz val="8"/>
            <color indexed="81"/>
            <rFont val="Tahoma"/>
          </rPr>
          <t xml:space="preserve">mcaushol:
Out because 40MW PSCO schedule was taken out. </t>
        </r>
      </text>
    </comment>
    <comment ref="F58" authorId="0" shapeId="0">
      <text>
        <r>
          <rPr>
            <b/>
            <sz val="8"/>
            <color indexed="81"/>
            <rFont val="Tahoma"/>
          </rPr>
          <t xml:space="preserve">mcaushol:
Out because 40MW PSCO schedule was taken out. </t>
        </r>
      </text>
    </comment>
    <comment ref="G58" authorId="0" shapeId="0">
      <text>
        <r>
          <rPr>
            <b/>
            <sz val="8"/>
            <color indexed="81"/>
            <rFont val="Tahoma"/>
          </rPr>
          <t xml:space="preserve">mcaushol:
Out because 40MW PSCO schedule was taken out. </t>
        </r>
      </text>
    </comment>
    <comment ref="S58" authorId="0" shapeId="0">
      <text>
        <r>
          <rPr>
            <b/>
            <sz val="8"/>
            <color indexed="81"/>
            <rFont val="Tahoma"/>
          </rPr>
          <t>gsolberg:
OUT BECAUSE OF 48MW EMERGENCY POWER TO SRSG</t>
        </r>
      </text>
    </comment>
    <comment ref="U58" authorId="0" shapeId="0">
      <text>
        <r>
          <rPr>
            <b/>
            <sz val="8"/>
            <color indexed="81"/>
            <rFont val="Tahoma"/>
          </rPr>
          <t>gsolberg:</t>
        </r>
        <r>
          <rPr>
            <sz val="8"/>
            <color indexed="81"/>
            <rFont val="Tahoma"/>
          </rPr>
          <t xml:space="preserve">
THE EDDIE TIE WENT DOWN  AND I HAD TO BUY 150MW FROM APS(INT. TO 87)</t>
        </r>
      </text>
    </comment>
    <comment ref="X58" authorId="0" shapeId="0">
      <text>
        <r>
          <rPr>
            <b/>
            <sz val="8"/>
            <color indexed="81"/>
            <rFont val="Tahoma"/>
          </rPr>
          <t>mcaushol:
Out because 40MW PSCO schedule was taken out. This is offset by 25MW Spin purchase form LADWp</t>
        </r>
      </text>
    </comment>
    <comment ref="Y58" authorId="0" shapeId="0">
      <text>
        <r>
          <rPr>
            <b/>
            <sz val="8"/>
            <color indexed="81"/>
            <rFont val="Tahoma"/>
          </rPr>
          <t>mcaushol:
Out because 40MW PSCO schedule was taken out. This is offset by 25MW Spin purchase form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<sst xmlns="http://schemas.openxmlformats.org/spreadsheetml/2006/main" count="856" uniqueCount="398">
  <si>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</si>
  <si>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</si>
  <si>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</si>
  <si>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</si>
  <si>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</si>
  <si>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</si>
  <si>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</si>
  <si>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</si>
  <si>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</si>
  <si>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</si>
  <si>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</si>
  <si>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</si>
  <si>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</si>
  <si>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</si>
  <si>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</si>
  <si>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</si>
  <si>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</si>
  <si>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</si>
  <si>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</si>
  <si>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</si>
  <si>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</si>
  <si>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</si>
  <si>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</si>
  <si>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</si>
  <si>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</si>
  <si>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</si>
  <si>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</si>
  <si>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</si>
  <si>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</si>
  <si>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</si>
  <si>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</si>
  <si>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</si>
  <si>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</si>
  <si>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</si>
  <si>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</si>
  <si>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</si>
  <si>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</si>
  <si>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</si>
  <si>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</si>
  <si>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</si>
  <si>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</si>
  <si>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</si>
  <si>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</si>
  <si>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</si>
  <si>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</si>
  <si>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</si>
  <si>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</si>
  <si>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</si>
  <si>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</si>
  <si>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</si>
  <si>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</si>
  <si>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</si>
  <si>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</si>
  <si>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</si>
  <si>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</si>
  <si>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</si>
  <si>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</si>
  <si>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</si>
  <si>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</si>
  <si>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</si>
  <si>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</si>
  <si>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</si>
  <si>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</si>
  <si>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</si>
  <si>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</si>
  <si>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</si>
  <si>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</si>
  <si>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</si>
  <si>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</si>
  <si>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</si>
  <si>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</si>
  <si>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</si>
  <si>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</si>
  <si>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</si>
  <si>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</si>
  <si>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</si>
  <si>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</si>
  <si>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</si>
  <si>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</si>
  <si>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</si>
  <si>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</si>
  <si>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</si>
  <si>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</si>
  <si>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</si>
  <si>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</si>
  <si>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</si>
  <si>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</si>
  <si>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</si>
  <si>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</si>
  <si>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</si>
  <si>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</si>
  <si>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</si>
  <si>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</si>
  <si>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</si>
  <si>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</si>
  <si>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</si>
  <si>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</si>
  <si>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</si>
  <si>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</si>
  <si>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</si>
  <si>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</si>
  <si>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</si>
  <si>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</si>
  <si>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</si>
  <si>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</si>
  <si>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</si>
  <si>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</si>
  <si>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</si>
  <si>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</si>
  <si>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</si>
  <si>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</si>
  <si>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</si>
  <si>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</si>
  <si>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</si>
  <si>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</si>
  <si>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</si>
  <si>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</si>
  <si>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</si>
  <si>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</si>
  <si>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</si>
  <si>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</si>
  <si>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</si>
  <si>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</si>
  <si>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</si>
  <si>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</si>
  <si>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</si>
  <si>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</si>
  <si>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</si>
  <si>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</si>
  <si>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</si>
  <si>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</si>
  <si>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</si>
  <si>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</si>
  <si>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</si>
  <si>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</si>
  <si>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</si>
  <si>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</si>
  <si>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</si>
  <si>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</si>
  <si>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</si>
  <si>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</si>
  <si>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</si>
  <si>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</si>
  <si>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</si>
  <si>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</si>
  <si>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</si>
  <si>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</si>
  <si>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</si>
  <si>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</si>
  <si>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</si>
  <si>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</si>
  <si>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</si>
  <si>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</si>
  <si>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</si>
  <si>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</si>
  <si>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</si>
  <si>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</si>
  <si>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</si>
  <si>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</si>
  <si>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</si>
  <si>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</si>
  <si>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</si>
  <si>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</si>
  <si>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</si>
  <si>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</si>
  <si>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</si>
  <si>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</si>
  <si>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</si>
  <si>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</si>
  <si>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</si>
  <si>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</si>
  <si>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</si>
  <si>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</si>
  <si>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</si>
  <si>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</si>
  <si>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</si>
  <si>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</si>
  <si>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</si>
  <si>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</si>
  <si>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</si>
  <si>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</si>
  <si>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</si>
  <si>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</si>
  <si>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</si>
  <si>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</si>
  <si>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</si>
  <si>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</si>
  <si>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</si>
  <si>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</si>
  <si>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</si>
  <si>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</si>
  <si>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</si>
  <si>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</si>
  <si>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</si>
  <si>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</si>
  <si>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</si>
  <si>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</si>
  <si>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</si>
  <si>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</si>
  <si>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</si>
  <si>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</si>
  <si>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</si>
  <si>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</si>
  <si>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</si>
  <si>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</si>
  <si>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</si>
  <si>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</si>
  <si>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</si>
  <si>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</si>
  <si>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</si>
  <si>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</si>
  <si>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</si>
  <si>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</si>
  <si>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</si>
  <si>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</si>
  <si>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</si>
  <si>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</si>
  <si>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</si>
  <si>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</si>
  <si>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</si>
  <si>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</si>
  <si>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</si>
  <si>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</si>
  <si>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</si>
  <si>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</si>
  <si>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</si>
  <si>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</si>
  <si>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</si>
  <si>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</si>
  <si>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</si>
  <si>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</si>
  <si>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</si>
  <si>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</si>
  <si>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</si>
  <si>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</si>
  <si>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</si>
  <si>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</si>
  <si>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</si>
  <si>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</si>
  <si>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</si>
  <si>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</si>
  <si>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</si>
  <si>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</si>
  <si>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</si>
  <si>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</si>
  <si>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</si>
  <si>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</si>
  <si>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</si>
  <si>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</si>
  <si>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</si>
  <si>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</si>
  <si>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</si>
  <si>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</si>
  <si>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</si>
  <si>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</si>
  <si>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</si>
  <si>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</si>
  <si>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</si>
  <si>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</si>
  <si>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</si>
  <si>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</si>
  <si>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</si>
  <si>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</si>
  <si>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</si>
  <si>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</si>
  <si>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</si>
  <si>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</si>
  <si>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</si>
  <si>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</si>
  <si>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</si>
  <si>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</si>
  <si>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</si>
  <si>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</si>
  <si>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</si>
  <si>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</si>
  <si>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</si>
  <si>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</si>
  <si>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</si>
  <si>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</si>
  <si>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</si>
  <si>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</si>
  <si>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</si>
  <si>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</si>
  <si>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</si>
  <si>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</si>
  <si>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</si>
  <si>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</si>
  <si>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</si>
  <si>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</si>
  <si>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</si>
  <si>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</si>
  <si>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</si>
  <si>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</si>
  <si>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</si>
  <si>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</si>
  <si>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</si>
  <si>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</si>
  <si>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</si>
  <si>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</si>
  <si>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</si>
  <si>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</si>
  <si>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</si>
  <si>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</si>
  <si>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</si>
  <si>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</si>
  <si>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</si>
  <si>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</si>
  <si>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</si>
  <si>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</si>
  <si>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</si>
  <si>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</si>
  <si>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</si>
  <si>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</si>
  <si>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</si>
  <si>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</si>
  <si>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</si>
  <si>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</si>
  <si>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</si>
  <si>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</si>
  <si>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</si>
  <si>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</si>
  <si>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</si>
  <si>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</si>
  <si>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</si>
  <si>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</si>
  <si>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</si>
  <si>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</si>
  <si>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</si>
  <si>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</si>
  <si>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</si>
  <si>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</si>
  <si>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</si>
  <si>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</si>
  <si>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</si>
  <si>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</si>
  <si>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</si>
  <si>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</si>
  <si>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</si>
  <si>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</si>
  <si>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</si>
  <si>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</si>
  <si>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</si>
  <si>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</si>
  <si>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</si>
  <si>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</si>
  <si>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</si>
  <si>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</si>
  <si>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</si>
  <si>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</si>
  <si>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</si>
  <si>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</si>
  <si>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</si>
  <si>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</si>
  <si>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</si>
  <si>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</si>
  <si>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</si>
  <si>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</si>
  <si>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</si>
  <si>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</si>
  <si>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</si>
  <si>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</si>
  <si>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</si>
  <si>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</si>
  <si>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</si>
  <si>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</si>
  <si>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</si>
  <si>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</si>
  <si>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</si>
  <si>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</si>
  <si>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</si>
  <si>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</si>
  <si>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</si>
  <si>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</si>
  <si>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GLENDALE</t>
  </si>
  <si>
    <t>AEP/ISO</t>
  </si>
  <si>
    <t>CISO/WESCO</t>
  </si>
  <si>
    <t>CISO/MIRANT</t>
  </si>
  <si>
    <t>CISO/EPMI</t>
  </si>
  <si>
    <t>SEMPRA BOOKOUT</t>
  </si>
  <si>
    <t>WESCO/ISO</t>
  </si>
  <si>
    <t>NEWMAN 4 ,UNAV,  0  ,214  , 86  ,214  ,  0  ,1</t>
  </si>
  <si>
    <t>EPMI/ISO</t>
  </si>
  <si>
    <t>RIOGRAN 6,MANL, 45  , 40  , 28  , 48  ,  0  ,1</t>
  </si>
  <si>
    <t>Firm</t>
  </si>
  <si>
    <t>ACQUILLA/APS</t>
  </si>
  <si>
    <t>RIOGRAN 7,MANL, 41  , 32  , 30  , 49  ,  0  ,1</t>
  </si>
  <si>
    <t xml:space="preserve">RIOGRANDE,,  86 ,   72,   58,  97 ,   0 , </t>
  </si>
  <si>
    <t>FOURCRNRS,MANL,104  ,104  ,104  ,104  ,  0  ,1</t>
  </si>
  <si>
    <t>NEWMAN 2 ,MANL, 37  , 77  , 37  , 82  ,  0  ,1</t>
  </si>
  <si>
    <t>NEWMAN 1 ,ECON, 48  , 68  , 39  , 83  , 20  ,1</t>
  </si>
  <si>
    <t>NEWMAN 3 ,ECON, 95  , 95  , 35  ,103  ,  0  ,1</t>
  </si>
  <si>
    <t>NEWMN/GT1,MANL, 26  , 60  , 18  , 60  ,  0  ,1</t>
  </si>
  <si>
    <t>NEWMN/GT2,MANL, 25  , 60  , 18  , 60  ,  0  ,1</t>
  </si>
  <si>
    <t xml:space="preserve">NEWMAN   ,, 230 ,  360,  147, 388 ,  20 , </t>
  </si>
  <si>
    <t>COPPER   ,ECON, 35  , 69  , 15  , 69  , 36  ,1</t>
  </si>
  <si>
    <t>PALOVERDE,MANL,574  ,574  ,574  ,600  ,  0  ,1</t>
  </si>
  <si>
    <t>LAMBDA, 46.96,  694,  695,  166,    7,    0,22532,0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</si>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</sst>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10"/>
      <name val="Arial"/>
      <family val="2"/>
    </font>
    <font>
      <b/>
      <sz val="9"/>
      <color indexed="10"/>
      <name val="Arial"/>
      <family val="2"/>
    </font>
    <font>
      <sz val="9"/>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7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1" fontId="63" fillId="19" borderId="55" xfId="0" applyNumberFormat="1" applyFont="1" applyFill="1" applyBorder="1"/>
    <xf numFmtId="173" fontId="74" fillId="8" borderId="130"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5" fillId="17" borderId="40" xfId="0" applyNumberFormat="1" applyFont="1" applyFill="1" applyBorder="1" applyAlignment="1" applyProtection="1">
      <alignment horizontal="center" vertical="top"/>
    </xf>
    <xf numFmtId="173" fontId="23" fillId="17" borderId="40" xfId="0" applyNumberFormat="1" applyFont="1" applyFill="1" applyBorder="1" applyAlignment="1" applyProtection="1">
      <alignment horizontal="center" vertical="top"/>
    </xf>
    <xf numFmtId="173" fontId="76" fillId="4" borderId="40" xfId="0" applyNumberFormat="1" applyFont="1" applyFill="1" applyBorder="1" applyAlignment="1" applyProtection="1">
      <alignment horizontal="center" vertical="top"/>
    </xf>
    <xf numFmtId="173" fontId="76" fillId="4" borderId="42" xfId="0" applyNumberFormat="1" applyFont="1" applyFill="1" applyBorder="1" applyAlignment="1" applyProtection="1">
      <alignment horizontal="center" vertical="top"/>
    </xf>
    <xf numFmtId="173" fontId="76" fillId="4" borderId="43" xfId="0" applyNumberFormat="1" applyFont="1" applyFill="1" applyBorder="1" applyAlignment="1" applyProtection="1">
      <alignment horizontal="center" vertical="top"/>
    </xf>
    <xf numFmtId="173" fontId="76" fillId="4" borderId="127" xfId="0" applyNumberFormat="1" applyFont="1" applyFill="1" applyBorder="1" applyAlignment="1" applyProtection="1">
      <alignment vertical="top"/>
    </xf>
    <xf numFmtId="173" fontId="76" fillId="17" borderId="42" xfId="0" applyNumberFormat="1" applyFont="1" applyFill="1" applyBorder="1" applyAlignment="1" applyProtection="1">
      <alignment horizontal="center" vertical="top"/>
    </xf>
    <xf numFmtId="173" fontId="76" fillId="17" borderId="124" xfId="0" applyNumberFormat="1" applyFont="1" applyFill="1" applyBorder="1" applyAlignment="1" applyProtection="1">
      <alignment horizontal="center" vertical="top"/>
    </xf>
    <xf numFmtId="173" fontId="76" fillId="4" borderId="3" xfId="0" applyNumberFormat="1" applyFont="1" applyFill="1" applyBorder="1" applyAlignment="1" applyProtection="1">
      <alignment horizontal="center" vertical="top"/>
    </xf>
    <xf numFmtId="173" fontId="76" fillId="7" borderId="82" xfId="0" applyNumberFormat="1" applyFont="1" applyFill="1" applyBorder="1" applyAlignment="1" applyProtection="1">
      <alignment horizontal="center" vertical="top"/>
    </xf>
    <xf numFmtId="173" fontId="76" fillId="7" borderId="43" xfId="0" applyNumberFormat="1" applyFont="1" applyFill="1" applyBorder="1" applyAlignment="1" applyProtection="1">
      <alignment horizontal="center" vertical="top"/>
    </xf>
    <xf numFmtId="173" fontId="76" fillId="7" borderId="94" xfId="0" applyNumberFormat="1" applyFont="1" applyFill="1" applyBorder="1" applyAlignment="1" applyProtection="1">
      <alignment horizontal="center" vertical="top"/>
    </xf>
    <xf numFmtId="173" fontId="76" fillId="8" borderId="130" xfId="0" applyNumberFormat="1" applyFont="1" applyFill="1" applyBorder="1" applyAlignment="1" applyProtection="1">
      <alignment horizontal="center" vertical="top"/>
    </xf>
    <xf numFmtId="173" fontId="76" fillId="8" borderId="43" xfId="0" applyNumberFormat="1" applyFont="1" applyFill="1" applyBorder="1" applyAlignment="1" applyProtection="1">
      <alignment horizontal="center" vertical="top"/>
    </xf>
    <xf numFmtId="173" fontId="76" fillId="8" borderId="59" xfId="0" applyNumberFormat="1" applyFont="1" applyFill="1" applyBorder="1" applyAlignment="1" applyProtection="1">
      <alignment horizontal="center" vertical="top"/>
    </xf>
    <xf numFmtId="173" fontId="74" fillId="17" borderId="42" xfId="0" applyNumberFormat="1" applyFont="1" applyFill="1" applyBorder="1" applyAlignment="1" applyProtection="1">
      <alignment horizontal="center" vertical="top"/>
    </xf>
    <xf numFmtId="0" fontId="52" fillId="12" borderId="58" xfId="0" applyFont="1" applyFill="1" applyBorder="1" applyAlignment="1">
      <alignment wrapText="1"/>
    </xf>
    <xf numFmtId="0" fontId="62" fillId="4" borderId="58" xfId="0" applyFont="1" applyFill="1" applyBorder="1" applyAlignment="1">
      <alignment wrapText="1"/>
    </xf>
    <xf numFmtId="0" fontId="62" fillId="13" borderId="55" xfId="0" applyFont="1" applyFill="1" applyBorder="1" applyAlignment="1" applyProtection="1">
      <alignment wrapText="1"/>
      <protection locked="0"/>
    </xf>
    <xf numFmtId="0" fontId="62" fillId="13" borderId="55" xfId="0" applyFont="1" applyFill="1" applyBorder="1" applyAlignment="1">
      <alignment wrapText="1"/>
    </xf>
    <xf numFmtId="0" fontId="62" fillId="17" borderId="68" xfId="0" applyFont="1" applyFill="1" applyBorder="1" applyAlignment="1">
      <alignment wrapText="1"/>
    </xf>
    <xf numFmtId="0" fontId="62" fillId="12" borderId="55" xfId="0" applyFont="1" applyFill="1" applyBorder="1" applyAlignment="1">
      <alignment wrapText="1"/>
    </xf>
    <xf numFmtId="0" fontId="62" fillId="2" borderId="57" xfId="0" applyFont="1" applyFill="1" applyBorder="1" applyAlignment="1">
      <alignment wrapText="1"/>
    </xf>
    <xf numFmtId="2" fontId="52" fillId="12" borderId="55"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44887309506383E-2"/>
          <c:w val="0.89403830263490125"/>
          <c:h val="0.79946273407319468"/>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627</c:v>
                </c:pt>
                <c:pt idx="1">
                  <c:v>606</c:v>
                </c:pt>
                <c:pt idx="2">
                  <c:v>596</c:v>
                </c:pt>
                <c:pt idx="3">
                  <c:v>598</c:v>
                </c:pt>
                <c:pt idx="4">
                  <c:v>645</c:v>
                </c:pt>
                <c:pt idx="5">
                  <c:v>683</c:v>
                </c:pt>
                <c:pt idx="6">
                  <c:v>756</c:v>
                </c:pt>
                <c:pt idx="7">
                  <c:v>815</c:v>
                </c:pt>
                <c:pt idx="8">
                  <c:v>863</c:v>
                </c:pt>
                <c:pt idx="9">
                  <c:v>917</c:v>
                </c:pt>
                <c:pt idx="10">
                  <c:v>959</c:v>
                </c:pt>
                <c:pt idx="11">
                  <c:v>995</c:v>
                </c:pt>
                <c:pt idx="12">
                  <c:v>1011</c:v>
                </c:pt>
                <c:pt idx="13">
                  <c:v>1042</c:v>
                </c:pt>
                <c:pt idx="14">
                  <c:v>1041</c:v>
                </c:pt>
                <c:pt idx="15">
                  <c:v>1035</c:v>
                </c:pt>
                <c:pt idx="16">
                  <c:v>990</c:v>
                </c:pt>
                <c:pt idx="17">
                  <c:v>962</c:v>
                </c:pt>
                <c:pt idx="18">
                  <c:v>942</c:v>
                </c:pt>
                <c:pt idx="19">
                  <c:v>974</c:v>
                </c:pt>
                <c:pt idx="20">
                  <c:v>920</c:v>
                </c:pt>
                <c:pt idx="21">
                  <c:v>853</c:v>
                </c:pt>
                <c:pt idx="22">
                  <c:v>733</c:v>
                </c:pt>
                <c:pt idx="23">
                  <c:v>695</c:v>
                </c:pt>
              </c:numCache>
            </c:numRef>
          </c:val>
          <c:smooth val="0"/>
          <c:extLst>
            <c:ext xmlns:c16="http://schemas.microsoft.com/office/drawing/2014/chart" uri="{C3380CC4-5D6E-409C-BE32-E72D297353CC}">
              <c16:uniqueId val="{00000000-BB79-4B2B-903C-8ECC76A6E6C0}"/>
            </c:ext>
          </c:extLst>
        </c:ser>
        <c:dLbls>
          <c:showLegendKey val="0"/>
          <c:showVal val="0"/>
          <c:showCatName val="0"/>
          <c:showSerName val="0"/>
          <c:showPercent val="0"/>
          <c:showBubbleSize val="0"/>
        </c:dLbls>
        <c:smooth val="0"/>
        <c:axId val="1752909087"/>
        <c:axId val="1"/>
      </c:lineChart>
      <c:catAx>
        <c:axId val="1752909087"/>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52909087"/>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9D46B02-FE9E-7050-246C-EB26B42EAEE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D249C81-9D68-BE2D-189A-5F73C17F6D9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E3491AE-6A30-36E7-99D7-72B073F2FDCB}"/>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a:extLst>
            <a:ext uri="{FF2B5EF4-FFF2-40B4-BE49-F238E27FC236}">
              <a16:creationId xmlns:a16="http://schemas.microsoft.com/office/drawing/2014/main" id="{6616DDD4-0021-F34C-3024-1A4C423BD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C765F3EC-D510-DC89-D6ED-D88D2AE4DC0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04FAF30-7A5B-CF51-1F8A-3E788D32739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122</xdr:row>
          <xdr:rowOff>171450</xdr:rowOff>
        </xdr:from>
        <xdr:to>
          <xdr:col>12</xdr:col>
          <xdr:colOff>95250</xdr:colOff>
          <xdr:row>123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5D8A4D4D-8984-4781-E2D0-875C55D5E0C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124</xdr:row>
      <xdr:rowOff>0</xdr:rowOff>
    </xdr:from>
    <xdr:to>
      <xdr:col>24</xdr:col>
      <xdr:colOff>247650</xdr:colOff>
      <xdr:row>147</xdr:row>
      <xdr:rowOff>76200</xdr:rowOff>
    </xdr:to>
    <xdr:sp macro="" textlink="">
      <xdr:nvSpPr>
        <xdr:cNvPr id="2303" name="Text Box 255">
          <a:extLst>
            <a:ext uri="{FF2B5EF4-FFF2-40B4-BE49-F238E27FC236}">
              <a16:creationId xmlns:a16="http://schemas.microsoft.com/office/drawing/2014/main" id="{41F171D3-A523-B558-3AEE-C5D9DF0DF73A}"/>
            </a:ext>
          </a:extLst>
        </xdr:cNvPr>
        <xdr:cNvSpPr txBox="1">
          <a:spLocks noChangeArrowheads="1"/>
        </xdr:cNvSpPr>
      </xdr:nvSpPr>
      <xdr:spPr bwMode="auto">
        <a:xfrm>
          <a:off x="5238750" y="1249680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4A4584A-8CF5-AB8B-94AF-7F2D76AA91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A16" zoomScale="75" workbookViewId="0">
      <selection activeCell="F56" sqref="B56:F5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37027</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397</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1">
        <v>627</v>
      </c>
      <c r="C4" s="731">
        <v>606</v>
      </c>
      <c r="D4" s="731">
        <v>596</v>
      </c>
      <c r="E4" s="731">
        <v>598</v>
      </c>
      <c r="F4" s="731">
        <v>645</v>
      </c>
      <c r="G4" s="731">
        <v>683</v>
      </c>
      <c r="H4" s="731">
        <v>756</v>
      </c>
      <c r="I4" s="731">
        <v>815</v>
      </c>
      <c r="J4" s="731">
        <v>863</v>
      </c>
      <c r="K4" s="731">
        <v>917</v>
      </c>
      <c r="L4" s="731">
        <v>959</v>
      </c>
      <c r="M4" s="731">
        <v>995</v>
      </c>
      <c r="N4" s="731">
        <v>1011</v>
      </c>
      <c r="O4" s="731">
        <v>1042</v>
      </c>
      <c r="P4" s="731">
        <v>1041</v>
      </c>
      <c r="Q4" s="731">
        <v>1035</v>
      </c>
      <c r="R4" s="731">
        <v>990</v>
      </c>
      <c r="S4" s="731">
        <v>962</v>
      </c>
      <c r="T4" s="731">
        <v>942</v>
      </c>
      <c r="U4" s="731">
        <v>974</v>
      </c>
      <c r="V4" s="731">
        <v>920</v>
      </c>
      <c r="W4" s="731">
        <v>853</v>
      </c>
      <c r="X4" s="731">
        <v>733</v>
      </c>
      <c r="Y4" s="732">
        <v>695</v>
      </c>
      <c r="Z4" s="347">
        <f>SUM(B4:Y4)</f>
        <v>20258</v>
      </c>
      <c r="AA4" s="347"/>
      <c r="AB4" s="347"/>
      <c r="AC4" s="347"/>
      <c r="AD4" s="347"/>
    </row>
    <row r="5" spans="1:213" s="161" customFormat="1" ht="13.5" thickBot="1" x14ac:dyDescent="0.25">
      <c r="A5" s="552" t="s">
        <v>65</v>
      </c>
      <c r="B5" s="593">
        <f>Deals!F4</f>
        <v>25</v>
      </c>
      <c r="C5" s="593">
        <f>Deals!G4</f>
        <v>25</v>
      </c>
      <c r="D5" s="593">
        <f>Deals!H4</f>
        <v>25</v>
      </c>
      <c r="E5" s="746">
        <f>Deals!I4</f>
        <v>25</v>
      </c>
      <c r="F5" s="593">
        <f>Deals!J4</f>
        <v>25</v>
      </c>
      <c r="G5" s="593">
        <f>Deals!K4</f>
        <v>25</v>
      </c>
      <c r="H5" s="747">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2"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2"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2"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-25</v>
      </c>
      <c r="P11" s="636">
        <f t="array" aca="1" ref="P11" ca="1">SUM(IF((DelPoint= "4C")*IF((DType = "firm")+(DType = "econ")&gt;0,1,0)*(OFFSET(DelPoint,0,P3+2)&lt;0),OFFSET(DelPoint,0,P3+2),0))</f>
        <v>-25</v>
      </c>
      <c r="Q11" s="636">
        <f t="array" aca="1" ref="Q11" ca="1">SUM(IF((DelPoint= "4C")*IF((DType = "firm")+(DType = "econ")&gt;0,1,0)*(OFFSET(DelPoint,0,Q3+2)&lt;0),OFFSET(DelPoint,0,Q3+2),0))</f>
        <v>-25</v>
      </c>
      <c r="R11" s="636">
        <f t="array" aca="1" ref="R11" ca="1">SUM(IF((DelPoint= "4C")*IF((DType = "firm")+(DType = "econ")&gt;0,1,0)*(OFFSET(DelPoint,0,R3+2)&lt;0),OFFSET(DelPoint,0,R3+2),0))</f>
        <v>-25</v>
      </c>
      <c r="S11" s="636">
        <f t="array" aca="1" ref="S11" ca="1">SUM(IF((DelPoint= "4C")*IF((DType = "firm")+(DType = "econ")&gt;0,1,0)*(OFFSET(DelPoint,0,S3+2)&lt;0),OFFSET(DelPoint,0,S3+2),0))</f>
        <v>-25</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3" t="s">
        <v>255</v>
      </c>
      <c r="B12" s="645">
        <f ca="1">Deals!F97+Deals!F98+Deals!F99+Deals!F100+Deals!F101+Deals!F102+Deals!F103</f>
        <v>0</v>
      </c>
      <c r="C12" s="645">
        <f>Deals!G97+Deals!G98+Deals!G99+Deals!G100+Deals!G101+Deals!G102+Deals!G103</f>
        <v>0</v>
      </c>
      <c r="D12" s="645">
        <f>Deals!H97+Deals!H98+Deals!H99+Deals!H100+Deals!H101+Deals!H102+Deals!H103</f>
        <v>0</v>
      </c>
      <c r="E12" s="645">
        <f>Deals!I97+Deals!I98+Deals!I99+Deals!I100+Deals!I101+Deals!I102+Deals!I103</f>
        <v>0</v>
      </c>
      <c r="F12" s="645">
        <f>Deals!J97+Deals!J98+Deals!J99+Deals!J100+Deals!J101+Deals!J102+Deals!J103</f>
        <v>0</v>
      </c>
      <c r="G12" s="645">
        <f>Deals!K97+Deals!K98+Deals!K99+Deals!K100+Deals!K101+Deals!K102+Deals!K103</f>
        <v>0</v>
      </c>
      <c r="H12" s="645">
        <f>Deals!L97+Deals!L98+Deals!L99+Deals!L100+Deals!L101+Deals!L102+Deals!L103</f>
        <v>-150</v>
      </c>
      <c r="I12" s="645">
        <f>Deals!M97+Deals!M98+Deals!M99+Deals!M100+Deals!M101+Deals!M102+Deals!M103</f>
        <v>-150</v>
      </c>
      <c r="J12" s="645">
        <f>Deals!N97+Deals!N98+Deals!N99+Deals!N100+Deals!N101+Deals!N102+Deals!N103</f>
        <v>-150</v>
      </c>
      <c r="K12" s="645">
        <f>Deals!O97+Deals!O98+Deals!O99+Deals!O100+Deals!O101+Deals!O102+Deals!O103</f>
        <v>-150</v>
      </c>
      <c r="L12" s="645">
        <f>Deals!P97+Deals!P98+Deals!P99+Deals!P100+Deals!P101+Deals!P102+Deals!P103</f>
        <v>-150</v>
      </c>
      <c r="M12" s="645">
        <f>Deals!Q97+Deals!Q98+Deals!Q99+Deals!Q100+Deals!Q101+Deals!Q102+Deals!Q103</f>
        <v>-150</v>
      </c>
      <c r="N12" s="645">
        <f>Deals!R97+Deals!R98+Deals!R99+Deals!R100+Deals!R101+Deals!R102+Deals!R103</f>
        <v>-150</v>
      </c>
      <c r="O12" s="645">
        <f>Deals!S97+Deals!S98+Deals!S99+Deals!S100+Deals!S101+Deals!S102+Deals!S103</f>
        <v>-150</v>
      </c>
      <c r="P12" s="645">
        <f>Deals!T97+Deals!T98+Deals!T99+Deals!T100+Deals!T101+Deals!T102+Deals!T103</f>
        <v>-150</v>
      </c>
      <c r="Q12" s="645">
        <f>Deals!U97+Deals!U98+Deals!U99+Deals!U100+Deals!U101+Deals!U102+Deals!U103</f>
        <v>-150</v>
      </c>
      <c r="R12" s="645">
        <f>Deals!V97+Deals!V98+Deals!V99+Deals!V100+Deals!V101+Deals!V102+Deals!V103</f>
        <v>-150</v>
      </c>
      <c r="S12" s="645">
        <f>Deals!W97+Deals!W98+Deals!W99+Deals!W100+Deals!W101+Deals!W102+Deals!W103</f>
        <v>-150</v>
      </c>
      <c r="T12" s="645">
        <f>Deals!X97+Deals!X98+Deals!X99+Deals!X100+Deals!X101+Deals!X102+Deals!X103</f>
        <v>-150</v>
      </c>
      <c r="U12" s="645">
        <f>Deals!Y97+Deals!Y98+Deals!Y99+Deals!Y100+Deals!Y101+Deals!Y102+Deals!Y103</f>
        <v>-150</v>
      </c>
      <c r="V12" s="645">
        <f>Deals!Z97+Deals!Z98+Deals!Z99+Deals!Z100+Deals!Z101+Deals!Z102+Deals!Z103</f>
        <v>-150</v>
      </c>
      <c r="W12" s="645">
        <f>Deals!AA97+Deals!AA98+Deals!AA99+Deals!AA100+Deals!AA101+Deals!AA102+Deals!AA103</f>
        <v>-150</v>
      </c>
      <c r="X12" s="645">
        <f>Deals!AB97+Deals!AB98+Deals!AB99+Deals!AB100+Deals!AB101+Deals!AB102+Deals!AB103</f>
        <v>0</v>
      </c>
      <c r="Y12" s="645">
        <f>Deals!AC97+Deals!AC98+Deals!AC99+Deals!AC100+Deals!AC101+Deals!AC102+Deals!AC103</f>
        <v>0</v>
      </c>
      <c r="Z12" s="160"/>
      <c r="AA12" s="162"/>
    </row>
    <row r="13" spans="1:213" s="161" customFormat="1" ht="12"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2" x14ac:dyDescent="0.2">
      <c r="A14" s="554" t="s">
        <v>305</v>
      </c>
      <c r="B14" s="645">
        <f>Deals!F16+Deals!F17+Deals!F18+Deals!F19</f>
        <v>-60</v>
      </c>
      <c r="C14" s="645">
        <f>Deals!G16+Deals!G17+Deals!G18+Deals!G19</f>
        <v>-60</v>
      </c>
      <c r="D14" s="645">
        <f>Deals!H16+Deals!H17+Deals!H18+Deals!H19</f>
        <v>-60</v>
      </c>
      <c r="E14" s="645">
        <f>Deals!I16+Deals!I17+Deals!I18+Deals!I19</f>
        <v>-60</v>
      </c>
      <c r="F14" s="645">
        <f>Deals!J16+Deals!J17+Deals!J18+Deals!J19</f>
        <v>-60</v>
      </c>
      <c r="G14" s="645">
        <f>Deals!K16+Deals!K17+Deals!K18+Deals!K19</f>
        <v>-60</v>
      </c>
      <c r="H14" s="645">
        <f>Deals!L16+Deals!L17+Deals!L18+Deals!L19</f>
        <v>-60</v>
      </c>
      <c r="I14" s="645">
        <f>Deals!M16+Deals!M17+Deals!M18+Deals!M19</f>
        <v>-60</v>
      </c>
      <c r="J14" s="645">
        <f>Deals!N16+Deals!N17+Deals!N18+Deals!N19</f>
        <v>-60</v>
      </c>
      <c r="K14" s="645">
        <f>Deals!O16+Deals!O17+Deals!O18+Deals!O19</f>
        <v>-60</v>
      </c>
      <c r="L14" s="645">
        <f>Deals!P16+Deals!P17+Deals!P18+Deals!P19</f>
        <v>-60</v>
      </c>
      <c r="M14" s="645">
        <f>Deals!Q16+Deals!Q17+Deals!Q18+Deals!Q19</f>
        <v>-60</v>
      </c>
      <c r="N14" s="645">
        <f>Deals!R16+Deals!R17+Deals!R18+Deals!R19</f>
        <v>-60</v>
      </c>
      <c r="O14" s="645">
        <f>Deals!S16+Deals!S17+Deals!S18+Deals!S19</f>
        <v>-60</v>
      </c>
      <c r="P14" s="645">
        <f>Deals!T16+Deals!T17+Deals!T18+Deals!T19</f>
        <v>-60</v>
      </c>
      <c r="Q14" s="645">
        <f>Deals!U16+Deals!U17+Deals!U18+Deals!U19</f>
        <v>-60</v>
      </c>
      <c r="R14" s="645">
        <f>Deals!V16+Deals!V17+Deals!V18+Deals!V19</f>
        <v>-60</v>
      </c>
      <c r="S14" s="645">
        <f>Deals!W16+Deals!W17+Deals!W18+Deals!W19</f>
        <v>-60</v>
      </c>
      <c r="T14" s="645">
        <f>Deals!X16+Deals!X17+Deals!X18+Deals!X19</f>
        <v>-60</v>
      </c>
      <c r="U14" s="645">
        <f>Deals!Y16+Deals!Y17+Deals!Y18+Deals!Y19</f>
        <v>-36</v>
      </c>
      <c r="V14" s="645">
        <f>Deals!Z16+Deals!Z17+Deals!Z18+Deals!Z19</f>
        <v>-28</v>
      </c>
      <c r="W14" s="645">
        <f>Deals!AA16+Deals!AA17+Deals!AA18+Deals!AA19</f>
        <v>-28</v>
      </c>
      <c r="X14" s="645">
        <f>Deals!AB16+Deals!AB17+Deals!AB18+Deals!AB19</f>
        <v>-60</v>
      </c>
      <c r="Y14" s="697">
        <f>Deals!AC16+Deals!AC17+Deals!AC18+Deals!AC19</f>
        <v>-60</v>
      </c>
      <c r="Z14" s="160"/>
      <c r="AA14" s="162"/>
    </row>
    <row r="15" spans="1:213" s="161" customFormat="1" ht="12"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-50</v>
      </c>
      <c r="O15" s="639">
        <f t="array" aca="1" ref="O15" ca="1">SUM(IF((DelPoint= "PV")*IF((DType = "firm")+(DType = "econ")&gt;0,1,0)*(OFFSET(DelPoint,0,O3+2)&lt;0),OFFSET(DelPoint,0,O3+2),0))</f>
        <v>-50</v>
      </c>
      <c r="P15" s="639">
        <f t="array" aca="1" ref="P15" ca="1">SUM(IF((DelPoint= "PV")*IF((DType = "firm")+(DType = "econ")&gt;0,1,0)*(OFFSET(DelPoint,0,P3+2)&lt;0),OFFSET(DelPoint,0,P3+2),0))</f>
        <v>-50</v>
      </c>
      <c r="Q15" s="639">
        <f t="array" aca="1" ref="Q15" ca="1">SUM(IF((DelPoint= "PV")*IF((DType = "firm")+(DType = "econ")&gt;0,1,0)*(OFFSET(DelPoint,0,Q3+2)&lt;0),OFFSET(DelPoint,0,Q3+2),0))</f>
        <v>-50</v>
      </c>
      <c r="R15" s="639">
        <f t="array" aca="1" ref="R15" ca="1">SUM(IF((DelPoint= "PV")*IF((DType = "firm")+(DType = "econ")&gt;0,1,0)*(OFFSET(DelPoint,0,R3+2)&lt;0),OFFSET(DelPoint,0,R3+2),0))</f>
        <v>-25</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-137</v>
      </c>
      <c r="V15" s="639">
        <f t="array" aca="1" ref="V15" ca="1">SUM(IF((DelPoint= "PV")*IF((DType = "firm")+(DType = "econ")&gt;0,1,0)*(OFFSET(DelPoint,0,V3+2)&lt;0),OFFSET(DelPoint,0,V3+2),0))</f>
        <v>-150</v>
      </c>
      <c r="W15" s="639">
        <f t="array" aca="1" ref="W15" ca="1">SUM(IF((DelPoint= "PV")*IF((DType = "firm")+(DType = "econ")&gt;0,1,0)*(OFFSET(DelPoint,0,W3+2)&lt;0),OFFSET(DelPoint,0,W3+2),0))</f>
        <v>-100</v>
      </c>
      <c r="X15" s="639">
        <f t="array" aca="1" ref="X15" ca="1">SUM(IF((DelPoint= "PV")*IF((DType = "firm")+(DType = "econ")&gt;0,1,0)*(OFFSET(DelPoint,0,X3+2)&lt;0),OFFSET(DelPoint,0,X3+2),0))</f>
        <v>-200</v>
      </c>
      <c r="Y15" s="640">
        <f t="array" aca="1" ref="Y15" ca="1">SUM(IF((DelPoint= "PV")*IF((DType = "firm")+(DType = "econ")&gt;0,1,0)*(OFFSET(DelPoint,0,Y3+2)&lt;0),OFFSET(DelPoint,0,Y3+2),0))</f>
        <v>-125</v>
      </c>
      <c r="Z15" s="160"/>
      <c r="AA15" s="162"/>
    </row>
    <row r="16" spans="1:213" s="161" customFormat="1" ht="12"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2"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2" x14ac:dyDescent="0.2">
      <c r="A18" s="558" t="s">
        <v>277</v>
      </c>
      <c r="B18" s="645">
        <f ca="1">Deals!F7+Deals!F8+Deals!F9</f>
        <v>-103</v>
      </c>
      <c r="C18" s="645">
        <f>Deals!G7+Deals!G8+Deals!G9</f>
        <v>-103</v>
      </c>
      <c r="D18" s="645">
        <f>Deals!H7+Deals!H8+Deals!H9</f>
        <v>-103</v>
      </c>
      <c r="E18" s="745">
        <f>Deals!I7+Deals!I8+Deals!I9</f>
        <v>-103</v>
      </c>
      <c r="F18" s="645">
        <f>Deals!J7+Deals!J8+Deals!J9</f>
        <v>-103</v>
      </c>
      <c r="G18" s="645">
        <f>Deals!K7+Deals!K8+Deals!K9</f>
        <v>-103</v>
      </c>
      <c r="H18" s="748">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-26</v>
      </c>
      <c r="V18" s="645">
        <f>Deals!Z7+Deals!Z8+Deals!Z9</f>
        <v>0</v>
      </c>
      <c r="W18" s="645">
        <f>Deals!AA7+Deals!AA8+Deals!AA9</f>
        <v>0</v>
      </c>
      <c r="X18" s="645">
        <f>Deals!AB7+Deals!AB8+Deals!AB9</f>
        <v>0</v>
      </c>
      <c r="Y18" s="697">
        <f>Deals!AC7+Deals!AC8+Deals!AC9</f>
        <v>0</v>
      </c>
      <c r="Z18" s="160"/>
      <c r="AA18" s="162"/>
    </row>
    <row r="19" spans="1:27" s="161" customFormat="1" ht="12" x14ac:dyDescent="0.2">
      <c r="A19" s="559" t="s">
        <v>252</v>
      </c>
      <c r="B19" s="646"/>
      <c r="C19" s="647"/>
      <c r="D19" s="647"/>
      <c r="E19" s="647"/>
      <c r="F19" s="647"/>
      <c r="G19" s="647"/>
      <c r="H19" s="749"/>
      <c r="I19" s="647"/>
      <c r="J19" s="647"/>
      <c r="K19" s="646"/>
      <c r="L19" s="646"/>
      <c r="M19" s="646"/>
      <c r="N19" s="646"/>
      <c r="O19" s="646"/>
      <c r="P19" s="646"/>
      <c r="Q19" s="646"/>
      <c r="R19" s="646"/>
      <c r="S19" s="646"/>
      <c r="T19" s="646"/>
      <c r="U19" s="646"/>
      <c r="V19" s="646"/>
      <c r="W19" s="646"/>
      <c r="X19" s="646"/>
      <c r="Y19" s="648"/>
      <c r="Z19" s="160"/>
      <c r="AA19" s="162"/>
    </row>
    <row r="20" spans="1:27" s="161" customFormat="1"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50">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51"/>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 ca="1">Deals!F3</f>
        <v>40</v>
      </c>
      <c r="C22" s="652">
        <f>Deals!G3</f>
        <v>25</v>
      </c>
      <c r="D22" s="652">
        <f>Deals!H3</f>
        <v>10</v>
      </c>
      <c r="E22" s="761">
        <f>Deals!I3</f>
        <v>10</v>
      </c>
      <c r="F22" s="652">
        <f>Deals!J3</f>
        <v>10</v>
      </c>
      <c r="G22" s="652">
        <f>Deals!K3</f>
        <v>0</v>
      </c>
      <c r="H22" s="752">
        <f>Deals!L3</f>
        <v>0</v>
      </c>
      <c r="I22" s="652">
        <f>Deals!M3</f>
        <v>30</v>
      </c>
      <c r="J22" s="652">
        <f>Deals!N3</f>
        <v>50</v>
      </c>
      <c r="K22" s="652">
        <f>Deals!O3</f>
        <v>80</v>
      </c>
      <c r="L22" s="652">
        <f>Deals!P3</f>
        <v>120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140</v>
      </c>
      <c r="Y22" s="653">
        <f>Deals!AC3</f>
        <v>90</v>
      </c>
      <c r="Z22" s="160"/>
      <c r="AA22" s="162"/>
    </row>
    <row r="23" spans="1:27" s="161" customFormat="1" ht="12" x14ac:dyDescent="0.2">
      <c r="A23" s="481" t="s">
        <v>307</v>
      </c>
      <c r="B23" s="654">
        <f>Deals!F5</f>
        <v>1</v>
      </c>
      <c r="C23" s="654">
        <f>Deals!G5</f>
        <v>1</v>
      </c>
      <c r="D23" s="654">
        <f>Deals!H5</f>
        <v>1</v>
      </c>
      <c r="E23" s="744">
        <f>Deals!I5</f>
        <v>1</v>
      </c>
      <c r="F23" s="654">
        <f>Deals!J5</f>
        <v>1</v>
      </c>
      <c r="G23" s="654">
        <f>Deals!K5</f>
        <v>13</v>
      </c>
      <c r="H23" s="753">
        <f>Deals!L5</f>
        <v>13</v>
      </c>
      <c r="I23" s="654">
        <f>Deals!M5</f>
        <v>13</v>
      </c>
      <c r="J23" s="654">
        <f>Deals!N5</f>
        <v>13</v>
      </c>
      <c r="K23" s="654">
        <f>Deals!O5</f>
        <v>13</v>
      </c>
      <c r="L23" s="654">
        <f>Deals!P5</f>
        <v>13</v>
      </c>
      <c r="M23" s="654">
        <f>Deals!Q5</f>
        <v>13</v>
      </c>
      <c r="N23" s="654">
        <f>Deals!R5</f>
        <v>13</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54"/>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2" x14ac:dyDescent="0.2">
      <c r="A25" s="475" t="s">
        <v>115</v>
      </c>
      <c r="B25" s="659"/>
      <c r="C25" s="659"/>
      <c r="D25" s="659"/>
      <c r="E25" s="659"/>
      <c r="F25" s="659"/>
      <c r="G25" s="659"/>
      <c r="H25" s="755"/>
      <c r="I25" s="659"/>
      <c r="J25" s="659"/>
      <c r="K25" s="659"/>
      <c r="L25" s="659"/>
      <c r="M25" s="659"/>
      <c r="N25" s="659"/>
      <c r="O25" s="659"/>
      <c r="P25" s="659"/>
      <c r="Q25" s="659"/>
      <c r="R25" s="659"/>
      <c r="S25" s="659"/>
      <c r="T25" s="659"/>
      <c r="U25" s="659"/>
      <c r="V25" s="659"/>
      <c r="W25" s="659"/>
      <c r="X25" s="659"/>
      <c r="Y25" s="698"/>
      <c r="Z25" s="160"/>
      <c r="AA25" s="162"/>
    </row>
    <row r="26" spans="1:27" s="161" customFormat="1" ht="12"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56">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2" x14ac:dyDescent="0.2">
      <c r="A27" s="562" t="s">
        <v>359</v>
      </c>
      <c r="B27" s="654">
        <f>Deals!F15</f>
        <v>60</v>
      </c>
      <c r="C27" s="654">
        <f>Deals!G15</f>
        <v>60</v>
      </c>
      <c r="D27" s="654">
        <f>Deals!H15</f>
        <v>60</v>
      </c>
      <c r="E27" s="744">
        <f>Deals!I15</f>
        <v>60</v>
      </c>
      <c r="F27" s="654">
        <f>Deals!J15</f>
        <v>60</v>
      </c>
      <c r="G27" s="654">
        <f>Deals!K15</f>
        <v>60</v>
      </c>
      <c r="H27" s="753">
        <f>Deals!L15</f>
        <v>60</v>
      </c>
      <c r="I27" s="654">
        <f>Deals!M15</f>
        <v>60</v>
      </c>
      <c r="J27" s="654">
        <f>Deals!N15</f>
        <v>60</v>
      </c>
      <c r="K27" s="654">
        <f>Deals!O15</f>
        <v>60</v>
      </c>
      <c r="L27" s="654">
        <f>Deals!P15</f>
        <v>60</v>
      </c>
      <c r="M27" s="654">
        <f>Deals!Q15</f>
        <v>60</v>
      </c>
      <c r="N27" s="654">
        <f>Deals!R15</f>
        <v>60</v>
      </c>
      <c r="O27" s="654">
        <f>Deals!S15</f>
        <v>60</v>
      </c>
      <c r="P27" s="654">
        <f>Deals!T15</f>
        <v>60</v>
      </c>
      <c r="Q27" s="654">
        <f>Deals!U15</f>
        <v>60</v>
      </c>
      <c r="R27" s="654">
        <f>Deals!V15</f>
        <v>60</v>
      </c>
      <c r="S27" s="654">
        <f>Deals!W15</f>
        <v>60</v>
      </c>
      <c r="T27" s="654">
        <f>Deals!X15</f>
        <v>60</v>
      </c>
      <c r="U27" s="654">
        <f>Deals!Y15</f>
        <v>60</v>
      </c>
      <c r="V27" s="654">
        <f>Deals!Z15</f>
        <v>60</v>
      </c>
      <c r="W27" s="654">
        <f>Deals!AA15</f>
        <v>60</v>
      </c>
      <c r="X27" s="654">
        <f>Deals!AB15</f>
        <v>60</v>
      </c>
      <c r="Y27" s="655">
        <f>Deals!AC15</f>
        <v>60</v>
      </c>
      <c r="Z27" s="160"/>
      <c r="AA27" s="162"/>
    </row>
    <row r="28" spans="1:27" s="161" customFormat="1"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0</v>
      </c>
      <c r="F28" s="663">
        <f t="array" aca="1" ref="F28" ca="1">SUM(IF((DelPoint= "4C")*IF((DType = "firm")+(DType = "econ")&gt;0,1,0)*(OFFSET(DelPoint,0,F3+2)&gt;0),OFFSET(DelPoint,0,F3+2),0))</f>
        <v>0</v>
      </c>
      <c r="G28" s="663">
        <f t="array" aca="1" ref="G28" ca="1">SUM(IF((DelPoint= "4C")*IF((DType = "firm")+(DType = "econ")&gt;0,1,0)*(OFFSET(DelPoint,0,G3+2)&gt;0),OFFSET(DelPoint,0,G3+2),0))</f>
        <v>100</v>
      </c>
      <c r="H28" s="757">
        <f t="array" aca="1" ref="H28" ca="1">SUM(IF((DelPoint= "4C")*IF((DType = "firm")+(DType = "econ")&gt;0,1,0)*(OFFSET(DelPoint,0,H3+2)&gt;0),OFFSET(DelPoint,0,H3+2),0))</f>
        <v>100</v>
      </c>
      <c r="I28" s="663">
        <f t="array" aca="1" ref="I28" ca="1">SUM(IF((DelPoint= "4C")*IF((DType = "firm")+(DType = "econ")&gt;0,1,0)*(OFFSET(DelPoint,0,I3+2)&gt;0),OFFSET(DelPoint,0,I3+2),0))</f>
        <v>85</v>
      </c>
      <c r="J28" s="663">
        <f t="array" aca="1" ref="J28" ca="1">SUM(IF((DelPoint= "4C")*IF((DType = "firm")+(DType = "econ")&gt;0,1,0)*(OFFSET(DelPoint,0,J3+2)&gt;0),OFFSET(DelPoint,0,J3+2),0))</f>
        <v>120</v>
      </c>
      <c r="K28" s="663">
        <f t="array" aca="1" ref="K28" ca="1">SUM(IF((DelPoint= "4C")*IF((DType = "firm")+(DType = "econ")&gt;0,1,0)*(OFFSET(DelPoint,0,K3+2)&gt;0),OFFSET(DelPoint,0,K3+2),0))</f>
        <v>95</v>
      </c>
      <c r="L28" s="663">
        <f t="array" aca="1" ref="L28" ca="1">SUM(IF((DelPoint= "4C")*IF((DType = "firm")+(DType = "econ")&gt;0,1,0)*(OFFSET(DelPoint,0,L3+2)&gt;0),OFFSET(DelPoint,0,L3+2),0))</f>
        <v>25</v>
      </c>
      <c r="M28" s="663">
        <f t="array" aca="1" ref="M28" ca="1">SUM(IF((DelPoint= "4C")*IF((DType = "firm")+(DType = "econ")&gt;0,1,0)*(OFFSET(DelPoint,0,M3+2)&gt;0),OFFSET(DelPoint,0,M3+2),0))</f>
        <v>0</v>
      </c>
      <c r="N28" s="663">
        <f t="array" aca="1" ref="N28" ca="1">SUM(IF((DelPoint= "4C")*IF((DType = "firm")+(DType = "econ")&gt;0,1,0)*(OFFSET(DelPoint,0,N3+2)&gt;0),OFFSET(DelPoint,0,N3+2),0))</f>
        <v>0</v>
      </c>
      <c r="O28" s="663">
        <f t="array" aca="1" ref="O28" ca="1">SUM(IF((DelPoint= "4C")*IF((DType = "firm")+(DType = "econ")&gt;0,1,0)*(OFFSET(DelPoint,0,O3+2)&gt;0),OFFSET(DelPoint,0,O3+2),0))</f>
        <v>0</v>
      </c>
      <c r="P28" s="663">
        <f t="array" aca="1" ref="P28" ca="1">SUM(IF((DelPoint= "4C")*IF((DType = "firm")+(DType = "econ")&gt;0,1,0)*(OFFSET(DelPoint,0,P3+2)&gt;0),OFFSET(DelPoint,0,P3+2),0))</f>
        <v>0</v>
      </c>
      <c r="Q28" s="663">
        <f t="array" aca="1" ref="Q28" ca="1">SUM(IF((DelPoint= "4C")*IF((DType = "firm")+(DType = "econ")&gt;0,1,0)*(OFFSET(DelPoint,0,Q3+2)&gt;0),OFFSET(DelPoint,0,Q3+2),0))</f>
        <v>0</v>
      </c>
      <c r="R28" s="663">
        <f t="array" aca="1" ref="R28" ca="1">SUM(IF((DelPoint= "4C")*IF((DType = "firm")+(DType = "econ")&gt;0,1,0)*(OFFSET(DelPoint,0,R3+2)&gt;0),OFFSET(DelPoint,0,R3+2),0))</f>
        <v>0</v>
      </c>
      <c r="S28" s="663">
        <f t="array" aca="1" ref="S28" ca="1">SUM(IF((DelPoint= "4C")*IF((DType = "firm")+(DType = "econ")&gt;0,1,0)*(OFFSET(DelPoint,0,S3+2)&gt;0),OFFSET(DelPoint,0,S3+2),0))</f>
        <v>0</v>
      </c>
      <c r="T28" s="663">
        <f t="array" aca="1" ref="T28" ca="1">SUM(IF((DelPoint= "4C")*IF((DType = "firm")+(DType = "econ")&gt;0,1,0)*(OFFSET(DelPoint,0,T3+2)&gt;0),OFFSET(DelPoint,0,T3+2),0))</f>
        <v>0</v>
      </c>
      <c r="U28" s="663">
        <f t="array" aca="1" ref="U28" ca="1">SUM(IF((DelPoint= "4C")*IF((DType = "firm")+(DType = "econ")&gt;0,1,0)*(OFFSET(DelPoint,0,U3+2)&gt;0),OFFSET(DelPoint,0,U3+2),0))</f>
        <v>0</v>
      </c>
      <c r="V28" s="663">
        <f t="array" aca="1" ref="V28" ca="1">SUM(IF((DelPoint= "4C")*IF((DType = "firm")+(DType = "econ")&gt;0,1,0)*(OFFSET(DelPoint,0,V3+2)&gt;0),OFFSET(DelPoint,0,V3+2),0))</f>
        <v>0</v>
      </c>
      <c r="W28" s="663">
        <f t="array" aca="1" ref="W28" ca="1">SUM(IF((DelPoint= "4C")*IF((DType = "firm")+(DType = "econ")&gt;0,1,0)*(OFFSET(DelPoint,0,W3+2)&gt;0),OFFSET(DelPoint,0,W3+2),0))</f>
        <v>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2" x14ac:dyDescent="0.2">
      <c r="A29" s="578" t="s">
        <v>118</v>
      </c>
      <c r="B29" s="666">
        <f t="array" aca="1" ref="B29" ca="1">SUM(IF((DelPoint= "PV")*(DType = "pre")*(OFFSET(DelPoint,0,B3+2)&gt;0),OFFSET(DelPoint,0,B3+2),0))</f>
        <v>130</v>
      </c>
      <c r="C29" s="667">
        <f t="array" aca="1" ref="C29" ca="1">SUM(IF((DelPoint= "PV")*(DType = "pre")*(OFFSET(DelPoint,0,C3+2)&gt;0),OFFSET(DelPoint,0,C3+2),0))</f>
        <v>130</v>
      </c>
      <c r="D29" s="667">
        <f t="array" aca="1" ref="D29" ca="1">SUM(IF((DelPoint= "PV")*(DType = "pre")*(OFFSET(DelPoint,0,D3+2)&gt;0),OFFSET(DelPoint,0,D3+2),0))</f>
        <v>130</v>
      </c>
      <c r="E29" s="743">
        <f t="array" aca="1" ref="E29" ca="1">SUM(IF((DelPoint= "PV")*(DType = "pre")*(OFFSET(DelPoint,0,E3+2)&gt;0),OFFSET(DelPoint,0,E3+2),0))</f>
        <v>130</v>
      </c>
      <c r="F29" s="666">
        <f t="array" aca="1" ref="F29" ca="1">SUM(IF((DelPoint= "PV")*(DType = "pre")*(OFFSET(DelPoint,0,F3+2)&gt;0),OFFSET(DelPoint,0,F3+2),0))</f>
        <v>130</v>
      </c>
      <c r="G29" s="666">
        <f t="array" aca="1" ref="G29" ca="1">SUM(IF((DelPoint= "PV")*(DType = "pre")*(OFFSET(DelPoint,0,G3+2)&gt;0),OFFSET(DelPoint,0,G3+2),0))</f>
        <v>130</v>
      </c>
      <c r="H29" s="758">
        <f t="array" aca="1" ref="H29" ca="1">SUM(IF((DelPoint= "PV")*(DType = "pre")*(OFFSET(DelPoint,0,H3+2)&gt;0),OFFSET(DelPoint,0,H3+2),0))</f>
        <v>165</v>
      </c>
      <c r="I29" s="666">
        <f t="array" aca="1" ref="I29" ca="1">SUM(IF((DelPoint= "PV")*(DType = "pre")*(OFFSET(DelPoint,0,I3+2)&gt;0),OFFSET(DelPoint,0,I3+2),0))</f>
        <v>165</v>
      </c>
      <c r="J29" s="666">
        <f t="array" aca="1" ref="J29" ca="1">SUM(IF((DelPoint= "PV")*(DType = "pre")*(OFFSET(DelPoint,0,J3+2)&gt;0),OFFSET(DelPoint,0,J3+2),0))</f>
        <v>165</v>
      </c>
      <c r="K29" s="666">
        <f t="array" aca="1" ref="K29" ca="1">SUM(IF((DelPoint= "PV")*(DType = "pre")*(OFFSET(DelPoint,0,K3+2)&gt;0),OFFSET(DelPoint,0,K3+2),0))</f>
        <v>165</v>
      </c>
      <c r="L29" s="666">
        <f t="array" aca="1" ref="L29" ca="1">SUM(IF((DelPoint= "PV")*(DType = "pre")*(OFFSET(DelPoint,0,L3+2)&gt;0),OFFSET(DelPoint,0,L3+2),0))</f>
        <v>165</v>
      </c>
      <c r="M29" s="666">
        <f t="array" aca="1" ref="M29" ca="1">SUM(IF((DelPoint= "PV")*(DType = "pre")*(OFFSET(DelPoint,0,M3+2)&gt;0),OFFSET(DelPoint,0,M3+2),0))</f>
        <v>165</v>
      </c>
      <c r="N29" s="666">
        <f t="array" aca="1" ref="N29" ca="1">SUM(IF((DelPoint= "PV")*(DType = "pre")*(OFFSET(DelPoint,0,N3+2)&gt;0),OFFSET(DelPoint,0,N3+2),0))</f>
        <v>165</v>
      </c>
      <c r="O29" s="666">
        <f t="array" aca="1" ref="O29" ca="1">SUM(IF((DelPoint= "PV")*(DType = "pre")*(OFFSET(DelPoint,0,O3+2)&gt;0),OFFSET(DelPoint,0,O3+2),0))</f>
        <v>165</v>
      </c>
      <c r="P29" s="666">
        <f t="array" aca="1" ref="P29" ca="1">SUM(IF((DelPoint= "PV")*(DType = "pre")*(OFFSET(DelPoint,0,P3+2)&gt;0),OFFSET(DelPoint,0,P3+2),0))</f>
        <v>165</v>
      </c>
      <c r="Q29" s="666">
        <f t="array" aca="1" ref="Q29" ca="1">SUM(IF((DelPoint= "PV")*(DType = "pre")*(OFFSET(DelPoint,0,Q3+2)&gt;0),OFFSET(DelPoint,0,Q3+2),0))</f>
        <v>165</v>
      </c>
      <c r="R29" s="666">
        <f t="array" aca="1" ref="R29" ca="1">SUM(IF((DelPoint= "PV")*(DType = "pre")*(OFFSET(DelPoint,0,R3+2)&gt;0),OFFSET(DelPoint,0,R3+2),0))</f>
        <v>165</v>
      </c>
      <c r="S29" s="666">
        <f t="array" aca="1" ref="S29" ca="1">SUM(IF((DelPoint= "PV")*(DType = "pre")*(OFFSET(DelPoint,0,S3+2)&gt;0),OFFSET(DelPoint,0,S3+2),0))</f>
        <v>165</v>
      </c>
      <c r="T29" s="666">
        <f t="array" aca="1" ref="T29" ca="1">SUM(IF((DelPoint= "PV")*(DType = "pre")*(OFFSET(DelPoint,0,T3+2)&gt;0),OFFSET(DelPoint,0,T3+2),0))</f>
        <v>165</v>
      </c>
      <c r="U29" s="666">
        <f t="array" aca="1" ref="U29" ca="1">SUM(IF((DelPoint= "PV")*(DType = "pre")*(OFFSET(DelPoint,0,U3+2)&gt;0),OFFSET(DelPoint,0,U3+2),0))</f>
        <v>165</v>
      </c>
      <c r="V29" s="666">
        <f t="array" aca="1" ref="V29" ca="1">SUM(IF((DelPoint= "PV")*(DType = "pre")*(OFFSET(DelPoint,0,V3+2)&gt;0),OFFSET(DelPoint,0,V3+2),0))</f>
        <v>165</v>
      </c>
      <c r="W29" s="666">
        <f t="array" aca="1" ref="W29" ca="1">SUM(IF((DelPoint= "PV")*(DType = "pre")*(OFFSET(DelPoint,0,W3+2)&gt;0),OFFSET(DelPoint,0,W3+2),0))</f>
        <v>165</v>
      </c>
      <c r="X29" s="666">
        <f t="array" aca="1" ref="X29" ca="1">SUM(IF((DelPoint= "PV")*(DType = "pre")*(OFFSET(DelPoint,0,X3+2)&gt;0),OFFSET(DelPoint,0,X3+2),0))</f>
        <v>130</v>
      </c>
      <c r="Y29" s="668">
        <f t="array" aca="1" ref="Y29" ca="1">SUM(IF((DelPoint= "PV")*(DType = "pre")*(OFFSET(DelPoint,0,Y3+2)&gt;0),OFFSET(DelPoint,0,Y3+2),0))</f>
        <v>130</v>
      </c>
      <c r="Z29" s="160"/>
      <c r="AA29" s="162"/>
    </row>
    <row r="30" spans="1:27" s="161" customFormat="1" ht="12"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9">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2" x14ac:dyDescent="0.2">
      <c r="A31" s="476" t="s">
        <v>305</v>
      </c>
      <c r="B31" s="670">
        <f ca="1">Deals!F12+Deals!F13+Deals!F14+Deals!F11</f>
        <v>103</v>
      </c>
      <c r="C31" s="670">
        <f>Deals!G12+Deals!G13+Deals!G14+Deals!G11</f>
        <v>103</v>
      </c>
      <c r="D31" s="670">
        <f>Deals!H12+Deals!H13+Deals!H14+Deals!H11</f>
        <v>103</v>
      </c>
      <c r="E31" s="670">
        <f>Deals!I12+Deals!I13+Deals!I14+Deals!I11</f>
        <v>103</v>
      </c>
      <c r="F31" s="670">
        <f>Deals!J12+Deals!J13+Deals!J14+Deals!J11</f>
        <v>103</v>
      </c>
      <c r="G31" s="670">
        <f>Deals!K12+Deals!K13+Deals!K14+Deals!K11</f>
        <v>103</v>
      </c>
      <c r="H31" s="670">
        <f>Deals!L12+Deals!L13+Deals!L14+Deals!L11</f>
        <v>0</v>
      </c>
      <c r="I31" s="670">
        <f>Deals!M12+Deals!M13+Deals!M14+Deals!M11</f>
        <v>0</v>
      </c>
      <c r="J31" s="670">
        <f>Deals!N12+Deals!N13+Deals!N14+Deals!N11</f>
        <v>0</v>
      </c>
      <c r="K31" s="670">
        <f>Deals!O12+Deals!O13+Deals!O14+Deals!O11</f>
        <v>0</v>
      </c>
      <c r="L31" s="670">
        <f>Deals!P12+Deals!P13+Deals!P14+Deals!P11</f>
        <v>0</v>
      </c>
      <c r="M31" s="670">
        <f>Deals!Q12+Deals!Q13+Deals!Q14+Deals!Q11</f>
        <v>0</v>
      </c>
      <c r="N31" s="670">
        <f>Deals!R12+Deals!R13+Deals!R14+Deals!R11</f>
        <v>0</v>
      </c>
      <c r="O31" s="670">
        <f>Deals!S12+Deals!S13+Deals!S14+Deals!S11</f>
        <v>0</v>
      </c>
      <c r="P31" s="670">
        <f>Deals!T12+Deals!T13+Deals!T14+Deals!T11</f>
        <v>0</v>
      </c>
      <c r="Q31" s="670">
        <f>Deals!U12+Deals!U13+Deals!U14+Deals!U11</f>
        <v>0</v>
      </c>
      <c r="R31" s="670">
        <f>Deals!V12+Deals!V13+Deals!V14+Deals!V11</f>
        <v>0</v>
      </c>
      <c r="S31" s="670">
        <f>Deals!W12+Deals!W13+Deals!W14+Deals!W11</f>
        <v>0</v>
      </c>
      <c r="T31" s="670">
        <f>Deals!X12+Deals!X13+Deals!X14+Deals!X11</f>
        <v>0</v>
      </c>
      <c r="U31" s="670">
        <f>Deals!Y12+Deals!Y13+Deals!Y14+Deals!Y11</f>
        <v>0</v>
      </c>
      <c r="V31" s="670">
        <f>Deals!Z12+Deals!Z13+Deals!Z14+Deals!Z11</f>
        <v>0</v>
      </c>
      <c r="W31" s="670">
        <f>Deals!AA12+Deals!AA13+Deals!AA14+Deals!AA11</f>
        <v>0</v>
      </c>
      <c r="X31" s="670">
        <f>Deals!AB12+Deals!AB13+Deals!AB14+Deals!AB11</f>
        <v>103</v>
      </c>
      <c r="Y31" s="670">
        <f>Deals!AC12+Deals!AC13+Deals!AC14+Deals!AC11</f>
        <v>103</v>
      </c>
      <c r="Z31" s="160"/>
      <c r="AA31" s="162"/>
    </row>
    <row r="32" spans="1:27" s="161" customFormat="1" ht="12"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0</v>
      </c>
      <c r="H32" s="760">
        <f t="array" aca="1" ref="H32" ca="1">SUM(IF((DelPoint= "PV")*IF((DType = "firm")+(DType = "econ")&gt;0,1,0)*(OFFSET(DelPoint,0,H3+2)&gt;0),OFFSET(DelPoint,0,H3+2),0))</f>
        <v>70</v>
      </c>
      <c r="I32" s="639">
        <f t="array" aca="1" ref="I32" ca="1">SUM(IF((DelPoint= "PV")*IF((DType = "firm")+(DType = "econ")&gt;0,1,0)*(OFFSET(DelPoint,0,I3+2)&gt;0),OFFSET(DelPoint,0,I3+2),0))</f>
        <v>70</v>
      </c>
      <c r="J32" s="639">
        <f t="array" aca="1" ref="J32" ca="1">SUM(IF((DelPoint= "PV")*IF((DType = "firm")+(DType = "econ")&gt;0,1,0)*(OFFSET(DelPoint,0,J3+2)&gt;0),OFFSET(DelPoint,0,J3+2),0))</f>
        <v>70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40">
        <f t="array" aca="1" ref="Y32" ca="1">SUM(IF((DelPoint= "PV")*IF((DType = "firm")+(DType = "econ")&gt;0,1,0)*(OFFSET(DelPoint,0,Y3+2)&gt;0),OFFSET(DelPoint,0,Y3+2),0))</f>
        <v>100</v>
      </c>
      <c r="Z32" s="160"/>
      <c r="AA32" s="162"/>
    </row>
    <row r="33" spans="1:33" s="161" customFormat="1" ht="12"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2"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6" t="s">
        <v>122</v>
      </c>
      <c r="B38" s="502">
        <f ca="1">SUM(B22:B37)+B4+B5</f>
        <v>986</v>
      </c>
      <c r="C38" s="502">
        <f ca="1">SUM(C22:C37)+C4+C5</f>
        <v>950</v>
      </c>
      <c r="D38" s="502">
        <f ca="1">SUM(D22:D37)+D4+D5</f>
        <v>925</v>
      </c>
      <c r="E38" s="502">
        <f ca="1">SUM(E22:E37)+E4+E5</f>
        <v>927</v>
      </c>
      <c r="F38" s="502">
        <f ca="1">SUM(F22:F37)+F4+F5</f>
        <v>974</v>
      </c>
      <c r="G38" s="502">
        <f t="shared" ref="G38:Y38" ca="1" si="6">SUM(G22:G37)+G4+G5</f>
        <v>1114</v>
      </c>
      <c r="H38" s="502">
        <f t="shared" ca="1" si="6"/>
        <v>1189</v>
      </c>
      <c r="I38" s="502">
        <f t="shared" ca="1" si="6"/>
        <v>1263</v>
      </c>
      <c r="J38" s="502">
        <f t="shared" ca="1" si="6"/>
        <v>1366</v>
      </c>
      <c r="K38" s="502">
        <f t="shared" ca="1" si="6"/>
        <v>1355</v>
      </c>
      <c r="L38" s="502">
        <f t="shared" ca="1" si="6"/>
        <v>1367</v>
      </c>
      <c r="M38" s="502">
        <f t="shared" ca="1" si="6"/>
        <v>1408</v>
      </c>
      <c r="N38" s="502">
        <f t="shared" ca="1" si="6"/>
        <v>1424</v>
      </c>
      <c r="O38" s="502">
        <f t="shared" ca="1" si="6"/>
        <v>1455</v>
      </c>
      <c r="P38" s="502">
        <f t="shared" ca="1" si="6"/>
        <v>1454</v>
      </c>
      <c r="Q38" s="502">
        <f t="shared" ca="1" si="6"/>
        <v>1448</v>
      </c>
      <c r="R38" s="502">
        <f t="shared" ca="1" si="6"/>
        <v>1403</v>
      </c>
      <c r="S38" s="502">
        <f t="shared" ca="1" si="6"/>
        <v>1375</v>
      </c>
      <c r="T38" s="502">
        <f t="shared" ca="1" si="6"/>
        <v>1355</v>
      </c>
      <c r="U38" s="502">
        <f t="shared" ca="1" si="6"/>
        <v>1387</v>
      </c>
      <c r="V38" s="502">
        <f t="shared" ca="1" si="6"/>
        <v>1333</v>
      </c>
      <c r="W38" s="502">
        <f t="shared" ca="1" si="6"/>
        <v>1266</v>
      </c>
      <c r="X38" s="502">
        <f t="shared" ca="1" si="6"/>
        <v>1204</v>
      </c>
      <c r="Y38" s="503">
        <f t="shared" ca="1" si="6"/>
        <v>1216</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 customHeigh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40</v>
      </c>
      <c r="C41" s="191">
        <v>39</v>
      </c>
      <c r="D41" s="191">
        <v>40</v>
      </c>
      <c r="E41" s="546">
        <v>40</v>
      </c>
      <c r="F41" s="191">
        <v>39</v>
      </c>
      <c r="G41" s="191">
        <v>40</v>
      </c>
      <c r="H41" s="191">
        <v>40</v>
      </c>
      <c r="I41" s="191">
        <v>40</v>
      </c>
      <c r="J41" s="191">
        <v>76</v>
      </c>
      <c r="K41" s="191">
        <v>39</v>
      </c>
      <c r="L41" s="191">
        <v>65</v>
      </c>
      <c r="M41" s="191">
        <v>77</v>
      </c>
      <c r="N41" s="191">
        <v>78</v>
      </c>
      <c r="O41" s="191">
        <v>78</v>
      </c>
      <c r="P41" s="191">
        <v>78</v>
      </c>
      <c r="Q41" s="191">
        <v>78</v>
      </c>
      <c r="R41" s="191">
        <v>78</v>
      </c>
      <c r="S41" s="191">
        <v>79</v>
      </c>
      <c r="T41" s="191">
        <v>42</v>
      </c>
      <c r="U41" s="191">
        <v>78</v>
      </c>
      <c r="V41" s="191">
        <v>39</v>
      </c>
      <c r="W41" s="191">
        <v>42</v>
      </c>
      <c r="X41" s="191">
        <v>39</v>
      </c>
      <c r="Y41" s="522">
        <v>48</v>
      </c>
      <c r="Z41" s="343">
        <v>80</v>
      </c>
      <c r="AA41" s="203">
        <f ca="1">-Economics!D34/Economics!I34</f>
        <v>15287.75709502551</v>
      </c>
    </row>
    <row r="42" spans="1:33" s="161" customFormat="1" ht="15" customHeight="1" x14ac:dyDescent="0.2">
      <c r="A42" s="521" t="s">
        <v>131</v>
      </c>
      <c r="B42" s="191">
        <v>38</v>
      </c>
      <c r="C42" s="191">
        <v>38</v>
      </c>
      <c r="D42" s="191">
        <v>38</v>
      </c>
      <c r="E42" s="546">
        <v>40</v>
      </c>
      <c r="F42" s="191">
        <v>37</v>
      </c>
      <c r="G42" s="191">
        <v>64</v>
      </c>
      <c r="H42" s="191">
        <v>32</v>
      </c>
      <c r="I42" s="191">
        <v>38</v>
      </c>
      <c r="J42" s="191">
        <v>73</v>
      </c>
      <c r="K42" s="191">
        <v>46</v>
      </c>
      <c r="L42" s="191">
        <v>46</v>
      </c>
      <c r="M42" s="191">
        <v>76</v>
      </c>
      <c r="N42" s="191">
        <v>77</v>
      </c>
      <c r="O42" s="191">
        <v>76</v>
      </c>
      <c r="P42" s="191">
        <v>76</v>
      </c>
      <c r="Q42" s="191">
        <v>76</v>
      </c>
      <c r="R42" s="191">
        <v>76</v>
      </c>
      <c r="S42" s="191">
        <v>76</v>
      </c>
      <c r="T42" s="191">
        <v>39</v>
      </c>
      <c r="U42" s="191">
        <v>77</v>
      </c>
      <c r="V42" s="191">
        <v>53</v>
      </c>
      <c r="W42" s="191">
        <v>54</v>
      </c>
      <c r="X42" s="191">
        <v>37</v>
      </c>
      <c r="Y42" s="522">
        <v>37</v>
      </c>
      <c r="Z42" s="343">
        <v>78</v>
      </c>
      <c r="AA42" s="203">
        <f ca="1">-Economics!D35/Economics!I35</f>
        <v>13853.997927295919</v>
      </c>
    </row>
    <row r="43" spans="1:33" s="161" customFormat="1" ht="12.75" customHeight="1" x14ac:dyDescent="0.2">
      <c r="A43" s="523" t="s">
        <v>132</v>
      </c>
      <c r="B43" s="192">
        <v>40</v>
      </c>
      <c r="C43" s="192">
        <v>57</v>
      </c>
      <c r="D43" s="192">
        <v>35</v>
      </c>
      <c r="E43" s="547">
        <v>46</v>
      </c>
      <c r="F43" s="192">
        <v>85</v>
      </c>
      <c r="G43" s="192">
        <v>94</v>
      </c>
      <c r="H43" s="192">
        <v>80</v>
      </c>
      <c r="I43" s="192">
        <v>95</v>
      </c>
      <c r="J43" s="192">
        <v>62</v>
      </c>
      <c r="K43" s="192">
        <v>92</v>
      </c>
      <c r="L43" s="192">
        <v>95</v>
      </c>
      <c r="M43" s="192">
        <v>95</v>
      </c>
      <c r="N43" s="192">
        <v>62</v>
      </c>
      <c r="O43" s="192">
        <v>72</v>
      </c>
      <c r="P43" s="192">
        <v>89</v>
      </c>
      <c r="Q43" s="192">
        <v>88</v>
      </c>
      <c r="R43" s="192">
        <v>62</v>
      </c>
      <c r="S43" s="192">
        <v>91</v>
      </c>
      <c r="T43" s="192">
        <v>36</v>
      </c>
      <c r="U43" s="192">
        <v>94</v>
      </c>
      <c r="V43" s="192">
        <v>74</v>
      </c>
      <c r="W43" s="192">
        <v>37</v>
      </c>
      <c r="X43" s="192">
        <v>35</v>
      </c>
      <c r="Y43" s="524">
        <v>95</v>
      </c>
      <c r="Z43" s="345">
        <v>103</v>
      </c>
      <c r="AA43" s="204">
        <f ca="1">-Economics!D36/Economics!I36</f>
        <v>17470.687181122448</v>
      </c>
    </row>
    <row r="44" spans="1:33" s="161" customFormat="1" ht="12.75" customHeight="1" x14ac:dyDescent="0.2">
      <c r="A44" s="521" t="s">
        <v>49</v>
      </c>
      <c r="B44" s="191">
        <v>0</v>
      </c>
      <c r="C44" s="191">
        <v>0</v>
      </c>
      <c r="D44" s="191">
        <v>0</v>
      </c>
      <c r="E44" s="191">
        <v>5</v>
      </c>
      <c r="F44" s="191">
        <v>5</v>
      </c>
      <c r="G44" s="191">
        <v>5</v>
      </c>
      <c r="H44" s="191">
        <v>5</v>
      </c>
      <c r="I44" s="191">
        <v>5</v>
      </c>
      <c r="J44" s="191">
        <v>30</v>
      </c>
      <c r="K44" s="191">
        <v>43</v>
      </c>
      <c r="L44" s="191">
        <v>35</v>
      </c>
      <c r="M44" s="191">
        <v>36</v>
      </c>
      <c r="N44" s="191">
        <v>35</v>
      </c>
      <c r="O44" s="191">
        <v>36</v>
      </c>
      <c r="P44" s="191">
        <v>35</v>
      </c>
      <c r="Q44" s="191">
        <v>35</v>
      </c>
      <c r="R44" s="191">
        <v>35</v>
      </c>
      <c r="S44" s="191">
        <v>36</v>
      </c>
      <c r="T44" s="191">
        <v>0</v>
      </c>
      <c r="U44" s="191">
        <v>48</v>
      </c>
      <c r="V44" s="191">
        <v>35</v>
      </c>
      <c r="W44" s="191">
        <v>35</v>
      </c>
      <c r="X44" s="191">
        <v>36</v>
      </c>
      <c r="Y44" s="522">
        <v>26</v>
      </c>
      <c r="Z44" s="343">
        <v>40</v>
      </c>
      <c r="AA44" s="203">
        <f ca="1">-Economics!D37/Economics!I37</f>
        <v>8677.8609295280621</v>
      </c>
    </row>
    <row r="45" spans="1:33" s="161" customFormat="1" ht="12.75" customHeight="1" x14ac:dyDescent="0.2">
      <c r="A45" s="521" t="s">
        <v>50</v>
      </c>
      <c r="B45" s="191">
        <v>0</v>
      </c>
      <c r="C45" s="191">
        <v>0</v>
      </c>
      <c r="D45" s="191">
        <v>5</v>
      </c>
      <c r="E45" s="191">
        <v>5</v>
      </c>
      <c r="F45" s="191">
        <v>5</v>
      </c>
      <c r="G45" s="191">
        <v>5</v>
      </c>
      <c r="H45" s="191">
        <v>5</v>
      </c>
      <c r="I45" s="191">
        <v>5</v>
      </c>
      <c r="J45" s="191">
        <v>30</v>
      </c>
      <c r="K45" s="191">
        <v>42</v>
      </c>
      <c r="L45" s="191">
        <v>34</v>
      </c>
      <c r="M45" s="191">
        <v>35</v>
      </c>
      <c r="N45" s="191">
        <v>35</v>
      </c>
      <c r="O45" s="191">
        <v>35</v>
      </c>
      <c r="P45" s="191">
        <v>35</v>
      </c>
      <c r="Q45" s="191">
        <v>35</v>
      </c>
      <c r="R45" s="191">
        <v>35</v>
      </c>
      <c r="S45" s="191">
        <v>35</v>
      </c>
      <c r="T45" s="191">
        <v>0</v>
      </c>
      <c r="U45" s="191">
        <v>47</v>
      </c>
      <c r="V45" s="191">
        <v>35</v>
      </c>
      <c r="W45" s="191">
        <v>35</v>
      </c>
      <c r="X45" s="191">
        <v>35</v>
      </c>
      <c r="Y45" s="522">
        <v>25</v>
      </c>
      <c r="Z45" s="343">
        <v>40</v>
      </c>
      <c r="AA45" s="203">
        <f ca="1">-Economics!D38/Economics!I38</f>
        <v>8786.6509885204086</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c r="H48" s="192">
        <v>0</v>
      </c>
      <c r="I48" s="192"/>
      <c r="J48" s="192"/>
      <c r="K48" s="192">
        <v>0</v>
      </c>
      <c r="L48" s="192">
        <v>0</v>
      </c>
      <c r="M48" s="192">
        <v>0</v>
      </c>
      <c r="N48" s="192">
        <v>0</v>
      </c>
      <c r="O48" s="192"/>
      <c r="P48" s="192">
        <v>0</v>
      </c>
      <c r="Q48" s="192">
        <v>0</v>
      </c>
      <c r="R48" s="192">
        <v>0</v>
      </c>
      <c r="S48" s="192">
        <v>0</v>
      </c>
      <c r="T48" s="192">
        <v>152</v>
      </c>
      <c r="U48" s="192"/>
      <c r="V48" s="192">
        <v>0</v>
      </c>
      <c r="W48" s="192"/>
      <c r="X48" s="192">
        <v>0</v>
      </c>
      <c r="Y48" s="524">
        <v>0</v>
      </c>
      <c r="Z48" s="345">
        <v>212</v>
      </c>
      <c r="AA48" s="204">
        <f ca="1">-Economics!D41/Economics!I41</f>
        <v>1460.621113679847</v>
      </c>
    </row>
    <row r="49" spans="1:27" s="161" customFormat="1" ht="12.75" customHeight="1" x14ac:dyDescent="0.2">
      <c r="A49" s="523" t="s">
        <v>134</v>
      </c>
      <c r="B49" s="192">
        <v>15</v>
      </c>
      <c r="C49" s="192">
        <v>16</v>
      </c>
      <c r="D49" s="192">
        <v>14</v>
      </c>
      <c r="E49" s="192">
        <v>4</v>
      </c>
      <c r="F49" s="192">
        <v>4</v>
      </c>
      <c r="G49" s="192">
        <v>28</v>
      </c>
      <c r="H49" s="192">
        <v>23</v>
      </c>
      <c r="I49" s="192">
        <v>48</v>
      </c>
      <c r="J49" s="192">
        <v>59</v>
      </c>
      <c r="K49" s="192">
        <v>56</v>
      </c>
      <c r="L49" s="192">
        <v>56</v>
      </c>
      <c r="M49" s="192">
        <v>55</v>
      </c>
      <c r="N49" s="192">
        <v>54</v>
      </c>
      <c r="O49" s="192">
        <v>53</v>
      </c>
      <c r="P49" s="192">
        <v>27</v>
      </c>
      <c r="Q49" s="192">
        <v>28</v>
      </c>
      <c r="R49" s="192">
        <v>15</v>
      </c>
      <c r="S49" s="192">
        <v>26</v>
      </c>
      <c r="T49" s="192">
        <v>57</v>
      </c>
      <c r="U49" s="192">
        <v>59</v>
      </c>
      <c r="V49" s="192">
        <v>18</v>
      </c>
      <c r="W49" s="192">
        <v>15</v>
      </c>
      <c r="X49" s="192">
        <v>17</v>
      </c>
      <c r="Y49" s="192">
        <v>35</v>
      </c>
      <c r="Z49" s="345">
        <v>68</v>
      </c>
      <c r="AA49" s="204">
        <f ca="1">-Economics!D42/Economics!I42</f>
        <v>12689.35546875</v>
      </c>
    </row>
    <row r="50" spans="1:27" s="161" customFormat="1" ht="12.75" customHeight="1" x14ac:dyDescent="0.2">
      <c r="A50" s="521" t="s">
        <v>135</v>
      </c>
      <c r="B50" s="191">
        <v>28</v>
      </c>
      <c r="C50" s="191">
        <v>28</v>
      </c>
      <c r="D50" s="191">
        <v>28</v>
      </c>
      <c r="E50" s="191">
        <v>28</v>
      </c>
      <c r="F50" s="191">
        <v>28</v>
      </c>
      <c r="G50" s="191">
        <v>34</v>
      </c>
      <c r="H50" s="191">
        <v>46</v>
      </c>
      <c r="I50" s="191">
        <v>46</v>
      </c>
      <c r="J50" s="191">
        <v>46</v>
      </c>
      <c r="K50" s="191">
        <v>46</v>
      </c>
      <c r="L50" s="191">
        <v>45</v>
      </c>
      <c r="M50" s="191">
        <v>45</v>
      </c>
      <c r="N50" s="191">
        <v>47</v>
      </c>
      <c r="O50" s="191">
        <v>45</v>
      </c>
      <c r="P50" s="191">
        <v>45</v>
      </c>
      <c r="Q50" s="191">
        <v>45</v>
      </c>
      <c r="R50" s="191">
        <v>45</v>
      </c>
      <c r="S50" s="191">
        <v>45</v>
      </c>
      <c r="T50" s="191">
        <v>46</v>
      </c>
      <c r="U50" s="191">
        <v>45</v>
      </c>
      <c r="V50" s="191">
        <v>45</v>
      </c>
      <c r="W50" s="191">
        <v>45</v>
      </c>
      <c r="X50" s="191">
        <v>45</v>
      </c>
      <c r="Y50" s="522">
        <v>45</v>
      </c>
      <c r="Z50" s="343">
        <v>48</v>
      </c>
      <c r="AA50" s="203">
        <f ca="1">-Economics!D43/Economics!I43</f>
        <v>12120.431182715312</v>
      </c>
    </row>
    <row r="51" spans="1:27" s="161" customFormat="1" ht="12.75" customHeight="1" x14ac:dyDescent="0.2">
      <c r="A51" s="521" t="s">
        <v>136</v>
      </c>
      <c r="B51" s="191">
        <v>30</v>
      </c>
      <c r="C51" s="191">
        <v>29</v>
      </c>
      <c r="D51" s="191">
        <v>29</v>
      </c>
      <c r="E51" s="191">
        <v>29</v>
      </c>
      <c r="F51" s="191">
        <v>29</v>
      </c>
      <c r="G51" s="191">
        <v>34</v>
      </c>
      <c r="H51" s="191">
        <v>39</v>
      </c>
      <c r="I51" s="191">
        <v>39</v>
      </c>
      <c r="J51" s="191">
        <v>44</v>
      </c>
      <c r="K51" s="191">
        <v>43</v>
      </c>
      <c r="L51" s="191">
        <v>46</v>
      </c>
      <c r="M51" s="191">
        <v>39</v>
      </c>
      <c r="N51" s="191">
        <v>40</v>
      </c>
      <c r="O51" s="191">
        <v>40</v>
      </c>
      <c r="P51" s="191">
        <v>40</v>
      </c>
      <c r="Q51" s="191">
        <v>40</v>
      </c>
      <c r="R51" s="191">
        <v>40</v>
      </c>
      <c r="S51" s="191">
        <v>40</v>
      </c>
      <c r="T51" s="191">
        <v>39</v>
      </c>
      <c r="U51" s="191">
        <v>40</v>
      </c>
      <c r="V51" s="191">
        <v>41</v>
      </c>
      <c r="W51" s="191">
        <v>40</v>
      </c>
      <c r="X51" s="191">
        <v>41</v>
      </c>
      <c r="Y51" s="522">
        <v>41</v>
      </c>
      <c r="Z51" s="343">
        <v>44</v>
      </c>
      <c r="AA51" s="203">
        <f ca="1">-Economics!D44/Economics!I44</f>
        <v>9791.0903857655503</v>
      </c>
    </row>
    <row r="52" spans="1:27" s="161" customFormat="1" ht="12.75" customHeight="1" thickBot="1" x14ac:dyDescent="0.25">
      <c r="A52" s="521"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c r="X52" s="191">
        <v>0</v>
      </c>
      <c r="Y52" s="522">
        <v>0</v>
      </c>
      <c r="Z52" s="346">
        <v>130</v>
      </c>
      <c r="AA52" s="205">
        <f ca="1">-Economics!D45/Economics!I45</f>
        <v>0</v>
      </c>
    </row>
    <row r="53" spans="1:27" s="161" customFormat="1" ht="12.75" customHeight="1" thickTop="1" x14ac:dyDescent="0.2">
      <c r="A53" s="521" t="s">
        <v>127</v>
      </c>
      <c r="B53" s="191">
        <v>175</v>
      </c>
      <c r="C53" s="191">
        <v>175</v>
      </c>
      <c r="D53" s="191">
        <v>175</v>
      </c>
      <c r="E53" s="191">
        <v>175</v>
      </c>
      <c r="F53" s="191">
        <v>175</v>
      </c>
      <c r="G53" s="191">
        <v>175</v>
      </c>
      <c r="H53" s="191">
        <v>175</v>
      </c>
      <c r="I53" s="191">
        <v>175</v>
      </c>
      <c r="J53" s="191">
        <v>175</v>
      </c>
      <c r="K53" s="191">
        <v>175</v>
      </c>
      <c r="L53" s="191">
        <v>175</v>
      </c>
      <c r="M53" s="191">
        <v>175</v>
      </c>
      <c r="N53" s="191">
        <v>175</v>
      </c>
      <c r="O53" s="191">
        <v>175</v>
      </c>
      <c r="P53" s="191">
        <v>177</v>
      </c>
      <c r="Q53" s="191">
        <v>179</v>
      </c>
      <c r="R53" s="191">
        <v>181</v>
      </c>
      <c r="S53" s="191">
        <v>184</v>
      </c>
      <c r="T53" s="191">
        <v>174</v>
      </c>
      <c r="U53" s="191">
        <v>188</v>
      </c>
      <c r="V53" s="191">
        <v>188</v>
      </c>
      <c r="W53" s="191">
        <v>188</v>
      </c>
      <c r="X53" s="191">
        <v>191</v>
      </c>
      <c r="Y53" s="522">
        <v>191</v>
      </c>
      <c r="Z53" s="343">
        <v>198</v>
      </c>
      <c r="AA53" s="201"/>
    </row>
    <row r="54" spans="1:27" s="161" customFormat="1" ht="12.75" customHeight="1" x14ac:dyDescent="0.2">
      <c r="A54" s="521" t="s">
        <v>128</v>
      </c>
      <c r="B54" s="191">
        <v>175</v>
      </c>
      <c r="C54" s="191">
        <v>175</v>
      </c>
      <c r="D54" s="191">
        <v>175</v>
      </c>
      <c r="E54" s="191">
        <v>175</v>
      </c>
      <c r="F54" s="191">
        <v>175</v>
      </c>
      <c r="G54" s="191">
        <v>175</v>
      </c>
      <c r="H54" s="191">
        <v>175</v>
      </c>
      <c r="I54" s="191">
        <v>175</v>
      </c>
      <c r="J54" s="191">
        <v>175</v>
      </c>
      <c r="K54" s="191">
        <v>175</v>
      </c>
      <c r="L54" s="191">
        <v>175</v>
      </c>
      <c r="M54" s="191">
        <v>175</v>
      </c>
      <c r="N54" s="191">
        <v>175</v>
      </c>
      <c r="O54" s="191">
        <v>175</v>
      </c>
      <c r="P54" s="191">
        <v>177</v>
      </c>
      <c r="Q54" s="191">
        <v>179</v>
      </c>
      <c r="R54" s="191">
        <v>181</v>
      </c>
      <c r="S54" s="191">
        <v>184</v>
      </c>
      <c r="T54" s="191">
        <v>174</v>
      </c>
      <c r="U54" s="191">
        <v>188</v>
      </c>
      <c r="V54" s="191">
        <v>188</v>
      </c>
      <c r="W54" s="191">
        <v>188</v>
      </c>
      <c r="X54" s="191">
        <v>191</v>
      </c>
      <c r="Y54" s="522">
        <v>191</v>
      </c>
      <c r="Z54" s="343">
        <v>198</v>
      </c>
      <c r="AA54" s="201"/>
    </row>
    <row r="55" spans="1:27" s="161" customFormat="1" ht="12.75" customHeight="1" x14ac:dyDescent="0.2">
      <c r="A55" s="521" t="s">
        <v>129</v>
      </c>
      <c r="B55" s="191">
        <v>175</v>
      </c>
      <c r="C55" s="191">
        <v>175</v>
      </c>
      <c r="D55" s="191">
        <v>175</v>
      </c>
      <c r="E55" s="191">
        <v>175</v>
      </c>
      <c r="F55" s="191">
        <v>175</v>
      </c>
      <c r="G55" s="191">
        <v>176</v>
      </c>
      <c r="H55" s="191">
        <v>176</v>
      </c>
      <c r="I55" s="191">
        <v>175</v>
      </c>
      <c r="J55" s="191">
        <v>177</v>
      </c>
      <c r="K55" s="191">
        <v>176</v>
      </c>
      <c r="L55" s="191">
        <v>175</v>
      </c>
      <c r="M55" s="191">
        <v>175</v>
      </c>
      <c r="N55" s="191">
        <v>175</v>
      </c>
      <c r="O55" s="191">
        <v>176</v>
      </c>
      <c r="P55" s="191">
        <v>177</v>
      </c>
      <c r="Q55" s="191">
        <v>179</v>
      </c>
      <c r="R55" s="191">
        <v>181</v>
      </c>
      <c r="S55" s="191">
        <v>184</v>
      </c>
      <c r="T55" s="191">
        <v>174</v>
      </c>
      <c r="U55" s="191">
        <v>188</v>
      </c>
      <c r="V55" s="191">
        <v>188</v>
      </c>
      <c r="W55" s="191">
        <v>188</v>
      </c>
      <c r="X55" s="191">
        <v>191</v>
      </c>
      <c r="Y55" s="522">
        <v>191</v>
      </c>
      <c r="Z55" s="343">
        <v>198</v>
      </c>
      <c r="AA55" s="201"/>
    </row>
    <row r="56" spans="1:27" s="161" customFormat="1" ht="12.75" customHeight="1" x14ac:dyDescent="0.2">
      <c r="A56" s="521" t="s">
        <v>125</v>
      </c>
      <c r="B56" s="191">
        <v>105</v>
      </c>
      <c r="C56" s="191">
        <v>51</v>
      </c>
      <c r="D56" s="191">
        <v>51</v>
      </c>
      <c r="E56" s="191">
        <v>2</v>
      </c>
      <c r="F56" s="191">
        <v>3</v>
      </c>
      <c r="G56" s="191">
        <v>77</v>
      </c>
      <c r="H56" s="191">
        <v>76</v>
      </c>
      <c r="I56" s="191">
        <v>105</v>
      </c>
      <c r="J56" s="191">
        <v>104</v>
      </c>
      <c r="K56" s="191">
        <v>105</v>
      </c>
      <c r="L56" s="191">
        <v>105</v>
      </c>
      <c r="M56" s="191">
        <v>105</v>
      </c>
      <c r="N56" s="191">
        <v>106</v>
      </c>
      <c r="O56" s="191">
        <v>105</v>
      </c>
      <c r="P56" s="191">
        <v>104</v>
      </c>
      <c r="Q56" s="191">
        <v>105</v>
      </c>
      <c r="R56" s="191">
        <v>104</v>
      </c>
      <c r="S56" s="191">
        <v>105</v>
      </c>
      <c r="T56" s="191">
        <v>105</v>
      </c>
      <c r="U56" s="191">
        <v>105</v>
      </c>
      <c r="V56" s="191">
        <v>105</v>
      </c>
      <c r="W56" s="191">
        <v>105</v>
      </c>
      <c r="X56" s="191">
        <v>104</v>
      </c>
      <c r="Y56" s="522">
        <v>104</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-2</v>
      </c>
      <c r="C58" s="526">
        <f t="shared" ref="C58:Y58" ca="1" si="7">C59-C38</f>
        <v>-4</v>
      </c>
      <c r="D58" s="526">
        <f t="shared" ca="1" si="7"/>
        <v>3</v>
      </c>
      <c r="E58" s="526">
        <f t="shared" ca="1" si="7"/>
        <v>-40</v>
      </c>
      <c r="F58" s="526">
        <f t="shared" ca="1" si="7"/>
        <v>-51</v>
      </c>
      <c r="G58" s="526">
        <f t="shared" ca="1" si="7"/>
        <v>-44</v>
      </c>
      <c r="H58" s="526">
        <f ca="1">H59-H38</f>
        <v>-4</v>
      </c>
      <c r="I58" s="526">
        <f t="shared" ca="1" si="7"/>
        <v>-4</v>
      </c>
      <c r="J58" s="526">
        <f t="shared" ca="1" si="7"/>
        <v>-2</v>
      </c>
      <c r="K58" s="526">
        <f ca="1">K59-K38</f>
        <v>-4</v>
      </c>
      <c r="L58" s="526">
        <f t="shared" ca="1" si="7"/>
        <v>-2</v>
      </c>
      <c r="M58" s="526">
        <f t="shared" ref="M58:S58" ca="1" si="8">M59-M38</f>
        <v>-7</v>
      </c>
      <c r="N58" s="526">
        <f t="shared" ca="1" si="8"/>
        <v>-2</v>
      </c>
      <c r="O58" s="526">
        <f ca="1">O59-O38</f>
        <v>-1</v>
      </c>
      <c r="P58" s="526">
        <f t="shared" ca="1" si="8"/>
        <v>-6</v>
      </c>
      <c r="Q58" s="526">
        <f t="shared" ca="1" si="8"/>
        <v>7</v>
      </c>
      <c r="R58" s="526">
        <f t="shared" ca="1" si="8"/>
        <v>-7</v>
      </c>
      <c r="S58" s="526">
        <f t="shared" ca="1" si="8"/>
        <v>48</v>
      </c>
      <c r="T58" s="526">
        <f t="shared" ca="1" si="7"/>
        <v>-4</v>
      </c>
      <c r="U58" s="526">
        <f t="shared" ca="1" si="7"/>
        <v>119</v>
      </c>
      <c r="V58" s="526">
        <f t="shared" ca="1" si="7"/>
        <v>4</v>
      </c>
      <c r="W58" s="526">
        <f t="shared" ca="1" si="7"/>
        <v>-16</v>
      </c>
      <c r="X58" s="526">
        <f t="shared" ca="1" si="7"/>
        <v>18</v>
      </c>
      <c r="Y58" s="526">
        <f t="shared" ca="1" si="7"/>
        <v>-2</v>
      </c>
      <c r="Z58" s="344">
        <f ca="1">SUM(Z41:Z55)+Z41+Z42+Z43+Z48+Z49+Z50+Z51+Z52</f>
        <v>2416</v>
      </c>
      <c r="AA58" s="202">
        <f ca="1">SUM(AA41:AA55)</f>
        <v>100138.45227240305</v>
      </c>
    </row>
    <row r="59" spans="1:27" s="161" customFormat="1" ht="12" x14ac:dyDescent="0.2">
      <c r="A59" s="515"/>
      <c r="B59" s="516">
        <f t="shared" ref="B59:Y59" ca="1" si="9">SUM(B41:B57)-SUM(B7:B20)</f>
        <v>984</v>
      </c>
      <c r="C59" s="516">
        <f t="shared" ca="1" si="9"/>
        <v>946</v>
      </c>
      <c r="D59" s="516">
        <f t="shared" ca="1" si="9"/>
        <v>928</v>
      </c>
      <c r="E59" s="516">
        <f t="shared" ca="1" si="9"/>
        <v>887</v>
      </c>
      <c r="F59" s="516">
        <f t="shared" ca="1" si="9"/>
        <v>923</v>
      </c>
      <c r="G59" s="516">
        <f t="shared" ca="1" si="9"/>
        <v>1070</v>
      </c>
      <c r="H59" s="516">
        <f t="shared" ca="1" si="9"/>
        <v>1185</v>
      </c>
      <c r="I59" s="516">
        <f t="shared" ca="1" si="9"/>
        <v>1259</v>
      </c>
      <c r="J59" s="516">
        <f t="shared" ca="1" si="9"/>
        <v>1364</v>
      </c>
      <c r="K59" s="516">
        <f t="shared" ca="1" si="9"/>
        <v>1351</v>
      </c>
      <c r="L59" s="516">
        <f t="shared" ca="1" si="9"/>
        <v>1365</v>
      </c>
      <c r="M59" s="516">
        <f t="shared" ca="1" si="9"/>
        <v>1401</v>
      </c>
      <c r="N59" s="516">
        <f t="shared" ca="1" si="9"/>
        <v>1422</v>
      </c>
      <c r="O59" s="516">
        <f t="shared" ca="1" si="9"/>
        <v>1454</v>
      </c>
      <c r="P59" s="516">
        <f t="shared" ca="1" si="9"/>
        <v>1448</v>
      </c>
      <c r="Q59" s="516">
        <f t="shared" ca="1" si="9"/>
        <v>1455</v>
      </c>
      <c r="R59" s="516">
        <f ca="1">SUM(R41:R57)-SUM(R7:R20)</f>
        <v>1396</v>
      </c>
      <c r="S59" s="516">
        <f t="shared" ca="1" si="9"/>
        <v>1423</v>
      </c>
      <c r="T59" s="516">
        <f ca="1">SUM(T41:T57)-SUM(T7:T20)</f>
        <v>1351</v>
      </c>
      <c r="U59" s="516">
        <f t="shared" ca="1" si="9"/>
        <v>1506</v>
      </c>
      <c r="V59" s="516">
        <f t="shared" ca="1" si="9"/>
        <v>1337</v>
      </c>
      <c r="W59" s="516">
        <f t="shared" ca="1" si="9"/>
        <v>1250</v>
      </c>
      <c r="X59" s="516">
        <f t="shared" ca="1" si="9"/>
        <v>1222</v>
      </c>
      <c r="Y59" s="516">
        <f t="shared" ca="1" si="9"/>
        <v>1214</v>
      </c>
      <c r="Z59" s="206">
        <f ca="1">SUM(Economics!D28:D45)</f>
        <v>-305688.94073781249</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312</v>
      </c>
      <c r="C62" s="169">
        <f t="shared" ca="1" si="11"/>
        <v>327</v>
      </c>
      <c r="D62" s="169">
        <f t="shared" ca="1" si="11"/>
        <v>342</v>
      </c>
      <c r="E62" s="169">
        <f t="shared" ca="1" si="11"/>
        <v>342</v>
      </c>
      <c r="F62" s="169">
        <f t="shared" ca="1" si="11"/>
        <v>342</v>
      </c>
      <c r="G62" s="169">
        <f t="shared" ca="1" si="11"/>
        <v>353</v>
      </c>
      <c r="H62" s="169">
        <f t="shared" ca="1" si="11"/>
        <v>501</v>
      </c>
      <c r="I62" s="169">
        <f t="shared" ca="1" si="11"/>
        <v>470</v>
      </c>
      <c r="J62" s="169">
        <f ca="1">-SUM(J12:J15,J29:J32,J22) + SUM(J53:J55)</f>
        <v>452</v>
      </c>
      <c r="K62" s="169">
        <f t="shared" ca="1" si="11"/>
        <v>491</v>
      </c>
      <c r="L62" s="169">
        <f t="shared" ca="1" si="11"/>
        <v>450</v>
      </c>
      <c r="M62" s="169">
        <f t="shared" ca="1" si="11"/>
        <v>420</v>
      </c>
      <c r="N62" s="169">
        <f t="shared" ca="1" si="11"/>
        <v>470</v>
      </c>
      <c r="O62" s="169">
        <f t="shared" ca="1" si="11"/>
        <v>471</v>
      </c>
      <c r="P62" s="169">
        <f t="shared" ca="1" si="11"/>
        <v>476</v>
      </c>
      <c r="Q62" s="169">
        <f t="shared" ca="1" si="11"/>
        <v>482</v>
      </c>
      <c r="R62" s="169">
        <f t="shared" ca="1" si="11"/>
        <v>463</v>
      </c>
      <c r="S62" s="169">
        <f t="shared" ca="1" si="11"/>
        <v>447</v>
      </c>
      <c r="T62" s="169">
        <f t="shared" ca="1" si="11"/>
        <v>417</v>
      </c>
      <c r="U62" s="169">
        <f t="shared" ca="1" si="11"/>
        <v>572</v>
      </c>
      <c r="V62" s="169">
        <f t="shared" ca="1" si="11"/>
        <v>577</v>
      </c>
      <c r="W62" s="169">
        <f t="shared" ca="1" si="11"/>
        <v>527</v>
      </c>
      <c r="X62" s="169">
        <f t="shared" ca="1" si="11"/>
        <v>460</v>
      </c>
      <c r="Y62" s="170">
        <f t="shared" ca="1" si="11"/>
        <v>335</v>
      </c>
      <c r="Z62" s="193"/>
      <c r="AA62" s="162"/>
    </row>
    <row r="63" spans="1:27" s="161" customFormat="1" ht="12" x14ac:dyDescent="0.2">
      <c r="A63" s="195" t="s">
        <v>141</v>
      </c>
      <c r="B63" s="169">
        <f t="shared" ref="B63:L63" ca="1" si="12">-SUM(B8:B11,B25:B28) + SUM(B56:B57)</f>
        <v>45</v>
      </c>
      <c r="C63" s="169">
        <f t="shared" ca="1" si="12"/>
        <v>-9</v>
      </c>
      <c r="D63" s="169">
        <f t="shared" ca="1" si="12"/>
        <v>-9</v>
      </c>
      <c r="E63" s="169">
        <f t="shared" ca="1" si="12"/>
        <v>-58</v>
      </c>
      <c r="F63" s="169">
        <f t="shared" ca="1" si="12"/>
        <v>-57</v>
      </c>
      <c r="G63" s="169">
        <f t="shared" ca="1" si="12"/>
        <v>-83</v>
      </c>
      <c r="H63" s="169">
        <f t="shared" ca="1" si="12"/>
        <v>-84</v>
      </c>
      <c r="I63" s="169">
        <f t="shared" ca="1" si="12"/>
        <v>-40</v>
      </c>
      <c r="J63" s="169">
        <f t="shared" ca="1" si="12"/>
        <v>-76</v>
      </c>
      <c r="K63" s="169">
        <f t="shared" ca="1" si="12"/>
        <v>-50</v>
      </c>
      <c r="L63" s="169">
        <f t="shared" ca="1" si="12"/>
        <v>20</v>
      </c>
      <c r="M63" s="169">
        <f ca="1">-SUM(M8:M11,M25:M28) + SUM(M57:M57)</f>
        <v>-60</v>
      </c>
      <c r="N63" s="169">
        <f t="shared" ref="N63:Y63" ca="1" si="13">-SUM(N8:N11,N25:N28) + SUM(N56:N57)</f>
        <v>46</v>
      </c>
      <c r="O63" s="169">
        <f t="shared" ca="1" si="13"/>
        <v>70</v>
      </c>
      <c r="P63" s="169">
        <f t="shared" ca="1" si="13"/>
        <v>69</v>
      </c>
      <c r="Q63" s="169">
        <f t="shared" ca="1" si="13"/>
        <v>70</v>
      </c>
      <c r="R63" s="169">
        <f t="shared" ca="1" si="13"/>
        <v>69</v>
      </c>
      <c r="S63" s="169">
        <f t="shared" ca="1" si="13"/>
        <v>70</v>
      </c>
      <c r="T63" s="169">
        <f t="shared" ca="1" si="13"/>
        <v>45</v>
      </c>
      <c r="U63" s="169">
        <f t="shared" ca="1" si="13"/>
        <v>45</v>
      </c>
      <c r="V63" s="169">
        <f t="shared" ca="1" si="13"/>
        <v>45</v>
      </c>
      <c r="W63" s="169">
        <f t="shared" ca="1" si="13"/>
        <v>45</v>
      </c>
      <c r="X63" s="169">
        <f t="shared" ca="1" si="13"/>
        <v>44</v>
      </c>
      <c r="Y63" s="170">
        <f t="shared" ca="1" si="13"/>
        <v>44</v>
      </c>
      <c r="Z63" s="193"/>
      <c r="AA63" s="162"/>
    </row>
    <row r="64" spans="1:27" s="161" customFormat="1" ht="12" x14ac:dyDescent="0.2">
      <c r="A64" s="195" t="s">
        <v>142</v>
      </c>
      <c r="B64" s="169">
        <f ca="1">IF(B62+B63&gt;645,"err",B62+B63)</f>
        <v>357</v>
      </c>
      <c r="C64" s="169">
        <f t="shared" ref="C64:Y64" ca="1" si="14">IF(C62+C63&gt;645,"err",C62+C63)</f>
        <v>318</v>
      </c>
      <c r="D64" s="169">
        <f t="shared" ca="1" si="14"/>
        <v>333</v>
      </c>
      <c r="E64" s="169">
        <f t="shared" ca="1" si="14"/>
        <v>284</v>
      </c>
      <c r="F64" s="169">
        <f t="shared" ca="1" si="14"/>
        <v>285</v>
      </c>
      <c r="G64" s="169">
        <f t="shared" ca="1" si="14"/>
        <v>270</v>
      </c>
      <c r="H64" s="169">
        <f t="shared" ca="1" si="14"/>
        <v>417</v>
      </c>
      <c r="I64" s="169">
        <f t="shared" ca="1" si="14"/>
        <v>430</v>
      </c>
      <c r="J64" s="169">
        <f t="shared" ca="1" si="14"/>
        <v>376</v>
      </c>
      <c r="K64" s="169">
        <f t="shared" ca="1" si="14"/>
        <v>441</v>
      </c>
      <c r="L64" s="169">
        <f t="shared" ca="1" si="14"/>
        <v>470</v>
      </c>
      <c r="M64" s="169">
        <f t="shared" ca="1" si="14"/>
        <v>360</v>
      </c>
      <c r="N64" s="169">
        <f t="shared" ca="1" si="14"/>
        <v>516</v>
      </c>
      <c r="O64" s="169">
        <f t="shared" ca="1" si="14"/>
        <v>541</v>
      </c>
      <c r="P64" s="169">
        <f t="shared" ca="1" si="14"/>
        <v>545</v>
      </c>
      <c r="Q64" s="169">
        <f t="shared" ca="1" si="14"/>
        <v>552</v>
      </c>
      <c r="R64" s="169">
        <f t="shared" ca="1" si="14"/>
        <v>532</v>
      </c>
      <c r="S64" s="169">
        <f t="shared" ca="1" si="14"/>
        <v>517</v>
      </c>
      <c r="T64" s="169">
        <f t="shared" ca="1" si="14"/>
        <v>462</v>
      </c>
      <c r="U64" s="169">
        <f t="shared" ca="1" si="14"/>
        <v>617</v>
      </c>
      <c r="V64" s="169">
        <f t="shared" ca="1" si="14"/>
        <v>622</v>
      </c>
      <c r="W64" s="169">
        <f t="shared" ca="1" si="14"/>
        <v>572</v>
      </c>
      <c r="X64" s="169">
        <f t="shared" ca="1" si="14"/>
        <v>504</v>
      </c>
      <c r="Y64" s="170">
        <f t="shared" ca="1" si="14"/>
        <v>379</v>
      </c>
      <c r="Z64" s="194"/>
      <c r="AA64" s="162"/>
    </row>
    <row r="65" spans="1:27" s="161" customFormat="1" ht="12" x14ac:dyDescent="0.2">
      <c r="A65" s="195" t="s">
        <v>18</v>
      </c>
      <c r="B65" s="169">
        <f ca="1">SUM(B61:B63)</f>
        <v>357</v>
      </c>
      <c r="C65" s="169">
        <f t="shared" ref="C65:Y65" ca="1" si="15">SUM(C61:C63)</f>
        <v>318</v>
      </c>
      <c r="D65" s="169">
        <f t="shared" ca="1" si="15"/>
        <v>333</v>
      </c>
      <c r="E65" s="169">
        <f t="shared" ca="1" si="15"/>
        <v>284</v>
      </c>
      <c r="F65" s="169">
        <f t="shared" ca="1" si="15"/>
        <v>285</v>
      </c>
      <c r="G65" s="169">
        <f t="shared" ca="1" si="15"/>
        <v>270</v>
      </c>
      <c r="H65" s="169">
        <f t="shared" ca="1" si="15"/>
        <v>417</v>
      </c>
      <c r="I65" s="169">
        <f t="shared" ca="1" si="15"/>
        <v>430</v>
      </c>
      <c r="J65" s="169">
        <f t="shared" ca="1" si="15"/>
        <v>376</v>
      </c>
      <c r="K65" s="169">
        <f t="shared" ca="1" si="15"/>
        <v>441</v>
      </c>
      <c r="L65" s="169">
        <f t="shared" ca="1" si="15"/>
        <v>470</v>
      </c>
      <c r="M65" s="169">
        <f t="shared" ca="1" si="15"/>
        <v>360</v>
      </c>
      <c r="N65" s="169">
        <f t="shared" ca="1" si="15"/>
        <v>516</v>
      </c>
      <c r="O65" s="169">
        <f t="shared" ca="1" si="15"/>
        <v>541</v>
      </c>
      <c r="P65" s="169">
        <f t="shared" ca="1" si="15"/>
        <v>545</v>
      </c>
      <c r="Q65" s="169">
        <f t="shared" ca="1" si="15"/>
        <v>552</v>
      </c>
      <c r="R65" s="169">
        <f t="shared" ca="1" si="15"/>
        <v>532</v>
      </c>
      <c r="S65" s="169">
        <f t="shared" ca="1" si="15"/>
        <v>517</v>
      </c>
      <c r="T65" s="169">
        <f t="shared" ca="1" si="15"/>
        <v>462</v>
      </c>
      <c r="U65" s="169">
        <f t="shared" ca="1" si="15"/>
        <v>617</v>
      </c>
      <c r="V65" s="169">
        <f t="shared" ca="1" si="15"/>
        <v>622</v>
      </c>
      <c r="W65" s="169">
        <f t="shared" ca="1" si="15"/>
        <v>572</v>
      </c>
      <c r="X65" s="169">
        <f t="shared" ca="1" si="15"/>
        <v>504</v>
      </c>
      <c r="Y65" s="170">
        <f t="shared" ca="1" si="15"/>
        <v>379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299</v>
      </c>
      <c r="C67" s="169">
        <f t="array" ref="C67">SUM(IF(C$41:C$55 = 0,0,$Z$41:$Z$55-C$41:C$55))-INDEX(Balancing!$R$4:$R$27,C$3)</f>
        <v>283</v>
      </c>
      <c r="D67" s="169">
        <f t="array" ref="D67">SUM(IF(D$41:D$55 = 0,0,$Z$41:$Z$55-D$41:D$55))-INDEX(Balancing!$R$4:$R$27,D$3)</f>
        <v>341</v>
      </c>
      <c r="E67" s="169">
        <f t="array" ref="E67">SUM(IF(E$41:E$55 = 0,0,$Z$41:$Z$55-E$41:E$55))-INDEX(Balancing!$R$4:$R$27,E$3)</f>
        <v>373</v>
      </c>
      <c r="F67" s="169">
        <f t="array" ref="F67">SUM(IF(F$41:F$55 = 0,0,$Z$41:$Z$55-F$41:F$55))-INDEX(Balancing!$R$4:$R$27,F$3)</f>
        <v>338</v>
      </c>
      <c r="G67" s="169">
        <f t="array" ref="G67">SUM(IF(G$41:G$55 = 0,0,$Z$41:$Z$55-G$41:G$55))-INDEX(Balancing!$R$4:$R$27,G$3)</f>
        <v>265</v>
      </c>
      <c r="H67" s="169">
        <f t="array" ref="H67">SUM(IF(H$41:H$55 = 0,0,$Z$41:$Z$55-H$41:H$55))-INDEX(Balancing!$R$4:$R$27,H$3)</f>
        <v>299</v>
      </c>
      <c r="I67" s="169">
        <f t="array" ref="I67">SUM(IF(I$41:I$55 = 0,0,$Z$41:$Z$55-I$41:I$55))-INDEX(Balancing!$R$4:$R$27,I$3)</f>
        <v>254</v>
      </c>
      <c r="J67" s="169">
        <f t="array" ref="J67">SUM(IF(J$41:J$55 = 0,0,$Z$41:$Z$55-J$41:J$55))-INDEX(Balancing!$R$4:$R$27,J$3)</f>
        <v>148</v>
      </c>
      <c r="K67" s="169">
        <f t="array" ref="K67">SUM(IF(K$41:K$55 = 0,0,$Z$41:$Z$55-K$41:K$55))-INDEX(Balancing!$R$4:$R$27,K$3)</f>
        <v>162</v>
      </c>
      <c r="L67" s="169">
        <f t="array" ref="L67">SUM(IF(L$41:L$55 = 0,0,$Z$41:$Z$55-L$41:L$55))-INDEX(Balancing!$R$4:$R$27,L$3)</f>
        <v>148</v>
      </c>
      <c r="M67" s="169">
        <f t="array" ref="M67">SUM(IF(M$41:M$55 = 0,0,$Z$41:$Z$55-M$41:M$55))-INDEX(Balancing!$R$4:$R$27,M$3)</f>
        <v>112</v>
      </c>
      <c r="N67" s="169">
        <v>179</v>
      </c>
      <c r="O67" s="169">
        <f t="array" ref="O67">SUM(IF(O$41:O$55 = 0,0,$Z$41:$Z$55-O$41:O$55))-INDEX(Balancing!$R$4:$R$27,O$3)</f>
        <v>134</v>
      </c>
      <c r="P67" s="169">
        <f t="array" ref="P67">SUM(IF(P$41:P$55 = 0,0,$Z$41:$Z$55-P$41:P$55))-INDEX(Balancing!$R$4:$R$27,P$3)</f>
        <v>139</v>
      </c>
      <c r="Q67" s="169">
        <f t="array" ref="Q67">SUM(IF(Q$41:Q$55 = 0,0,$Z$41:$Z$55-Q$41:Q$55))-INDEX(Balancing!$R$4:$R$27,Q$3)</f>
        <v>133</v>
      </c>
      <c r="R67" s="169">
        <f t="array" ref="R67">SUM(IF(R$41:R$55 = 0,0,$Z$41:$Z$55-R$41:R$55))-INDEX(Balancing!$R$4:$R$27,R$3)</f>
        <v>166</v>
      </c>
      <c r="S67" s="169">
        <f t="array" ref="S67">SUM(IF(S$41:S$55 = 0,0,$Z$41:$Z$55-S$41:S$55))-INDEX(Balancing!$R$4:$R$27,S$3)</f>
        <v>115</v>
      </c>
      <c r="T67" s="169">
        <f t="array" ref="T67">SUM(IF(T$41:T$55 = 0,0,$Z$41:$Z$55-T$41:T$55))-INDEX(Balancing!$R$4:$R$27,T$3)</f>
        <v>294</v>
      </c>
      <c r="U67" s="169">
        <f t="array" ref="U67">SUM(IF(U$41:U$55 = 0,0,$Z$41:$Z$55-U$41:U$55))-INDEX(Balancing!$R$4:$R$27,U$3)</f>
        <v>43</v>
      </c>
      <c r="V67" s="169">
        <f t="array" ref="V67">SUM(IF(V$41:V$55 = 0,0,$Z$41:$Z$55-V$41:V$55))-INDEX(Balancing!$R$4:$R$27,V$3)</f>
        <v>191</v>
      </c>
      <c r="W67" s="169">
        <f t="array" ref="W67">SUM(IF(W$41:W$55 = 0,0,$Z$41:$Z$55-W$41:W$55))-INDEX(Balancing!$R$4:$R$27,W$3)</f>
        <v>228</v>
      </c>
      <c r="X67" s="169">
        <f t="array" ref="X67">SUM(IF(X$41:X$55 = 0,0,$Z$41:$Z$55-X$41:X$55))-INDEX(Balancing!$R$4:$R$27,X$3)</f>
        <v>237</v>
      </c>
      <c r="Y67" s="170">
        <f t="array" ref="Y67">SUM(IF(Y$41:Y$55 = 0,0,$Z$41:$Z$55-Y$41:Y$55))-INDEX(Balancing!$R$4:$R$27,Y$3)</f>
        <v>170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44</v>
      </c>
      <c r="C69" s="171">
        <f t="shared" si="16"/>
        <v>42</v>
      </c>
      <c r="D69" s="171">
        <f t="shared" si="16"/>
        <v>42</v>
      </c>
      <c r="E69" s="171">
        <f t="shared" si="16"/>
        <v>42</v>
      </c>
      <c r="F69" s="171">
        <f t="shared" si="16"/>
        <v>45</v>
      </c>
      <c r="G69" s="171">
        <f t="shared" si="16"/>
        <v>48</v>
      </c>
      <c r="H69" s="171">
        <f t="shared" ref="H69:X69" si="17">IF(H67&lt;0.07*I4,"err",ROUND(I4*0.07,0))</f>
        <v>57</v>
      </c>
      <c r="I69" s="171">
        <f t="shared" si="17"/>
        <v>60</v>
      </c>
      <c r="J69" s="171">
        <f t="shared" si="17"/>
        <v>64</v>
      </c>
      <c r="K69" s="171">
        <f t="shared" si="17"/>
        <v>67</v>
      </c>
      <c r="L69" s="171">
        <f t="shared" si="17"/>
        <v>70</v>
      </c>
      <c r="M69" s="171">
        <f t="shared" si="17"/>
        <v>71</v>
      </c>
      <c r="N69" s="171">
        <f t="shared" si="17"/>
        <v>73</v>
      </c>
      <c r="O69" s="171">
        <f t="shared" si="17"/>
        <v>73</v>
      </c>
      <c r="P69" s="171">
        <f t="shared" si="17"/>
        <v>72</v>
      </c>
      <c r="Q69" s="171">
        <f t="shared" si="17"/>
        <v>69</v>
      </c>
      <c r="R69" s="171">
        <f t="shared" si="17"/>
        <v>67</v>
      </c>
      <c r="S69" s="171">
        <f t="shared" si="17"/>
        <v>66</v>
      </c>
      <c r="T69" s="171">
        <f t="shared" si="17"/>
        <v>68</v>
      </c>
      <c r="U69" s="171" t="str">
        <f t="shared" si="17"/>
        <v>err</v>
      </c>
      <c r="V69" s="171">
        <f t="shared" si="17"/>
        <v>60</v>
      </c>
      <c r="W69" s="171">
        <f t="shared" si="17"/>
        <v>51</v>
      </c>
      <c r="X69" s="171">
        <f t="shared" si="17"/>
        <v>49</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170</v>
      </c>
      <c r="C78" s="452">
        <f t="shared" ca="1" si="18"/>
        <v>155</v>
      </c>
      <c r="D78" s="452">
        <f t="shared" ca="1" si="18"/>
        <v>140</v>
      </c>
      <c r="E78" s="452">
        <f t="shared" ca="1" si="18"/>
        <v>140</v>
      </c>
      <c r="F78" s="452">
        <f t="shared" ca="1" si="18"/>
        <v>140</v>
      </c>
      <c r="G78" s="452">
        <f t="shared" ca="1" si="18"/>
        <v>130</v>
      </c>
      <c r="H78" s="452">
        <f t="shared" ca="1" si="18"/>
        <v>165</v>
      </c>
      <c r="I78" s="452">
        <f t="shared" ca="1" si="18"/>
        <v>195</v>
      </c>
      <c r="J78" s="452">
        <f t="shared" ca="1" si="18"/>
        <v>215</v>
      </c>
      <c r="K78" s="452">
        <f t="shared" ca="1" si="18"/>
        <v>245</v>
      </c>
      <c r="L78" s="452">
        <f t="shared" ca="1" si="18"/>
        <v>285</v>
      </c>
      <c r="M78" s="452">
        <f t="shared" ca="1" si="18"/>
        <v>315</v>
      </c>
      <c r="N78" s="452">
        <f t="shared" ca="1" si="18"/>
        <v>315</v>
      </c>
      <c r="O78" s="452">
        <f t="shared" ca="1" si="18"/>
        <v>315</v>
      </c>
      <c r="P78" s="452">
        <f t="shared" ca="1" si="18"/>
        <v>315</v>
      </c>
      <c r="Q78" s="452">
        <f t="shared" ca="1" si="18"/>
        <v>315</v>
      </c>
      <c r="R78" s="452">
        <f t="shared" ca="1" si="18"/>
        <v>315</v>
      </c>
      <c r="S78" s="452">
        <f t="shared" ca="1" si="18"/>
        <v>315</v>
      </c>
      <c r="T78" s="452">
        <f t="shared" ca="1" si="18"/>
        <v>315</v>
      </c>
      <c r="U78" s="452">
        <f t="shared" ca="1" si="18"/>
        <v>315</v>
      </c>
      <c r="V78" s="452">
        <f t="shared" ca="1" si="18"/>
        <v>315</v>
      </c>
      <c r="W78" s="452">
        <f t="shared" ca="1" si="18"/>
        <v>315</v>
      </c>
      <c r="X78" s="452">
        <f t="shared" ca="1" si="18"/>
        <v>270</v>
      </c>
      <c r="Y78" s="452">
        <f t="shared" ca="1" si="18"/>
        <v>220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Deals!AD147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5935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f ca="1">SUM(Z90,Z93,Z96,Z99,Z102,Z107,Z112,Z117,Z122,Z127,Z132,Z137,Z142,Z147,Z152,Z157,Z162)</f>
        <v>290988.04863695614</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51</v>
      </c>
      <c r="D89" s="221">
        <f t="shared" si="19"/>
        <v>51</v>
      </c>
      <c r="E89" s="221">
        <f>E56</f>
        <v>2</v>
      </c>
      <c r="F89" s="221">
        <f t="shared" si="19"/>
        <v>3</v>
      </c>
      <c r="G89" s="221">
        <f t="shared" si="19"/>
        <v>77</v>
      </c>
      <c r="H89" s="221">
        <f t="shared" si="19"/>
        <v>76</v>
      </c>
      <c r="I89" s="221">
        <f t="shared" si="19"/>
        <v>105</v>
      </c>
      <c r="J89" s="221">
        <f t="shared" si="19"/>
        <v>104</v>
      </c>
      <c r="K89" s="221">
        <f t="shared" si="19"/>
        <v>105</v>
      </c>
      <c r="L89" s="221">
        <f t="shared" si="19"/>
        <v>105</v>
      </c>
      <c r="M89" s="221">
        <f>M57</f>
        <v>0</v>
      </c>
      <c r="N89" s="221">
        <f t="shared" si="19"/>
        <v>106</v>
      </c>
      <c r="O89" s="221">
        <f t="shared" si="19"/>
        <v>105</v>
      </c>
      <c r="P89" s="221">
        <f t="shared" si="19"/>
        <v>104</v>
      </c>
      <c r="Q89" s="221">
        <f t="shared" si="19"/>
        <v>105</v>
      </c>
      <c r="R89" s="221">
        <f t="shared" si="19"/>
        <v>104</v>
      </c>
      <c r="S89" s="221">
        <f t="shared" si="19"/>
        <v>105</v>
      </c>
      <c r="T89" s="221">
        <f t="shared" si="19"/>
        <v>105</v>
      </c>
      <c r="U89" s="221">
        <f t="shared" si="19"/>
        <v>105</v>
      </c>
      <c r="V89" s="221">
        <f t="shared" si="19"/>
        <v>105</v>
      </c>
      <c r="W89" s="221">
        <f t="shared" si="19"/>
        <v>105</v>
      </c>
      <c r="X89" s="221">
        <f t="shared" si="19"/>
        <v>104</v>
      </c>
      <c r="Y89" s="221">
        <f t="shared" si="19"/>
        <v>104</v>
      </c>
      <c r="Z89" s="250">
        <f t="array" ref="Z89">SUM(B89:Y89*Economics!F$28)</f>
        <v>26685.830080000014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1</v>
      </c>
      <c r="D91" s="200">
        <f t="shared" si="20"/>
        <v>-49</v>
      </c>
      <c r="E91" s="200">
        <f t="shared" si="20"/>
        <v>0</v>
      </c>
      <c r="F91" s="200">
        <f t="shared" si="20"/>
        <v>-1</v>
      </c>
      <c r="G91" s="200">
        <f t="shared" si="20"/>
        <v>-75</v>
      </c>
      <c r="H91" s="200">
        <f t="shared" si="20"/>
        <v>-24</v>
      </c>
      <c r="I91" s="200">
        <f t="shared" si="20"/>
        <v>-53</v>
      </c>
      <c r="J91" s="200">
        <f t="shared" si="20"/>
        <v>-52</v>
      </c>
      <c r="K91" s="200">
        <f t="shared" si="20"/>
        <v>-53</v>
      </c>
      <c r="L91" s="200">
        <f t="shared" si="20"/>
        <v>-2</v>
      </c>
      <c r="M91" s="200">
        <f t="shared" si="20"/>
        <v>103</v>
      </c>
      <c r="N91" s="200">
        <f t="shared" si="20"/>
        <v>-3</v>
      </c>
      <c r="O91" s="200">
        <f t="shared" si="20"/>
        <v>-2</v>
      </c>
      <c r="P91" s="200">
        <f t="shared" si="20"/>
        <v>-1</v>
      </c>
      <c r="Q91" s="200">
        <f t="shared" si="20"/>
        <v>-2</v>
      </c>
      <c r="R91" s="200">
        <f t="shared" si="20"/>
        <v>-1</v>
      </c>
      <c r="S91" s="200">
        <f t="shared" si="20"/>
        <v>-2</v>
      </c>
      <c r="T91" s="200">
        <f t="shared" si="20"/>
        <v>-2</v>
      </c>
      <c r="U91" s="200">
        <f t="shared" si="20"/>
        <v>-2</v>
      </c>
      <c r="V91" s="200">
        <f t="shared" si="20"/>
        <v>-53</v>
      </c>
      <c r="W91" s="200">
        <f t="shared" si="20"/>
        <v>-53</v>
      </c>
      <c r="X91" s="200">
        <f t="shared" si="20"/>
        <v>-52</v>
      </c>
      <c r="Y91" s="200">
        <f t="shared" si="20"/>
        <v>-52</v>
      </c>
      <c r="Z91" s="253">
        <f>Z89-Z90</f>
        <v>5648.3481600000196</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175</v>
      </c>
      <c r="C95" s="181">
        <f t="shared" si="23"/>
        <v>175</v>
      </c>
      <c r="D95" s="181">
        <f t="shared" si="23"/>
        <v>175</v>
      </c>
      <c r="E95" s="181">
        <f>E53</f>
        <v>175</v>
      </c>
      <c r="F95" s="181">
        <f t="shared" si="23"/>
        <v>175</v>
      </c>
      <c r="G95" s="181">
        <f t="shared" si="23"/>
        <v>175</v>
      </c>
      <c r="H95" s="181">
        <f t="shared" si="23"/>
        <v>175</v>
      </c>
      <c r="I95" s="181">
        <f t="shared" si="23"/>
        <v>175</v>
      </c>
      <c r="J95" s="181">
        <f t="shared" si="23"/>
        <v>175</v>
      </c>
      <c r="K95" s="181">
        <f t="shared" si="23"/>
        <v>175</v>
      </c>
      <c r="L95" s="181">
        <f t="shared" si="23"/>
        <v>175</v>
      </c>
      <c r="M95" s="181">
        <f t="shared" si="23"/>
        <v>175</v>
      </c>
      <c r="N95" s="181">
        <f t="shared" si="23"/>
        <v>175</v>
      </c>
      <c r="O95" s="181">
        <f t="shared" si="23"/>
        <v>175</v>
      </c>
      <c r="P95" s="181">
        <f t="shared" si="23"/>
        <v>177</v>
      </c>
      <c r="Q95" s="181">
        <f t="shared" si="23"/>
        <v>179</v>
      </c>
      <c r="R95" s="181">
        <f t="shared" si="23"/>
        <v>181</v>
      </c>
      <c r="S95" s="181">
        <f t="shared" si="23"/>
        <v>184</v>
      </c>
      <c r="T95" s="181">
        <f t="shared" si="23"/>
        <v>174</v>
      </c>
      <c r="U95" s="181">
        <f t="shared" si="23"/>
        <v>188</v>
      </c>
      <c r="V95" s="181">
        <f t="shared" si="23"/>
        <v>188</v>
      </c>
      <c r="W95" s="181">
        <f t="shared" si="23"/>
        <v>188</v>
      </c>
      <c r="X95" s="181">
        <f t="shared" si="23"/>
        <v>191</v>
      </c>
      <c r="Y95" s="181">
        <f t="shared" si="23"/>
        <v>191</v>
      </c>
      <c r="Z95" s="252">
        <f t="array" ref="Z95">SUM(B95:Y95*Economics!F$30)</f>
        <v>26157.935999999994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25</v>
      </c>
      <c r="C97" s="200">
        <f t="shared" si="24"/>
        <v>25</v>
      </c>
      <c r="D97" s="200">
        <f t="shared" si="24"/>
        <v>25</v>
      </c>
      <c r="E97" s="200">
        <f t="shared" si="24"/>
        <v>25</v>
      </c>
      <c r="F97" s="200">
        <f t="shared" si="24"/>
        <v>25</v>
      </c>
      <c r="G97" s="200">
        <f t="shared" si="24"/>
        <v>25</v>
      </c>
      <c r="H97" s="200">
        <f t="shared" si="24"/>
        <v>25</v>
      </c>
      <c r="I97" s="200">
        <f t="shared" si="24"/>
        <v>25</v>
      </c>
      <c r="J97" s="200">
        <f t="shared" si="24"/>
        <v>25</v>
      </c>
      <c r="K97" s="200">
        <f t="shared" si="24"/>
        <v>25</v>
      </c>
      <c r="L97" s="200">
        <f t="shared" si="24"/>
        <v>25</v>
      </c>
      <c r="M97" s="200">
        <f t="shared" si="24"/>
        <v>25</v>
      </c>
      <c r="N97" s="200">
        <f t="shared" si="24"/>
        <v>25</v>
      </c>
      <c r="O97" s="200">
        <f t="shared" si="24"/>
        <v>25</v>
      </c>
      <c r="P97" s="200">
        <f t="shared" si="24"/>
        <v>23</v>
      </c>
      <c r="Q97" s="200">
        <f t="shared" si="24"/>
        <v>21</v>
      </c>
      <c r="R97" s="200">
        <f t="shared" si="24"/>
        <v>19</v>
      </c>
      <c r="S97" s="200">
        <f t="shared" si="24"/>
        <v>16</v>
      </c>
      <c r="T97" s="200">
        <f t="shared" si="24"/>
        <v>26</v>
      </c>
      <c r="U97" s="200">
        <f t="shared" si="24"/>
        <v>12</v>
      </c>
      <c r="V97" s="200">
        <f t="shared" si="24"/>
        <v>12</v>
      </c>
      <c r="W97" s="200">
        <f t="shared" si="24"/>
        <v>12</v>
      </c>
      <c r="X97" s="200">
        <f t="shared" si="24"/>
        <v>9</v>
      </c>
      <c r="Y97" s="200">
        <f t="shared" si="24"/>
        <v>9</v>
      </c>
      <c r="Z97" s="253">
        <f>Z95-Z96</f>
        <v>-3102.8640000000159</v>
      </c>
    </row>
    <row r="98" spans="1:29" x14ac:dyDescent="0.2">
      <c r="A98" s="183" t="str">
        <f>Economics!A31</f>
        <v>PV Unit 2</v>
      </c>
      <c r="B98" s="181">
        <f t="shared" ref="B98:Y98" si="25">B54</f>
        <v>175</v>
      </c>
      <c r="C98" s="181">
        <f t="shared" si="25"/>
        <v>175</v>
      </c>
      <c r="D98" s="181">
        <f t="shared" si="25"/>
        <v>175</v>
      </c>
      <c r="E98" s="181">
        <f>E54</f>
        <v>175</v>
      </c>
      <c r="F98" s="181">
        <f t="shared" si="25"/>
        <v>175</v>
      </c>
      <c r="G98" s="181">
        <f t="shared" si="25"/>
        <v>175</v>
      </c>
      <c r="H98" s="181">
        <f t="shared" si="25"/>
        <v>175</v>
      </c>
      <c r="I98" s="181">
        <f t="shared" si="25"/>
        <v>175</v>
      </c>
      <c r="J98" s="181">
        <f t="shared" si="25"/>
        <v>175</v>
      </c>
      <c r="K98" s="181">
        <f t="shared" si="25"/>
        <v>175</v>
      </c>
      <c r="L98" s="181">
        <f t="shared" si="25"/>
        <v>175</v>
      </c>
      <c r="M98" s="181">
        <f t="shared" si="25"/>
        <v>175</v>
      </c>
      <c r="N98" s="181">
        <f t="shared" si="25"/>
        <v>175</v>
      </c>
      <c r="O98" s="181">
        <f t="shared" si="25"/>
        <v>175</v>
      </c>
      <c r="P98" s="181">
        <f t="shared" si="25"/>
        <v>177</v>
      </c>
      <c r="Q98" s="181">
        <f t="shared" si="25"/>
        <v>179</v>
      </c>
      <c r="R98" s="181">
        <f t="shared" si="25"/>
        <v>181</v>
      </c>
      <c r="S98" s="181">
        <f t="shared" si="25"/>
        <v>184</v>
      </c>
      <c r="T98" s="181">
        <f t="shared" si="25"/>
        <v>174</v>
      </c>
      <c r="U98" s="181">
        <f t="shared" si="25"/>
        <v>188</v>
      </c>
      <c r="V98" s="181">
        <f t="shared" si="25"/>
        <v>188</v>
      </c>
      <c r="W98" s="181">
        <f t="shared" si="25"/>
        <v>188</v>
      </c>
      <c r="X98" s="181">
        <f t="shared" si="25"/>
        <v>191</v>
      </c>
      <c r="Y98" s="181">
        <f t="shared" si="25"/>
        <v>191</v>
      </c>
      <c r="Z98" s="252">
        <f t="array" ref="Z98">SUM(B98:Y98*Economics!F$31)</f>
        <v>26157.935999999994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19</v>
      </c>
      <c r="C100" s="200">
        <f t="shared" si="26"/>
        <v>19</v>
      </c>
      <c r="D100" s="200">
        <f t="shared" si="26"/>
        <v>19</v>
      </c>
      <c r="E100" s="200">
        <f t="shared" si="26"/>
        <v>19</v>
      </c>
      <c r="F100" s="200">
        <f t="shared" si="26"/>
        <v>20</v>
      </c>
      <c r="G100" s="200">
        <f t="shared" si="26"/>
        <v>20</v>
      </c>
      <c r="H100" s="200">
        <f t="shared" si="26"/>
        <v>20</v>
      </c>
      <c r="I100" s="200">
        <f t="shared" si="26"/>
        <v>20</v>
      </c>
      <c r="J100" s="200">
        <f t="shared" si="26"/>
        <v>20</v>
      </c>
      <c r="K100" s="200">
        <f t="shared" si="26"/>
        <v>20</v>
      </c>
      <c r="L100" s="200">
        <f t="shared" si="26"/>
        <v>20</v>
      </c>
      <c r="M100" s="200">
        <f t="shared" si="26"/>
        <v>20</v>
      </c>
      <c r="N100" s="200">
        <f t="shared" si="26"/>
        <v>20</v>
      </c>
      <c r="O100" s="200">
        <f t="shared" si="26"/>
        <v>20</v>
      </c>
      <c r="P100" s="200">
        <f t="shared" si="26"/>
        <v>18</v>
      </c>
      <c r="Q100" s="200">
        <f t="shared" si="26"/>
        <v>16</v>
      </c>
      <c r="R100" s="200">
        <f t="shared" si="26"/>
        <v>14</v>
      </c>
      <c r="S100" s="200">
        <f t="shared" si="26"/>
        <v>11</v>
      </c>
      <c r="T100" s="200">
        <f t="shared" si="26"/>
        <v>21</v>
      </c>
      <c r="U100" s="200">
        <f t="shared" si="26"/>
        <v>7</v>
      </c>
      <c r="V100" s="200">
        <f t="shared" si="26"/>
        <v>7</v>
      </c>
      <c r="W100" s="200">
        <f t="shared" si="26"/>
        <v>7</v>
      </c>
      <c r="X100" s="200">
        <f t="shared" si="26"/>
        <v>4</v>
      </c>
      <c r="Y100" s="200">
        <f t="shared" si="26"/>
        <v>4</v>
      </c>
      <c r="Z100" s="253">
        <f>Z98-Z99</f>
        <v>-2346.9600000000137</v>
      </c>
    </row>
    <row r="101" spans="1:29" x14ac:dyDescent="0.2">
      <c r="A101" s="183" t="str">
        <f>Economics!A32</f>
        <v>PV Unit 3</v>
      </c>
      <c r="B101" s="181">
        <f t="shared" ref="B101:Y101" si="27">B55</f>
        <v>175</v>
      </c>
      <c r="C101" s="181">
        <f t="shared" si="27"/>
        <v>175</v>
      </c>
      <c r="D101" s="181">
        <f t="shared" si="27"/>
        <v>175</v>
      </c>
      <c r="E101" s="181">
        <f>E55</f>
        <v>175</v>
      </c>
      <c r="F101" s="181">
        <f t="shared" si="27"/>
        <v>175</v>
      </c>
      <c r="G101" s="181">
        <f t="shared" si="27"/>
        <v>176</v>
      </c>
      <c r="H101" s="181">
        <f t="shared" si="27"/>
        <v>176</v>
      </c>
      <c r="I101" s="181">
        <f t="shared" si="27"/>
        <v>175</v>
      </c>
      <c r="J101" s="181">
        <f t="shared" si="27"/>
        <v>177</v>
      </c>
      <c r="K101" s="181">
        <f t="shared" si="27"/>
        <v>176</v>
      </c>
      <c r="L101" s="181">
        <f t="shared" si="27"/>
        <v>175</v>
      </c>
      <c r="M101" s="181">
        <f t="shared" si="27"/>
        <v>175</v>
      </c>
      <c r="N101" s="181">
        <f t="shared" si="27"/>
        <v>175</v>
      </c>
      <c r="O101" s="181">
        <f t="shared" si="27"/>
        <v>176</v>
      </c>
      <c r="P101" s="181">
        <f t="shared" si="27"/>
        <v>177</v>
      </c>
      <c r="Q101" s="181">
        <f t="shared" si="27"/>
        <v>179</v>
      </c>
      <c r="R101" s="181">
        <f t="shared" si="27"/>
        <v>181</v>
      </c>
      <c r="S101" s="181">
        <f t="shared" si="27"/>
        <v>184</v>
      </c>
      <c r="T101" s="181">
        <f t="shared" si="27"/>
        <v>174</v>
      </c>
      <c r="U101" s="181">
        <f t="shared" si="27"/>
        <v>188</v>
      </c>
      <c r="V101" s="181">
        <f t="shared" si="27"/>
        <v>188</v>
      </c>
      <c r="W101" s="181">
        <f t="shared" si="27"/>
        <v>188</v>
      </c>
      <c r="X101" s="181">
        <f t="shared" si="27"/>
        <v>191</v>
      </c>
      <c r="Y101" s="181">
        <f t="shared" si="27"/>
        <v>191</v>
      </c>
      <c r="Z101" s="252">
        <f t="array" ref="Z101">SUM(B101:Y101*Economics!F$32)</f>
        <v>26194.511999999995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25</v>
      </c>
      <c r="C103" s="200">
        <f t="shared" si="28"/>
        <v>25</v>
      </c>
      <c r="D103" s="200">
        <f t="shared" si="28"/>
        <v>25</v>
      </c>
      <c r="E103" s="200">
        <f t="shared" si="28"/>
        <v>25</v>
      </c>
      <c r="F103" s="200">
        <f t="shared" si="28"/>
        <v>25</v>
      </c>
      <c r="G103" s="200">
        <f t="shared" si="28"/>
        <v>24</v>
      </c>
      <c r="H103" s="200">
        <f t="shared" si="28"/>
        <v>24</v>
      </c>
      <c r="I103" s="200">
        <f t="shared" si="28"/>
        <v>25</v>
      </c>
      <c r="J103" s="200">
        <f t="shared" si="28"/>
        <v>23</v>
      </c>
      <c r="K103" s="200">
        <f t="shared" si="28"/>
        <v>24</v>
      </c>
      <c r="L103" s="200">
        <f t="shared" si="28"/>
        <v>25</v>
      </c>
      <c r="M103" s="200">
        <f t="shared" si="28"/>
        <v>25</v>
      </c>
      <c r="N103" s="200">
        <f t="shared" si="28"/>
        <v>25</v>
      </c>
      <c r="O103" s="200">
        <f t="shared" si="28"/>
        <v>24</v>
      </c>
      <c r="P103" s="200">
        <f t="shared" si="28"/>
        <v>23</v>
      </c>
      <c r="Q103" s="200">
        <f t="shared" si="28"/>
        <v>21</v>
      </c>
      <c r="R103" s="200">
        <f t="shared" si="28"/>
        <v>19</v>
      </c>
      <c r="S103" s="200">
        <f t="shared" si="28"/>
        <v>16</v>
      </c>
      <c r="T103" s="200">
        <f t="shared" si="28"/>
        <v>26</v>
      </c>
      <c r="U103" s="200">
        <f t="shared" si="28"/>
        <v>12</v>
      </c>
      <c r="V103" s="200">
        <f t="shared" si="28"/>
        <v>12</v>
      </c>
      <c r="W103" s="200">
        <f t="shared" si="28"/>
        <v>12</v>
      </c>
      <c r="X103" s="200">
        <f t="shared" si="28"/>
        <v>9</v>
      </c>
      <c r="Y103" s="200">
        <f t="shared" si="28"/>
        <v>9</v>
      </c>
      <c r="Z103" s="253">
        <f>Z101-Z102</f>
        <v>-3066.288000000015</v>
      </c>
    </row>
    <row r="104" spans="1:29" x14ac:dyDescent="0.2">
      <c r="A104" s="183" t="str">
        <f>Economics!A34</f>
        <v>Newman 1</v>
      </c>
      <c r="B104" s="181">
        <v>31</v>
      </c>
      <c r="C104" s="181">
        <f t="shared" ref="C104:R104" si="29">C41</f>
        <v>39</v>
      </c>
      <c r="D104" s="181">
        <f t="shared" si="29"/>
        <v>40</v>
      </c>
      <c r="E104" s="181">
        <f>E41</f>
        <v>40</v>
      </c>
      <c r="F104" s="181">
        <f t="shared" si="29"/>
        <v>39</v>
      </c>
      <c r="G104" s="181">
        <f t="shared" si="29"/>
        <v>40</v>
      </c>
      <c r="H104" s="181">
        <f t="shared" si="29"/>
        <v>40</v>
      </c>
      <c r="I104" s="181">
        <f>I41</f>
        <v>40</v>
      </c>
      <c r="J104" s="181">
        <f t="shared" si="29"/>
        <v>76</v>
      </c>
      <c r="K104" s="181">
        <f t="shared" si="29"/>
        <v>39</v>
      </c>
      <c r="L104" s="181">
        <f t="shared" si="29"/>
        <v>65</v>
      </c>
      <c r="M104" s="181">
        <f t="shared" si="29"/>
        <v>77</v>
      </c>
      <c r="N104" s="181">
        <f t="shared" si="29"/>
        <v>78</v>
      </c>
      <c r="O104" s="181">
        <f t="shared" si="29"/>
        <v>78</v>
      </c>
      <c r="P104" s="181">
        <f t="shared" si="29"/>
        <v>78</v>
      </c>
      <c r="Q104" s="181">
        <f t="shared" si="29"/>
        <v>78</v>
      </c>
      <c r="R104" s="181">
        <f t="shared" si="29"/>
        <v>78</v>
      </c>
      <c r="S104" s="181">
        <v>34</v>
      </c>
      <c r="T104" s="181">
        <v>34</v>
      </c>
      <c r="U104" s="181">
        <v>34</v>
      </c>
      <c r="V104" s="181">
        <v>34</v>
      </c>
      <c r="W104" s="181">
        <f>W41</f>
        <v>42</v>
      </c>
      <c r="X104" s="181">
        <f>X41</f>
        <v>39</v>
      </c>
      <c r="Y104" s="181">
        <f>Y41</f>
        <v>48</v>
      </c>
      <c r="Z104" s="212">
        <f>SUM(B104:Y104)</f>
        <v>1221</v>
      </c>
      <c r="AA104" s="311" t="s">
        <v>167</v>
      </c>
    </row>
    <row r="105" spans="1:29" x14ac:dyDescent="0.2">
      <c r="A105" s="185">
        <f>Economics!$I34</f>
        <v>1.96</v>
      </c>
      <c r="B105" s="189">
        <f t="shared" ref="B105:Y105" ca="1" si="30">IndGencost(B104,OFFSET(HeatRateStart,1,MATCH($A104,HeatRateNames,0)-1,250,1),$A105)</f>
        <v>23.547401890555044</v>
      </c>
      <c r="C105" s="189">
        <f t="shared" ca="1" si="30"/>
        <v>23.022853483985266</v>
      </c>
      <c r="D105" s="189">
        <f t="shared" ca="1" si="30"/>
        <v>22.97335644712448</v>
      </c>
      <c r="E105" s="189">
        <f ca="1">IndGencost(E104,OFFSET(HeatRateStart,1,MATCH($A104,HeatRateNames,0)-1,250,1),$A105)</f>
        <v>22.97335644712448</v>
      </c>
      <c r="F105" s="189">
        <f t="shared" ca="1" si="30"/>
        <v>23.022853483985266</v>
      </c>
      <c r="G105" s="189">
        <f t="shared" ca="1" si="30"/>
        <v>22.97335644712448</v>
      </c>
      <c r="H105" s="189">
        <f t="shared" ca="1" si="30"/>
        <v>22.97335644712448</v>
      </c>
      <c r="I105" s="189">
        <f t="shared" ca="1" si="30"/>
        <v>22.97335644712448</v>
      </c>
      <c r="J105" s="189">
        <f t="shared" ca="1" si="30"/>
        <v>22.16167504185325</v>
      </c>
      <c r="K105" s="189">
        <f t="shared" ca="1" si="30"/>
        <v>23.022853483985266</v>
      </c>
      <c r="L105" s="189">
        <f t="shared" ca="1" si="30"/>
        <v>22.289504895353314</v>
      </c>
      <c r="M105" s="189">
        <f t="shared" ca="1" si="30"/>
        <v>22.152778503881059</v>
      </c>
      <c r="N105" s="189">
        <f t="shared" ca="1" si="30"/>
        <v>22.144260348936715</v>
      </c>
      <c r="O105" s="189">
        <f t="shared" ca="1" si="30"/>
        <v>22.144260348936715</v>
      </c>
      <c r="P105" s="189">
        <f t="shared" ca="1" si="30"/>
        <v>22.144260348936715</v>
      </c>
      <c r="Q105" s="189">
        <f t="shared" ca="1" si="30"/>
        <v>22.144260348936715</v>
      </c>
      <c r="R105" s="189">
        <f t="shared" ca="1" si="30"/>
        <v>22.144260348936715</v>
      </c>
      <c r="S105" s="189">
        <f t="shared" ca="1" si="30"/>
        <v>23.319183465619929</v>
      </c>
      <c r="T105" s="189">
        <f t="shared" ca="1" si="30"/>
        <v>23.319183465619929</v>
      </c>
      <c r="U105" s="189">
        <f t="shared" ca="1" si="30"/>
        <v>23.319183465619929</v>
      </c>
      <c r="V105" s="189">
        <f t="shared" ca="1" si="30"/>
        <v>23.319183465619929</v>
      </c>
      <c r="W105" s="189">
        <f t="shared" ca="1" si="30"/>
        <v>22.882270578685034</v>
      </c>
      <c r="X105" s="189">
        <f t="shared" ca="1" si="30"/>
        <v>23.022853483985266</v>
      </c>
      <c r="Y105" s="189">
        <f t="shared" ca="1" si="30"/>
        <v>22.660416307700473</v>
      </c>
      <c r="Z105" s="252">
        <f t="array" aca="1" ref="Z105" ca="1">SUM(B104:Y104*B105:Y105)</f>
        <v>27611.500792195478</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5" thickBot="1" x14ac:dyDescent="0.25">
      <c r="A108" s="187" t="s">
        <v>166</v>
      </c>
      <c r="B108" s="188">
        <f t="shared" ref="B108:Y108" ca="1" si="32">B107-B105</f>
        <v>8.6997236101804987E-2</v>
      </c>
      <c r="C108" s="188">
        <f t="shared" ca="1" si="32"/>
        <v>0.61154564267158307</v>
      </c>
      <c r="D108" s="188">
        <f t="shared" ca="1" si="32"/>
        <v>0.66104267953236828</v>
      </c>
      <c r="E108" s="188">
        <f t="shared" ca="1" si="32"/>
        <v>0.66104267953236828</v>
      </c>
      <c r="F108" s="188">
        <f t="shared" ca="1" si="32"/>
        <v>0.61154564267158307</v>
      </c>
      <c r="G108" s="188">
        <f t="shared" ca="1" si="32"/>
        <v>0.66104267953236828</v>
      </c>
      <c r="H108" s="188">
        <f t="shared" ca="1" si="32"/>
        <v>0.66104267953236828</v>
      </c>
      <c r="I108" s="188">
        <f t="shared" ca="1" si="32"/>
        <v>0.66104267953236828</v>
      </c>
      <c r="J108" s="188">
        <f t="shared" ca="1" si="32"/>
        <v>1.4727240848035983</v>
      </c>
      <c r="K108" s="188">
        <f t="shared" ca="1" si="32"/>
        <v>0.61154564267158307</v>
      </c>
      <c r="L108" s="188">
        <f t="shared" ca="1" si="32"/>
        <v>1.3448942313035346</v>
      </c>
      <c r="M108" s="188">
        <f t="shared" ca="1" si="32"/>
        <v>1.4816206227757895</v>
      </c>
      <c r="N108" s="188">
        <f t="shared" ca="1" si="32"/>
        <v>1.4901387777201336</v>
      </c>
      <c r="O108" s="188">
        <f t="shared" ca="1" si="32"/>
        <v>1.4901387777201336</v>
      </c>
      <c r="P108" s="188">
        <f t="shared" ca="1" si="32"/>
        <v>1.4901387777201336</v>
      </c>
      <c r="Q108" s="188">
        <f t="shared" ca="1" si="32"/>
        <v>1.4901387777201336</v>
      </c>
      <c r="R108" s="188">
        <f t="shared" ca="1" si="32"/>
        <v>1.4901387777201336</v>
      </c>
      <c r="S108" s="188">
        <f t="shared" ca="1" si="32"/>
        <v>0.31521566103691967</v>
      </c>
      <c r="T108" s="188">
        <f t="shared" ca="1" si="32"/>
        <v>0.31521566103691967</v>
      </c>
      <c r="U108" s="188">
        <f t="shared" ca="1" si="32"/>
        <v>0.31521566103691967</v>
      </c>
      <c r="V108" s="188">
        <f t="shared" ca="1" si="32"/>
        <v>0.31521566103691967</v>
      </c>
      <c r="W108" s="188">
        <f t="shared" ca="1" si="32"/>
        <v>0.7521285479718145</v>
      </c>
      <c r="X108" s="188">
        <f t="shared" ca="1" si="32"/>
        <v>0.61154564267158307</v>
      </c>
      <c r="Y108" s="188">
        <f t="shared" ca="1" si="32"/>
        <v>0.97398281895637595</v>
      </c>
      <c r="Z108" s="253">
        <f ca="1">Z105-Z107</f>
        <v>10594.733421002551</v>
      </c>
    </row>
    <row r="109" spans="1:29" x14ac:dyDescent="0.2">
      <c r="A109" s="183" t="str">
        <f>Economics!A35</f>
        <v>Newman 2</v>
      </c>
      <c r="B109" s="181">
        <f>B42</f>
        <v>38</v>
      </c>
      <c r="C109" s="181">
        <f t="shared" ref="C109:Y109" si="33">C42</f>
        <v>38</v>
      </c>
      <c r="D109" s="181">
        <f t="shared" si="33"/>
        <v>38</v>
      </c>
      <c r="E109" s="181">
        <f>E42</f>
        <v>40</v>
      </c>
      <c r="F109" s="181">
        <f t="shared" si="33"/>
        <v>37</v>
      </c>
      <c r="G109" s="181">
        <f t="shared" si="33"/>
        <v>64</v>
      </c>
      <c r="H109" s="181">
        <f t="shared" si="33"/>
        <v>32</v>
      </c>
      <c r="I109" s="181">
        <f>I42</f>
        <v>38</v>
      </c>
      <c r="J109" s="181">
        <f t="shared" si="33"/>
        <v>73</v>
      </c>
      <c r="K109" s="181">
        <f t="shared" si="33"/>
        <v>46</v>
      </c>
      <c r="L109" s="181">
        <f t="shared" si="33"/>
        <v>46</v>
      </c>
      <c r="M109" s="181">
        <f t="shared" si="33"/>
        <v>76</v>
      </c>
      <c r="N109" s="181">
        <f t="shared" si="33"/>
        <v>77</v>
      </c>
      <c r="O109" s="181">
        <f t="shared" si="33"/>
        <v>76</v>
      </c>
      <c r="P109" s="181">
        <f t="shared" si="33"/>
        <v>76</v>
      </c>
      <c r="Q109" s="181">
        <f t="shared" si="33"/>
        <v>76</v>
      </c>
      <c r="R109" s="181">
        <f t="shared" si="33"/>
        <v>76</v>
      </c>
      <c r="S109" s="181">
        <f t="shared" si="33"/>
        <v>76</v>
      </c>
      <c r="T109" s="181">
        <f t="shared" si="33"/>
        <v>39</v>
      </c>
      <c r="U109" s="181">
        <f t="shared" si="33"/>
        <v>77</v>
      </c>
      <c r="V109" s="181">
        <f t="shared" si="33"/>
        <v>53</v>
      </c>
      <c r="W109" s="181">
        <f t="shared" si="33"/>
        <v>54</v>
      </c>
      <c r="X109" s="181">
        <f t="shared" si="33"/>
        <v>37</v>
      </c>
      <c r="Y109" s="181">
        <f t="shared" si="33"/>
        <v>37</v>
      </c>
      <c r="Z109" s="212">
        <f>SUM(B109:Y109)</f>
        <v>1320</v>
      </c>
      <c r="AA109" s="311" t="s">
        <v>171</v>
      </c>
    </row>
    <row r="110" spans="1:29" x14ac:dyDescent="0.2">
      <c r="A110" s="185">
        <f>Economics!$I35</f>
        <v>1.96</v>
      </c>
      <c r="B110" s="189">
        <f t="shared" ref="B110:Y110" ca="1" si="34">IndGencost(B109,OFFSET(HeatRateStart,1,MATCH($A109,HeatRateNames,0)-1,250,1),$A110)</f>
        <v>21.103691779156737</v>
      </c>
      <c r="C110" s="189">
        <f t="shared" ca="1" si="34"/>
        <v>21.103691779156737</v>
      </c>
      <c r="D110" s="189">
        <f t="shared" ca="1" si="34"/>
        <v>21.103691779156737</v>
      </c>
      <c r="E110" s="189">
        <f ca="1">IndGencost(E109,OFFSET(HeatRateStart,1,MATCH($A109,HeatRateNames,0)-1,250,1),$A110)</f>
        <v>21.000420408725741</v>
      </c>
      <c r="F110" s="189">
        <f t="shared" ca="1" si="34"/>
        <v>21.160356411838535</v>
      </c>
      <c r="G110" s="189">
        <f t="shared" ca="1" si="34"/>
        <v>20.365894896376133</v>
      </c>
      <c r="H110" s="189">
        <f t="shared" ca="1" si="34"/>
        <v>21.506541418576244</v>
      </c>
      <c r="I110" s="189">
        <f t="shared" ca="1" si="34"/>
        <v>21.103691779156737</v>
      </c>
      <c r="J110" s="189">
        <f t="shared" ca="1" si="34"/>
        <v>20.277776449455629</v>
      </c>
      <c r="K110" s="189">
        <f t="shared" ca="1" si="34"/>
        <v>20.755326664825112</v>
      </c>
      <c r="L110" s="189">
        <f t="shared" ca="1" si="34"/>
        <v>20.755326664825112</v>
      </c>
      <c r="M110" s="189">
        <f t="shared" ca="1" si="34"/>
        <v>20.257962078485992</v>
      </c>
      <c r="N110" s="189">
        <f t="shared" ca="1" si="34"/>
        <v>20.252240030527737</v>
      </c>
      <c r="O110" s="189">
        <f t="shared" ca="1" si="34"/>
        <v>20.257962078485992</v>
      </c>
      <c r="P110" s="189">
        <f t="shared" ca="1" si="34"/>
        <v>20.257962078485992</v>
      </c>
      <c r="Q110" s="189">
        <f t="shared" ca="1" si="34"/>
        <v>20.257962078485992</v>
      </c>
      <c r="R110" s="189">
        <f t="shared" ca="1" si="34"/>
        <v>20.257962078485992</v>
      </c>
      <c r="S110" s="189">
        <f t="shared" ca="1" si="34"/>
        <v>20.257962078485992</v>
      </c>
      <c r="T110" s="189">
        <f t="shared" ca="1" si="34"/>
        <v>21.050465743033094</v>
      </c>
      <c r="U110" s="189">
        <f t="shared" ca="1" si="34"/>
        <v>20.252240030527737</v>
      </c>
      <c r="V110" s="189">
        <f t="shared" ca="1" si="34"/>
        <v>20.557356852932696</v>
      </c>
      <c r="W110" s="189">
        <f t="shared" ca="1" si="34"/>
        <v>20.534804251515428</v>
      </c>
      <c r="X110" s="189">
        <f t="shared" ca="1" si="34"/>
        <v>21.160356411838535</v>
      </c>
      <c r="Y110" s="189">
        <f t="shared" ca="1" si="34"/>
        <v>21.160356411838535</v>
      </c>
      <c r="Z110" s="252">
        <f t="array" aca="1" ref="Z110" ca="1">SUM(B109:Y109*B110:Y110)</f>
        <v>27153.835040488058</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5" thickBot="1" x14ac:dyDescent="0.25">
      <c r="A113" s="187" t="s">
        <v>166</v>
      </c>
      <c r="B113" s="188">
        <f t="shared" ref="B113:Y113" ca="1" si="36">B112-B110</f>
        <v>0.48749793138957287</v>
      </c>
      <c r="C113" s="188">
        <f t="shared" ca="1" si="36"/>
        <v>0.48749793138957287</v>
      </c>
      <c r="D113" s="188">
        <f t="shared" ca="1" si="36"/>
        <v>0.48749793138957287</v>
      </c>
      <c r="E113" s="188">
        <f t="shared" ca="1" si="36"/>
        <v>0.59076930182056842</v>
      </c>
      <c r="F113" s="188">
        <f t="shared" ca="1" si="36"/>
        <v>0.43083329870777476</v>
      </c>
      <c r="G113" s="188">
        <f t="shared" ca="1" si="36"/>
        <v>1.2252948141701765</v>
      </c>
      <c r="H113" s="188">
        <f t="shared" ca="1" si="36"/>
        <v>8.4648291970065515E-2</v>
      </c>
      <c r="I113" s="188">
        <f t="shared" ca="1" si="36"/>
        <v>0.48749793138957287</v>
      </c>
      <c r="J113" s="188">
        <f t="shared" ca="1" si="36"/>
        <v>1.3134132610906804</v>
      </c>
      <c r="K113" s="188">
        <f t="shared" ca="1" si="36"/>
        <v>0.8358630457211973</v>
      </c>
      <c r="L113" s="188">
        <f t="shared" ca="1" si="36"/>
        <v>0.8358630457211973</v>
      </c>
      <c r="M113" s="188">
        <f t="shared" ca="1" si="36"/>
        <v>1.3332276320603178</v>
      </c>
      <c r="N113" s="188">
        <f t="shared" ca="1" si="36"/>
        <v>1.3389496800185725</v>
      </c>
      <c r="O113" s="188">
        <f t="shared" ca="1" si="36"/>
        <v>1.3332276320603178</v>
      </c>
      <c r="P113" s="188">
        <f t="shared" ca="1" si="36"/>
        <v>1.3332276320603178</v>
      </c>
      <c r="Q113" s="188">
        <f t="shared" ca="1" si="36"/>
        <v>1.3332276320603178</v>
      </c>
      <c r="R113" s="188">
        <f t="shared" ca="1" si="36"/>
        <v>1.3332276320603178</v>
      </c>
      <c r="S113" s="188">
        <f t="shared" ca="1" si="36"/>
        <v>1.3332276320603178</v>
      </c>
      <c r="T113" s="188">
        <f t="shared" ca="1" si="36"/>
        <v>0.54072396751321605</v>
      </c>
      <c r="U113" s="188">
        <f t="shared" ca="1" si="36"/>
        <v>1.3389496800185725</v>
      </c>
      <c r="V113" s="188">
        <f t="shared" ca="1" si="36"/>
        <v>1.0338328576136142</v>
      </c>
      <c r="W113" s="188">
        <f t="shared" ca="1" si="36"/>
        <v>1.0563854590308814</v>
      </c>
      <c r="X113" s="188">
        <f t="shared" ca="1" si="36"/>
        <v>0.43083329870777476</v>
      </c>
      <c r="Y113" s="188">
        <f t="shared" ca="1" si="36"/>
        <v>0.43083329870777476</v>
      </c>
      <c r="Z113" s="253">
        <f ca="1">Z110-Z112</f>
        <v>11089.989895841594</v>
      </c>
      <c r="AC113" s="174"/>
    </row>
    <row r="114" spans="1:29" x14ac:dyDescent="0.2">
      <c r="A114" s="183" t="str">
        <f>Economics!A36</f>
        <v>Newman 3</v>
      </c>
      <c r="B114" s="181">
        <f t="shared" ref="B114:Y114" si="37">B43</f>
        <v>40</v>
      </c>
      <c r="C114" s="181">
        <f t="shared" si="37"/>
        <v>57</v>
      </c>
      <c r="D114" s="181">
        <f t="shared" si="37"/>
        <v>35</v>
      </c>
      <c r="E114" s="181">
        <f>E43</f>
        <v>46</v>
      </c>
      <c r="F114" s="181">
        <f t="shared" si="37"/>
        <v>85</v>
      </c>
      <c r="G114" s="181">
        <f t="shared" si="37"/>
        <v>94</v>
      </c>
      <c r="H114" s="181">
        <f t="shared" si="37"/>
        <v>80</v>
      </c>
      <c r="I114" s="181">
        <f t="shared" si="37"/>
        <v>95</v>
      </c>
      <c r="J114" s="181">
        <f t="shared" si="37"/>
        <v>62</v>
      </c>
      <c r="K114" s="181">
        <f t="shared" si="37"/>
        <v>92</v>
      </c>
      <c r="L114" s="181">
        <f t="shared" si="37"/>
        <v>95</v>
      </c>
      <c r="M114" s="181">
        <f t="shared" si="37"/>
        <v>95</v>
      </c>
      <c r="N114" s="181">
        <f t="shared" si="37"/>
        <v>62</v>
      </c>
      <c r="O114" s="181">
        <f t="shared" si="37"/>
        <v>72</v>
      </c>
      <c r="P114" s="181">
        <f t="shared" si="37"/>
        <v>89</v>
      </c>
      <c r="Q114" s="181">
        <f t="shared" si="37"/>
        <v>88</v>
      </c>
      <c r="R114" s="181">
        <f t="shared" si="37"/>
        <v>62</v>
      </c>
      <c r="S114" s="181">
        <f t="shared" si="37"/>
        <v>91</v>
      </c>
      <c r="T114" s="181">
        <f t="shared" si="37"/>
        <v>36</v>
      </c>
      <c r="U114" s="181">
        <f t="shared" si="37"/>
        <v>94</v>
      </c>
      <c r="V114" s="181">
        <f t="shared" si="37"/>
        <v>74</v>
      </c>
      <c r="W114" s="181">
        <f t="shared" si="37"/>
        <v>37</v>
      </c>
      <c r="X114" s="181">
        <f t="shared" si="37"/>
        <v>35</v>
      </c>
      <c r="Y114" s="181">
        <f t="shared" si="37"/>
        <v>95</v>
      </c>
      <c r="Z114" s="212">
        <f>SUM(B114:Y114)</f>
        <v>1711</v>
      </c>
      <c r="AA114" s="311" t="s">
        <v>173</v>
      </c>
    </row>
    <row r="115" spans="1:29" x14ac:dyDescent="0.2">
      <c r="A115" s="185">
        <f>Economics!$I36</f>
        <v>1.96</v>
      </c>
      <c r="B115" s="189">
        <f t="shared" ref="B115:Y115" ca="1" si="38">IndGencost(B114,OFFSET(HeatRateStart,1,MATCH($A114,HeatRateNames,0)-1,250,1),$A115)</f>
        <v>21.200830412626267</v>
      </c>
      <c r="C115" s="189">
        <f t="shared" ca="1" si="38"/>
        <v>20.16279548014256</v>
      </c>
      <c r="D115" s="189">
        <f t="shared" ca="1" si="38"/>
        <v>21.778120423861914</v>
      </c>
      <c r="E115" s="189">
        <f ca="1">IndGencost(E114,OFFSET(HeatRateStart,1,MATCH($A114,HeatRateNames,0)-1,250,1),$A115)</f>
        <v>20.710297794383504</v>
      </c>
      <c r="F115" s="189">
        <f t="shared" ca="1" si="38"/>
        <v>19.735932148821213</v>
      </c>
      <c r="G115" s="189">
        <f t="shared" ca="1" si="38"/>
        <v>19.742996979997514</v>
      </c>
      <c r="H115" s="189">
        <f t="shared" ca="1" si="38"/>
        <v>19.753615384459493</v>
      </c>
      <c r="I115" s="189">
        <f t="shared" ca="1" si="38"/>
        <v>19.746381436950283</v>
      </c>
      <c r="J115" s="189">
        <f t="shared" ca="1" si="38"/>
        <v>20.011031357211451</v>
      </c>
      <c r="K115" s="189">
        <f t="shared" ca="1" si="38"/>
        <v>19.737669079801311</v>
      </c>
      <c r="L115" s="189">
        <f t="shared" ca="1" si="38"/>
        <v>19.746381436950283</v>
      </c>
      <c r="M115" s="189">
        <f t="shared" ca="1" si="38"/>
        <v>19.746381436950283</v>
      </c>
      <c r="N115" s="189">
        <f t="shared" ca="1" si="38"/>
        <v>20.011031357211451</v>
      </c>
      <c r="O115" s="189">
        <f t="shared" ca="1" si="38"/>
        <v>19.823821496937008</v>
      </c>
      <c r="P115" s="189">
        <f t="shared" ca="1" si="38"/>
        <v>19.733522631259447</v>
      </c>
      <c r="Q115" s="189">
        <f t="shared" ca="1" si="38"/>
        <v>19.733235838608309</v>
      </c>
      <c r="R115" s="189">
        <f t="shared" ca="1" si="38"/>
        <v>20.011031357211451</v>
      </c>
      <c r="S115" s="189">
        <f t="shared" ca="1" si="38"/>
        <v>19.735757307188852</v>
      </c>
      <c r="T115" s="189">
        <f t="shared" ca="1" si="38"/>
        <v>21.647002643532225</v>
      </c>
      <c r="U115" s="189">
        <f t="shared" ca="1" si="38"/>
        <v>19.742996979997514</v>
      </c>
      <c r="V115" s="189">
        <f t="shared" ca="1" si="38"/>
        <v>19.800714979970774</v>
      </c>
      <c r="W115" s="189">
        <f t="shared" ca="1" si="38"/>
        <v>21.524349608112029</v>
      </c>
      <c r="X115" s="189">
        <f t="shared" ca="1" si="38"/>
        <v>21.778120423861914</v>
      </c>
      <c r="Y115" s="189">
        <f t="shared" ca="1" si="38"/>
        <v>19.746381436950283</v>
      </c>
      <c r="Z115" s="252">
        <f t="array" aca="1" ref="Z115" ca="1">SUM(B114:Y114*B115:Y115)</f>
        <v>34242.547186453812</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5" thickBot="1" x14ac:dyDescent="0.25">
      <c r="A118" s="187" t="s">
        <v>166</v>
      </c>
      <c r="B118" s="188">
        <f t="shared" ref="B118:Y118" ca="1" si="40">B117-B115</f>
        <v>-21.200830412626267</v>
      </c>
      <c r="C118" s="188">
        <f t="shared" ca="1" si="40"/>
        <v>-20.16279548014256</v>
      </c>
      <c r="D118" s="188">
        <f t="shared" ca="1" si="40"/>
        <v>-21.778120423861914</v>
      </c>
      <c r="E118" s="188">
        <f t="shared" ca="1" si="40"/>
        <v>-20.710297794383504</v>
      </c>
      <c r="F118" s="188">
        <f t="shared" ca="1" si="40"/>
        <v>-19.735932148821213</v>
      </c>
      <c r="G118" s="188">
        <f t="shared" ca="1" si="40"/>
        <v>-19.742996979997514</v>
      </c>
      <c r="H118" s="188">
        <f t="shared" ca="1" si="40"/>
        <v>-19.753615384459493</v>
      </c>
      <c r="I118" s="188">
        <f t="shared" ca="1" si="40"/>
        <v>-19.746381436950283</v>
      </c>
      <c r="J118" s="188">
        <f t="shared" ca="1" si="40"/>
        <v>-20.011031357211451</v>
      </c>
      <c r="K118" s="188">
        <f t="shared" ca="1" si="40"/>
        <v>-19.737669079801311</v>
      </c>
      <c r="L118" s="188">
        <f t="shared" ca="1" si="40"/>
        <v>-19.746381436950283</v>
      </c>
      <c r="M118" s="188">
        <f t="shared" ca="1" si="40"/>
        <v>-19.746381436950283</v>
      </c>
      <c r="N118" s="188">
        <f t="shared" ca="1" si="40"/>
        <v>-20.011031357211451</v>
      </c>
      <c r="O118" s="188">
        <f t="shared" ca="1" si="40"/>
        <v>-19.823821496937008</v>
      </c>
      <c r="P118" s="188">
        <f t="shared" ca="1" si="40"/>
        <v>-19.733522631259447</v>
      </c>
      <c r="Q118" s="188">
        <f t="shared" ca="1" si="40"/>
        <v>-19.733235838608309</v>
      </c>
      <c r="R118" s="188">
        <f t="shared" ca="1" si="40"/>
        <v>-20.011031357211451</v>
      </c>
      <c r="S118" s="188">
        <f t="shared" ca="1" si="40"/>
        <v>-19.735757307188852</v>
      </c>
      <c r="T118" s="188">
        <f t="shared" ca="1" si="40"/>
        <v>-21.647002643532225</v>
      </c>
      <c r="U118" s="188">
        <f t="shared" ca="1" si="40"/>
        <v>-19.742996979997514</v>
      </c>
      <c r="V118" s="188">
        <f t="shared" ca="1" si="40"/>
        <v>-19.800714979970774</v>
      </c>
      <c r="W118" s="188">
        <f t="shared" ca="1" si="40"/>
        <v>-21.524349608112029</v>
      </c>
      <c r="X118" s="188">
        <f t="shared" ca="1" si="40"/>
        <v>-21.778120423861914</v>
      </c>
      <c r="Y118" s="188">
        <f t="shared" ca="1" si="40"/>
        <v>-19.746381436950283</v>
      </c>
      <c r="Z118" s="253">
        <f ca="1">Z115-Z117</f>
        <v>34242.547186453812</v>
      </c>
    </row>
    <row r="119" spans="1:29" x14ac:dyDescent="0.2">
      <c r="A119" s="183" t="str">
        <f>Economics!A37</f>
        <v>GT 1</v>
      </c>
      <c r="B119" s="181">
        <f t="shared" ref="B119:Y119" si="41">B44</f>
        <v>0</v>
      </c>
      <c r="C119" s="181">
        <f t="shared" si="41"/>
        <v>0</v>
      </c>
      <c r="D119" s="181">
        <f t="shared" si="41"/>
        <v>0</v>
      </c>
      <c r="E119" s="181">
        <f>E44</f>
        <v>5</v>
      </c>
      <c r="F119" s="181">
        <f t="shared" si="41"/>
        <v>5</v>
      </c>
      <c r="G119" s="181">
        <f t="shared" si="41"/>
        <v>5</v>
      </c>
      <c r="H119" s="181">
        <f t="shared" si="41"/>
        <v>5</v>
      </c>
      <c r="I119" s="181">
        <f t="shared" si="41"/>
        <v>5</v>
      </c>
      <c r="J119" s="181">
        <f t="shared" si="41"/>
        <v>30</v>
      </c>
      <c r="K119" s="181">
        <f t="shared" si="41"/>
        <v>43</v>
      </c>
      <c r="L119" s="181">
        <f t="shared" si="41"/>
        <v>35</v>
      </c>
      <c r="M119" s="181">
        <f t="shared" si="41"/>
        <v>36</v>
      </c>
      <c r="N119" s="181">
        <f t="shared" si="41"/>
        <v>35</v>
      </c>
      <c r="O119" s="181">
        <f t="shared" si="41"/>
        <v>36</v>
      </c>
      <c r="P119" s="181">
        <f t="shared" si="41"/>
        <v>35</v>
      </c>
      <c r="Q119" s="181">
        <f t="shared" si="41"/>
        <v>35</v>
      </c>
      <c r="R119" s="181">
        <f t="shared" si="41"/>
        <v>35</v>
      </c>
      <c r="S119" s="181">
        <f t="shared" si="41"/>
        <v>36</v>
      </c>
      <c r="T119" s="181">
        <f t="shared" si="41"/>
        <v>0</v>
      </c>
      <c r="U119" s="181">
        <f t="shared" si="41"/>
        <v>48</v>
      </c>
      <c r="V119" s="181">
        <f t="shared" si="41"/>
        <v>35</v>
      </c>
      <c r="W119" s="181">
        <f t="shared" si="41"/>
        <v>35</v>
      </c>
      <c r="X119" s="181">
        <f t="shared" si="41"/>
        <v>36</v>
      </c>
      <c r="Y119" s="181">
        <f t="shared" si="41"/>
        <v>26</v>
      </c>
      <c r="Z119" s="212">
        <f>SUM(B119:Y119)</f>
        <v>561</v>
      </c>
      <c r="AA119" s="311"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76.846005695633892</v>
      </c>
      <c r="F120" s="189">
        <f t="shared" ca="1" si="42"/>
        <v>76.846005695633892</v>
      </c>
      <c r="G120" s="189">
        <f t="shared" ca="1" si="42"/>
        <v>76.846005695633892</v>
      </c>
      <c r="H120" s="189">
        <f t="shared" ca="1" si="42"/>
        <v>76.846005695633892</v>
      </c>
      <c r="I120" s="189">
        <f t="shared" ca="1" si="42"/>
        <v>76.846005695633892</v>
      </c>
      <c r="J120" s="189">
        <f t="shared" ca="1" si="42"/>
        <v>29.466124440158211</v>
      </c>
      <c r="K120" s="189">
        <f t="shared" ca="1" si="42"/>
        <v>27.020046960302775</v>
      </c>
      <c r="L120" s="189">
        <f t="shared" ca="1" si="42"/>
        <v>28.268628350184979</v>
      </c>
      <c r="M120" s="189">
        <f t="shared" ca="1" si="42"/>
        <v>28.075120688641022</v>
      </c>
      <c r="N120" s="189">
        <f t="shared" ca="1" si="42"/>
        <v>28.268628350184979</v>
      </c>
      <c r="O120" s="189">
        <f t="shared" ca="1" si="42"/>
        <v>28.075120688641022</v>
      </c>
      <c r="P120" s="189">
        <f t="shared" ca="1" si="42"/>
        <v>28.268628350184979</v>
      </c>
      <c r="Q120" s="189">
        <f t="shared" ca="1" si="42"/>
        <v>28.268628350184979</v>
      </c>
      <c r="R120" s="189">
        <f t="shared" ca="1" si="42"/>
        <v>28.268628350184979</v>
      </c>
      <c r="S120" s="189">
        <f t="shared" ca="1" si="42"/>
        <v>28.075120688641022</v>
      </c>
      <c r="T120" s="189">
        <f t="shared" ca="1" si="42"/>
        <v>0</v>
      </c>
      <c r="U120" s="189">
        <f t="shared" ca="1" si="42"/>
        <v>26.500391542436915</v>
      </c>
      <c r="V120" s="189">
        <f t="shared" ca="1" si="42"/>
        <v>28.268628350184979</v>
      </c>
      <c r="W120" s="189">
        <f t="shared" ca="1" si="42"/>
        <v>28.268628350184979</v>
      </c>
      <c r="X120" s="189">
        <f t="shared" ca="1" si="42"/>
        <v>28.075120688641022</v>
      </c>
      <c r="Y120" s="189">
        <f t="shared" ca="1" si="42"/>
        <v>30.806205011880873</v>
      </c>
      <c r="Z120" s="252">
        <f t="array" aca="1" ref="Z120" ca="1">SUM(B119:Y119*B120:Y120)</f>
        <v>17008.607344194115</v>
      </c>
      <c r="AA120" s="311" t="s">
        <v>168</v>
      </c>
    </row>
    <row r="121" spans="1:29" x14ac:dyDescent="0.2">
      <c r="A121" s="184" t="s">
        <v>164</v>
      </c>
      <c r="B121" s="186">
        <f t="shared" ref="B121:Y121" si="43">B119</f>
        <v>0</v>
      </c>
      <c r="C121" s="186">
        <f t="shared" si="43"/>
        <v>0</v>
      </c>
      <c r="D121" s="186">
        <f t="shared" si="43"/>
        <v>0</v>
      </c>
      <c r="E121" s="186">
        <f t="shared" si="43"/>
        <v>5</v>
      </c>
      <c r="F121" s="186">
        <f t="shared" si="43"/>
        <v>5</v>
      </c>
      <c r="G121" s="186">
        <f t="shared" si="43"/>
        <v>5</v>
      </c>
      <c r="H121" s="186">
        <f t="shared" si="43"/>
        <v>5</v>
      </c>
      <c r="I121" s="186">
        <f t="shared" si="43"/>
        <v>5</v>
      </c>
      <c r="J121" s="186">
        <f t="shared" si="43"/>
        <v>30</v>
      </c>
      <c r="K121" s="186">
        <f t="shared" si="43"/>
        <v>43</v>
      </c>
      <c r="L121" s="186">
        <f t="shared" si="43"/>
        <v>35</v>
      </c>
      <c r="M121" s="186">
        <f t="shared" si="43"/>
        <v>36</v>
      </c>
      <c r="N121" s="186">
        <f t="shared" si="43"/>
        <v>35</v>
      </c>
      <c r="O121" s="186">
        <f t="shared" si="43"/>
        <v>36</v>
      </c>
      <c r="P121" s="186">
        <f t="shared" si="43"/>
        <v>35</v>
      </c>
      <c r="Q121" s="186">
        <f t="shared" si="43"/>
        <v>35</v>
      </c>
      <c r="R121" s="186">
        <f t="shared" si="43"/>
        <v>35</v>
      </c>
      <c r="S121" s="186">
        <f t="shared" si="43"/>
        <v>36</v>
      </c>
      <c r="T121" s="186">
        <f t="shared" si="43"/>
        <v>0</v>
      </c>
      <c r="U121" s="186">
        <f t="shared" si="43"/>
        <v>48</v>
      </c>
      <c r="V121" s="186">
        <f t="shared" si="43"/>
        <v>35</v>
      </c>
      <c r="W121" s="186">
        <f t="shared" si="43"/>
        <v>35</v>
      </c>
      <c r="X121" s="186">
        <f t="shared" si="43"/>
        <v>36</v>
      </c>
      <c r="Y121" s="186">
        <f t="shared" si="43"/>
        <v>26</v>
      </c>
      <c r="Z121" s="213">
        <f>SUM(B121:Y121)</f>
        <v>561</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76.846005695633892</v>
      </c>
      <c r="F122" s="190">
        <f t="shared" ca="1" si="44"/>
        <v>76.846005695633892</v>
      </c>
      <c r="G122" s="190">
        <f t="shared" ca="1" si="44"/>
        <v>76.846005695633892</v>
      </c>
      <c r="H122" s="190">
        <f t="shared" ca="1" si="44"/>
        <v>76.846005695633892</v>
      </c>
      <c r="I122" s="190">
        <f t="shared" ca="1" si="44"/>
        <v>76.846005695633892</v>
      </c>
      <c r="J122" s="190">
        <f t="shared" ca="1" si="44"/>
        <v>29.466124440158211</v>
      </c>
      <c r="K122" s="190">
        <f t="shared" ca="1" si="44"/>
        <v>27.020046960302775</v>
      </c>
      <c r="L122" s="190">
        <f t="shared" ca="1" si="44"/>
        <v>28.268628350184979</v>
      </c>
      <c r="M122" s="190">
        <f t="shared" ca="1" si="44"/>
        <v>28.075120688641022</v>
      </c>
      <c r="N122" s="190">
        <f t="shared" ca="1" si="44"/>
        <v>28.268628350184979</v>
      </c>
      <c r="O122" s="190">
        <f t="shared" ca="1" si="44"/>
        <v>28.075120688641022</v>
      </c>
      <c r="P122" s="190">
        <f t="shared" ca="1" si="44"/>
        <v>28.268628350184979</v>
      </c>
      <c r="Q122" s="190">
        <f t="shared" ca="1" si="44"/>
        <v>28.268628350184979</v>
      </c>
      <c r="R122" s="190">
        <f t="shared" ca="1" si="44"/>
        <v>28.268628350184979</v>
      </c>
      <c r="S122" s="190">
        <f t="shared" ca="1" si="44"/>
        <v>28.075120688641022</v>
      </c>
      <c r="T122" s="190">
        <f t="shared" ca="1" si="44"/>
        <v>0</v>
      </c>
      <c r="U122" s="190">
        <f t="shared" ca="1" si="44"/>
        <v>26.500391542436915</v>
      </c>
      <c r="V122" s="190">
        <f t="shared" ca="1" si="44"/>
        <v>28.268628350184979</v>
      </c>
      <c r="W122" s="190">
        <f t="shared" ca="1" si="44"/>
        <v>28.268628350184979</v>
      </c>
      <c r="X122" s="190">
        <f t="shared" ca="1" si="44"/>
        <v>28.075120688641022</v>
      </c>
      <c r="Y122" s="190">
        <f t="shared" ca="1" si="44"/>
        <v>30.806205011880873</v>
      </c>
      <c r="Z122" s="251">
        <f t="array" aca="1" ref="Z122" ca="1">SUM(B121:Y121*B122:Y122)</f>
        <v>17008.607344194115</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
      <c r="A124" s="183" t="str">
        <f>Economics!A38</f>
        <v>GT 2</v>
      </c>
      <c r="B124" s="181">
        <f t="shared" ref="B124:Y124" si="46">B45</f>
        <v>0</v>
      </c>
      <c r="C124" s="181">
        <f t="shared" si="46"/>
        <v>0</v>
      </c>
      <c r="D124" s="181">
        <f t="shared" si="46"/>
        <v>5</v>
      </c>
      <c r="E124" s="181">
        <f>E45</f>
        <v>5</v>
      </c>
      <c r="F124" s="181">
        <f t="shared" si="46"/>
        <v>5</v>
      </c>
      <c r="G124" s="181">
        <f t="shared" si="46"/>
        <v>5</v>
      </c>
      <c r="H124" s="181">
        <f t="shared" si="46"/>
        <v>5</v>
      </c>
      <c r="I124" s="181">
        <f t="shared" si="46"/>
        <v>5</v>
      </c>
      <c r="J124" s="181">
        <f t="shared" si="46"/>
        <v>30</v>
      </c>
      <c r="K124" s="181">
        <f t="shared" si="46"/>
        <v>42</v>
      </c>
      <c r="L124" s="181">
        <f t="shared" si="46"/>
        <v>34</v>
      </c>
      <c r="M124" s="181">
        <f t="shared" si="46"/>
        <v>35</v>
      </c>
      <c r="N124" s="181">
        <f t="shared" si="46"/>
        <v>35</v>
      </c>
      <c r="O124" s="181">
        <f t="shared" si="46"/>
        <v>35</v>
      </c>
      <c r="P124" s="181">
        <f t="shared" si="46"/>
        <v>35</v>
      </c>
      <c r="Q124" s="181">
        <f t="shared" si="46"/>
        <v>35</v>
      </c>
      <c r="R124" s="181">
        <f t="shared" si="46"/>
        <v>35</v>
      </c>
      <c r="S124" s="181">
        <f t="shared" si="46"/>
        <v>35</v>
      </c>
      <c r="T124" s="181">
        <f t="shared" si="46"/>
        <v>0</v>
      </c>
      <c r="U124" s="181">
        <f t="shared" si="46"/>
        <v>47</v>
      </c>
      <c r="V124" s="181">
        <f t="shared" si="46"/>
        <v>35</v>
      </c>
      <c r="W124" s="181">
        <f t="shared" si="46"/>
        <v>35</v>
      </c>
      <c r="X124" s="181">
        <f t="shared" si="46"/>
        <v>35</v>
      </c>
      <c r="Y124" s="181">
        <f t="shared" si="46"/>
        <v>25</v>
      </c>
      <c r="Z124" s="212">
        <f>SUM(B124:Y124)</f>
        <v>558</v>
      </c>
      <c r="AA124" s="311" t="s">
        <v>175</v>
      </c>
    </row>
    <row r="125" spans="1:29" x14ac:dyDescent="0.2">
      <c r="A125" s="185">
        <f>Economics!$I38</f>
        <v>1.96</v>
      </c>
      <c r="B125" s="189">
        <f t="shared" ref="B125:Y125" ca="1" si="47">IndGencost(B124,OFFSET(HeatRateStart,1,MATCH($A124,HeatRateNames,0)-1,250,1),$A125)</f>
        <v>0</v>
      </c>
      <c r="C125" s="189">
        <f t="shared" ca="1" si="47"/>
        <v>0</v>
      </c>
      <c r="D125" s="189">
        <f t="shared" ca="1" si="47"/>
        <v>76.846005695633892</v>
      </c>
      <c r="E125" s="189">
        <f ca="1">IndGencost(E124,OFFSET(HeatRateStart,1,MATCH($A124,HeatRateNames,0)-1,250,1),$A125)</f>
        <v>76.846005695633892</v>
      </c>
      <c r="F125" s="189">
        <f t="shared" ca="1" si="47"/>
        <v>76.846005695633892</v>
      </c>
      <c r="G125" s="189">
        <f t="shared" ca="1" si="47"/>
        <v>76.846005695633892</v>
      </c>
      <c r="H125" s="189">
        <f t="shared" ca="1" si="47"/>
        <v>76.846005695633892</v>
      </c>
      <c r="I125" s="189">
        <f t="shared" ca="1" si="47"/>
        <v>76.846005695633892</v>
      </c>
      <c r="J125" s="189">
        <f t="shared" ca="1" si="47"/>
        <v>29.466124440158211</v>
      </c>
      <c r="K125" s="189">
        <f t="shared" ca="1" si="47"/>
        <v>27.144032501630601</v>
      </c>
      <c r="L125" s="189">
        <f t="shared" ca="1" si="47"/>
        <v>28.475662940096797</v>
      </c>
      <c r="M125" s="189">
        <f t="shared" ca="1" si="47"/>
        <v>28.268628350184979</v>
      </c>
      <c r="N125" s="189">
        <f t="shared" ca="1" si="47"/>
        <v>28.268628350184979</v>
      </c>
      <c r="O125" s="189">
        <f t="shared" ca="1" si="47"/>
        <v>28.268628350184979</v>
      </c>
      <c r="P125" s="189">
        <f t="shared" ca="1" si="47"/>
        <v>28.268628350184979</v>
      </c>
      <c r="Q125" s="189">
        <f t="shared" ca="1" si="47"/>
        <v>28.268628350184979</v>
      </c>
      <c r="R125" s="189">
        <f t="shared" ca="1" si="47"/>
        <v>28.268628350184979</v>
      </c>
      <c r="S125" s="189">
        <f t="shared" ca="1" si="47"/>
        <v>28.268628350184979</v>
      </c>
      <c r="T125" s="189">
        <f t="shared" ca="1" si="47"/>
        <v>0</v>
      </c>
      <c r="U125" s="189">
        <f t="shared" ca="1" si="47"/>
        <v>26.592375289475402</v>
      </c>
      <c r="V125" s="189">
        <f t="shared" ca="1" si="47"/>
        <v>28.268628350184979</v>
      </c>
      <c r="W125" s="189">
        <f t="shared" ca="1" si="47"/>
        <v>28.268628350184979</v>
      </c>
      <c r="X125" s="189">
        <f t="shared" ca="1" si="47"/>
        <v>28.268628350184979</v>
      </c>
      <c r="Y125" s="189">
        <f t="shared" ca="1" si="47"/>
        <v>31.215519207539558</v>
      </c>
      <c r="Z125" s="252">
        <f t="array" aca="1" ref="Z125" ca="1">SUM(B124:Y124*B125:Y125)</f>
        <v>17221.83535046412</v>
      </c>
      <c r="AA125" s="311" t="s">
        <v>168</v>
      </c>
    </row>
    <row r="126" spans="1:29" x14ac:dyDescent="0.2">
      <c r="A126" s="184" t="s">
        <v>164</v>
      </c>
      <c r="B126" s="186">
        <f t="shared" ref="B126:Y126" si="48">B124</f>
        <v>0</v>
      </c>
      <c r="C126" s="186">
        <f t="shared" si="48"/>
        <v>0</v>
      </c>
      <c r="D126" s="186">
        <f t="shared" si="48"/>
        <v>5</v>
      </c>
      <c r="E126" s="186">
        <f t="shared" si="48"/>
        <v>5</v>
      </c>
      <c r="F126" s="186">
        <f t="shared" si="48"/>
        <v>5</v>
      </c>
      <c r="G126" s="186">
        <f t="shared" si="48"/>
        <v>5</v>
      </c>
      <c r="H126" s="186">
        <f t="shared" si="48"/>
        <v>5</v>
      </c>
      <c r="I126" s="186">
        <f t="shared" si="48"/>
        <v>5</v>
      </c>
      <c r="J126" s="186">
        <f t="shared" si="48"/>
        <v>30</v>
      </c>
      <c r="K126" s="186">
        <f t="shared" si="48"/>
        <v>42</v>
      </c>
      <c r="L126" s="186">
        <f t="shared" si="48"/>
        <v>34</v>
      </c>
      <c r="M126" s="186">
        <f t="shared" si="48"/>
        <v>35</v>
      </c>
      <c r="N126" s="186">
        <f t="shared" si="48"/>
        <v>35</v>
      </c>
      <c r="O126" s="186">
        <f t="shared" si="48"/>
        <v>35</v>
      </c>
      <c r="P126" s="186">
        <f t="shared" si="48"/>
        <v>35</v>
      </c>
      <c r="Q126" s="186">
        <f t="shared" si="48"/>
        <v>35</v>
      </c>
      <c r="R126" s="186">
        <f t="shared" si="48"/>
        <v>35</v>
      </c>
      <c r="S126" s="186">
        <f t="shared" si="48"/>
        <v>35</v>
      </c>
      <c r="T126" s="186">
        <f t="shared" si="48"/>
        <v>0</v>
      </c>
      <c r="U126" s="186">
        <f t="shared" si="48"/>
        <v>47</v>
      </c>
      <c r="V126" s="186">
        <f t="shared" si="48"/>
        <v>35</v>
      </c>
      <c r="W126" s="186">
        <f t="shared" si="48"/>
        <v>35</v>
      </c>
      <c r="X126" s="186">
        <f t="shared" si="48"/>
        <v>35</v>
      </c>
      <c r="Y126" s="186">
        <f t="shared" si="48"/>
        <v>25</v>
      </c>
      <c r="Z126" s="213">
        <f>SUM(B126:Y126)</f>
        <v>558</v>
      </c>
    </row>
    <row r="127" spans="1:29" x14ac:dyDescent="0.2">
      <c r="A127" s="182"/>
      <c r="B127" s="190">
        <f t="shared" ref="B127:Y127" ca="1" si="49">IndGencost(B126,OFFSET(HeatRateStart,1,MATCH($A124,HeatRateNames,0)-1,250,1),$A125)</f>
        <v>0</v>
      </c>
      <c r="C127" s="190">
        <f t="shared" ca="1" si="49"/>
        <v>0</v>
      </c>
      <c r="D127" s="190">
        <f t="shared" ca="1" si="49"/>
        <v>76.846005695633892</v>
      </c>
      <c r="E127" s="190">
        <f ca="1">IndGencost(E126,OFFSET(HeatRateStart,1,MATCH($A124,HeatRateNames,0)-1,250,1),$A125)</f>
        <v>76.846005695633892</v>
      </c>
      <c r="F127" s="190">
        <f t="shared" ca="1" si="49"/>
        <v>76.846005695633892</v>
      </c>
      <c r="G127" s="190">
        <f t="shared" ca="1" si="49"/>
        <v>76.846005695633892</v>
      </c>
      <c r="H127" s="190">
        <f t="shared" ca="1" si="49"/>
        <v>76.846005695633892</v>
      </c>
      <c r="I127" s="190">
        <f t="shared" ca="1" si="49"/>
        <v>76.846005695633892</v>
      </c>
      <c r="J127" s="190">
        <f t="shared" ca="1" si="49"/>
        <v>29.466124440158211</v>
      </c>
      <c r="K127" s="190">
        <f t="shared" ca="1" si="49"/>
        <v>27.144032501630601</v>
      </c>
      <c r="L127" s="190">
        <f t="shared" ca="1" si="49"/>
        <v>28.475662940096797</v>
      </c>
      <c r="M127" s="190">
        <f t="shared" ca="1" si="49"/>
        <v>28.268628350184979</v>
      </c>
      <c r="N127" s="190">
        <f t="shared" ca="1" si="49"/>
        <v>28.268628350184979</v>
      </c>
      <c r="O127" s="190">
        <f t="shared" ca="1" si="49"/>
        <v>28.268628350184979</v>
      </c>
      <c r="P127" s="190">
        <f t="shared" ca="1" si="49"/>
        <v>28.268628350184979</v>
      </c>
      <c r="Q127" s="190">
        <f t="shared" ca="1" si="49"/>
        <v>28.268628350184979</v>
      </c>
      <c r="R127" s="190">
        <f t="shared" ca="1" si="49"/>
        <v>28.268628350184979</v>
      </c>
      <c r="S127" s="190">
        <f t="shared" ca="1" si="49"/>
        <v>28.268628350184979</v>
      </c>
      <c r="T127" s="190">
        <f t="shared" ca="1" si="49"/>
        <v>0</v>
      </c>
      <c r="U127" s="190">
        <f t="shared" ca="1" si="49"/>
        <v>26.592375289475402</v>
      </c>
      <c r="V127" s="190">
        <f t="shared" ca="1" si="49"/>
        <v>28.268628350184979</v>
      </c>
      <c r="W127" s="190">
        <f t="shared" ca="1" si="49"/>
        <v>28.268628350184979</v>
      </c>
      <c r="X127" s="190">
        <f t="shared" ca="1" si="49"/>
        <v>28.268628350184979</v>
      </c>
      <c r="Y127" s="190">
        <f t="shared" ca="1" si="49"/>
        <v>31.215519207539558</v>
      </c>
      <c r="Z127" s="251">
        <f t="array" aca="1" ref="Z127" ca="1">SUM(B126:Y126*B127:Y127)</f>
        <v>17221.83535046412</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152</v>
      </c>
      <c r="U139" s="181">
        <f t="shared" si="60"/>
        <v>0</v>
      </c>
      <c r="V139" s="181">
        <f t="shared" si="60"/>
        <v>0</v>
      </c>
      <c r="W139" s="181">
        <f t="shared" si="60"/>
        <v>0</v>
      </c>
      <c r="X139" s="181">
        <f t="shared" si="60"/>
        <v>0</v>
      </c>
      <c r="Y139" s="181">
        <f t="shared" si="60"/>
        <v>0</v>
      </c>
      <c r="Z139" s="212">
        <f>SUM(B139:Y139)</f>
        <v>152</v>
      </c>
      <c r="AA139" s="311"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18.834325458778125</v>
      </c>
      <c r="U140" s="189">
        <f t="shared" ca="1" si="61"/>
        <v>0</v>
      </c>
      <c r="V140" s="189">
        <f t="shared" ca="1" si="61"/>
        <v>0</v>
      </c>
      <c r="W140" s="189">
        <f t="shared" ca="1" si="61"/>
        <v>0</v>
      </c>
      <c r="X140" s="189">
        <f t="shared" ca="1" si="61"/>
        <v>0</v>
      </c>
      <c r="Y140" s="189">
        <f t="shared" ca="1" si="61"/>
        <v>0</v>
      </c>
      <c r="Z140" s="252">
        <f t="array" aca="1" ref="Z140" ca="1">SUM(B139:Y139*B140:Y140)</f>
        <v>2862.8174697342747</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-0.60282442475395825</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-58851.246027290552</v>
      </c>
    </row>
    <row r="144" spans="1:27" x14ac:dyDescent="0.2">
      <c r="A144" s="183" t="str">
        <f>Economics!A42</f>
        <v>Copper</v>
      </c>
      <c r="B144" s="181">
        <f t="shared" ref="B144:T144" si="64">B49</f>
        <v>15</v>
      </c>
      <c r="C144" s="181">
        <f t="shared" si="64"/>
        <v>16</v>
      </c>
      <c r="D144" s="181">
        <f t="shared" si="64"/>
        <v>14</v>
      </c>
      <c r="E144" s="181">
        <f>E49</f>
        <v>4</v>
      </c>
      <c r="F144" s="181">
        <f t="shared" si="64"/>
        <v>4</v>
      </c>
      <c r="G144" s="181">
        <f t="shared" si="64"/>
        <v>28</v>
      </c>
      <c r="H144" s="181">
        <f t="shared" si="64"/>
        <v>23</v>
      </c>
      <c r="I144" s="181">
        <f t="shared" si="64"/>
        <v>48</v>
      </c>
      <c r="J144" s="181">
        <f t="shared" si="64"/>
        <v>59</v>
      </c>
      <c r="K144" s="181">
        <f t="shared" si="64"/>
        <v>56</v>
      </c>
      <c r="L144" s="181">
        <f t="shared" si="64"/>
        <v>56</v>
      </c>
      <c r="M144" s="181">
        <f t="shared" si="64"/>
        <v>55</v>
      </c>
      <c r="N144" s="181">
        <f t="shared" si="64"/>
        <v>54</v>
      </c>
      <c r="O144" s="181">
        <f t="shared" si="64"/>
        <v>53</v>
      </c>
      <c r="P144" s="181">
        <f t="shared" si="64"/>
        <v>27</v>
      </c>
      <c r="Q144" s="181">
        <f t="shared" si="64"/>
        <v>28</v>
      </c>
      <c r="R144" s="181">
        <f t="shared" si="64"/>
        <v>15</v>
      </c>
      <c r="S144" s="181">
        <f t="shared" si="64"/>
        <v>26</v>
      </c>
      <c r="T144" s="181">
        <f t="shared" si="64"/>
        <v>57</v>
      </c>
      <c r="U144" s="181">
        <v>0</v>
      </c>
      <c r="V144" s="181">
        <v>0</v>
      </c>
      <c r="W144" s="181">
        <v>0</v>
      </c>
      <c r="X144" s="181">
        <f>X49</f>
        <v>17</v>
      </c>
      <c r="Y144" s="181">
        <f>Y49</f>
        <v>35</v>
      </c>
      <c r="Z144" s="212">
        <f>SUM(B144:Y144)</f>
        <v>690</v>
      </c>
      <c r="AA144" s="311" t="s">
        <v>171</v>
      </c>
    </row>
    <row r="145" spans="1:27" x14ac:dyDescent="0.2">
      <c r="A145" s="185">
        <f>Economics!$I41</f>
        <v>1.96</v>
      </c>
      <c r="B145" s="189">
        <f t="shared" ref="B145:Y145" ca="1" si="65">IndGencost(B144,OFFSET(HeatRateStart,1,MATCH($A144,HeatRateNames,0)-1,250,1),$A145)</f>
        <v>48.753911188884729</v>
      </c>
      <c r="C145" s="189">
        <f t="shared" ca="1" si="65"/>
        <v>46.638041363704097</v>
      </c>
      <c r="D145" s="189">
        <f t="shared" ca="1" si="65"/>
        <v>51.181526020132772</v>
      </c>
      <c r="E145" s="189">
        <f ca="1">IndGencost(E144,OFFSET(HeatRateStart,1,MATCH($A144,HeatRateNames,0)-1,250,1),$A145)</f>
        <v>144.04157566744385</v>
      </c>
      <c r="F145" s="189">
        <f t="shared" ca="1" si="65"/>
        <v>144.04157566744385</v>
      </c>
      <c r="G145" s="189">
        <f t="shared" ca="1" si="65"/>
        <v>33.405658698165674</v>
      </c>
      <c r="H145" s="189">
        <f t="shared" ca="1" si="65"/>
        <v>37.140171821284319</v>
      </c>
      <c r="I145" s="189">
        <f t="shared" ca="1" si="65"/>
        <v>26.938937892305564</v>
      </c>
      <c r="J145" s="189">
        <f t="shared" ca="1" si="65"/>
        <v>25.634467022578001</v>
      </c>
      <c r="K145" s="189">
        <f t="shared" ca="1" si="65"/>
        <v>25.910974600298584</v>
      </c>
      <c r="L145" s="189">
        <f t="shared" ca="1" si="65"/>
        <v>25.910974600298584</v>
      </c>
      <c r="M145" s="189">
        <f t="shared" ca="1" si="65"/>
        <v>26.014672113589548</v>
      </c>
      <c r="N145" s="189">
        <f t="shared" ca="1" si="65"/>
        <v>26.124667505790963</v>
      </c>
      <c r="O145" s="189">
        <f t="shared" ca="1" si="65"/>
        <v>26.241317260614743</v>
      </c>
      <c r="P145" s="189">
        <f t="shared" ca="1" si="65"/>
        <v>34.032080161024219</v>
      </c>
      <c r="Q145" s="189">
        <f t="shared" ca="1" si="65"/>
        <v>33.405658698165674</v>
      </c>
      <c r="R145" s="189">
        <f t="shared" ca="1" si="65"/>
        <v>48.753911188884729</v>
      </c>
      <c r="S145" s="189">
        <f t="shared" ca="1" si="65"/>
        <v>34.711791368509672</v>
      </c>
      <c r="T145" s="189">
        <f t="shared" ca="1" si="65"/>
        <v>25.81324349860699</v>
      </c>
      <c r="U145" s="189">
        <f t="shared" ca="1" si="65"/>
        <v>0</v>
      </c>
      <c r="V145" s="189">
        <f t="shared" ca="1" si="65"/>
        <v>0</v>
      </c>
      <c r="W145" s="189">
        <f t="shared" ca="1" si="65"/>
        <v>0</v>
      </c>
      <c r="X145" s="189">
        <f t="shared" ca="1" si="65"/>
        <v>44.778902719990761</v>
      </c>
      <c r="Y145" s="189">
        <f t="shared" ca="1" si="65"/>
        <v>30.129135146395548</v>
      </c>
      <c r="Z145" s="252">
        <f t="array" aca="1" ref="Z145" ca="1">SUM(B144:Y144*B145:Y145)</f>
        <v>21850.990056576153</v>
      </c>
      <c r="AA145" s="311" t="s">
        <v>168</v>
      </c>
    </row>
    <row r="146" spans="1:27" x14ac:dyDescent="0.2">
      <c r="A146" s="184" t="s">
        <v>178</v>
      </c>
      <c r="B146" s="186">
        <v>0</v>
      </c>
      <c r="C146" s="186">
        <f t="shared" ref="C146:T146" si="66">C144</f>
        <v>16</v>
      </c>
      <c r="D146" s="186">
        <f t="shared" si="66"/>
        <v>14</v>
      </c>
      <c r="E146" s="186">
        <f t="shared" si="66"/>
        <v>4</v>
      </c>
      <c r="F146" s="186">
        <f t="shared" si="66"/>
        <v>4</v>
      </c>
      <c r="G146" s="186">
        <f t="shared" si="66"/>
        <v>28</v>
      </c>
      <c r="H146" s="186">
        <f t="shared" si="66"/>
        <v>23</v>
      </c>
      <c r="I146" s="186">
        <f t="shared" si="66"/>
        <v>48</v>
      </c>
      <c r="J146" s="186">
        <f t="shared" si="66"/>
        <v>59</v>
      </c>
      <c r="K146" s="186">
        <f t="shared" si="66"/>
        <v>56</v>
      </c>
      <c r="L146" s="186">
        <f t="shared" si="66"/>
        <v>56</v>
      </c>
      <c r="M146" s="186">
        <f t="shared" si="66"/>
        <v>55</v>
      </c>
      <c r="N146" s="186">
        <f t="shared" si="66"/>
        <v>54</v>
      </c>
      <c r="O146" s="186">
        <f t="shared" si="66"/>
        <v>53</v>
      </c>
      <c r="P146" s="186">
        <f t="shared" si="66"/>
        <v>27</v>
      </c>
      <c r="Q146" s="186">
        <f t="shared" si="66"/>
        <v>28</v>
      </c>
      <c r="R146" s="186">
        <f t="shared" si="66"/>
        <v>15</v>
      </c>
      <c r="S146" s="186">
        <f t="shared" si="66"/>
        <v>26</v>
      </c>
      <c r="T146" s="186">
        <f t="shared" si="66"/>
        <v>57</v>
      </c>
      <c r="U146" s="186"/>
      <c r="V146" s="186"/>
      <c r="W146" s="186"/>
      <c r="X146" s="186">
        <f>X144</f>
        <v>17</v>
      </c>
      <c r="Y146" s="186">
        <f>Y144</f>
        <v>35</v>
      </c>
      <c r="Z146" s="213">
        <f>SUM(B146:Y146)</f>
        <v>675</v>
      </c>
    </row>
    <row r="147" spans="1:27" x14ac:dyDescent="0.2">
      <c r="A147" s="182"/>
      <c r="B147" s="190">
        <f t="shared" ref="B147:Y147" ca="1" si="67">IndGencost(B146,OFFSET(HeatRateStart,1,MATCH($A144,HeatRateNames,0)-1,250,1),$A145)</f>
        <v>0</v>
      </c>
      <c r="C147" s="190">
        <f t="shared" ca="1" si="67"/>
        <v>46.638041363704097</v>
      </c>
      <c r="D147" s="190">
        <f t="shared" ca="1" si="67"/>
        <v>51.181526020132772</v>
      </c>
      <c r="E147" s="190">
        <f ca="1">IndGencost(E146,OFFSET(HeatRateStart,1,MATCH($A144,HeatRateNames,0)-1,250,1),$A145)</f>
        <v>144.04157566744385</v>
      </c>
      <c r="F147" s="190">
        <f t="shared" ca="1" si="67"/>
        <v>144.04157566744385</v>
      </c>
      <c r="G147" s="190">
        <f t="shared" ca="1" si="67"/>
        <v>33.405658698165674</v>
      </c>
      <c r="H147" s="190">
        <f t="shared" ca="1" si="67"/>
        <v>37.140171821284319</v>
      </c>
      <c r="I147" s="190">
        <f t="shared" ca="1" si="67"/>
        <v>26.938937892305564</v>
      </c>
      <c r="J147" s="190">
        <f t="shared" ca="1" si="67"/>
        <v>25.634467022578001</v>
      </c>
      <c r="K147" s="190">
        <f t="shared" ca="1" si="67"/>
        <v>25.910974600298584</v>
      </c>
      <c r="L147" s="190">
        <f t="shared" ca="1" si="67"/>
        <v>25.910974600298584</v>
      </c>
      <c r="M147" s="190">
        <f t="shared" ca="1" si="67"/>
        <v>26.014672113589548</v>
      </c>
      <c r="N147" s="190">
        <f t="shared" ca="1" si="67"/>
        <v>26.124667505790963</v>
      </c>
      <c r="O147" s="190">
        <f t="shared" ca="1" si="67"/>
        <v>26.241317260614743</v>
      </c>
      <c r="P147" s="190">
        <f t="shared" ca="1" si="67"/>
        <v>34.032080161024219</v>
      </c>
      <c r="Q147" s="190">
        <f t="shared" ca="1" si="67"/>
        <v>33.405658698165674</v>
      </c>
      <c r="R147" s="190">
        <f t="shared" ca="1" si="67"/>
        <v>48.753911188884729</v>
      </c>
      <c r="S147" s="190">
        <f t="shared" ca="1" si="67"/>
        <v>34.711791368509672</v>
      </c>
      <c r="T147" s="190">
        <f t="shared" ca="1" si="67"/>
        <v>25.81324349860699</v>
      </c>
      <c r="U147" s="190">
        <f t="shared" ca="1" si="67"/>
        <v>0</v>
      </c>
      <c r="V147" s="190">
        <f t="shared" ca="1" si="67"/>
        <v>0</v>
      </c>
      <c r="W147" s="190">
        <f t="shared" ca="1" si="67"/>
        <v>0</v>
      </c>
      <c r="X147" s="190">
        <f t="shared" ca="1" si="67"/>
        <v>44.778902719990761</v>
      </c>
      <c r="Y147" s="190">
        <f t="shared" ca="1" si="67"/>
        <v>30.129135146395548</v>
      </c>
      <c r="Z147" s="251">
        <f t="array" aca="1" ref="Z147" ca="1">SUM(B146:Y146*B147:Y147)</f>
        <v>21119.681388742883</v>
      </c>
    </row>
    <row r="148" spans="1:27" ht="13.5" thickBot="1" x14ac:dyDescent="0.25">
      <c r="A148" s="187" t="s">
        <v>166</v>
      </c>
      <c r="B148" s="188">
        <f t="shared" ref="B148:Y148" ca="1" si="68">B147-B145</f>
        <v>-48.753911188884729</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731.30866783326928</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34</v>
      </c>
      <c r="H149" s="181">
        <f t="shared" si="69"/>
        <v>46</v>
      </c>
      <c r="I149" s="181">
        <f t="shared" si="69"/>
        <v>46</v>
      </c>
      <c r="J149" s="181">
        <f t="shared" si="69"/>
        <v>46</v>
      </c>
      <c r="K149" s="181">
        <f t="shared" si="69"/>
        <v>46</v>
      </c>
      <c r="L149" s="181">
        <f t="shared" si="69"/>
        <v>45</v>
      </c>
      <c r="M149" s="181">
        <f t="shared" si="69"/>
        <v>45</v>
      </c>
      <c r="N149" s="181">
        <f t="shared" si="69"/>
        <v>47</v>
      </c>
      <c r="O149" s="181">
        <f t="shared" si="69"/>
        <v>45</v>
      </c>
      <c r="P149" s="181">
        <f t="shared" si="69"/>
        <v>45</v>
      </c>
      <c r="Q149" s="181">
        <f t="shared" si="69"/>
        <v>45</v>
      </c>
      <c r="R149" s="181">
        <f t="shared" si="69"/>
        <v>45</v>
      </c>
      <c r="S149" s="181">
        <f t="shared" si="69"/>
        <v>45</v>
      </c>
      <c r="T149" s="181">
        <f t="shared" si="69"/>
        <v>46</v>
      </c>
      <c r="U149" s="181">
        <f t="shared" si="69"/>
        <v>45</v>
      </c>
      <c r="V149" s="181">
        <f t="shared" si="69"/>
        <v>45</v>
      </c>
      <c r="W149" s="181">
        <f t="shared" si="69"/>
        <v>45</v>
      </c>
      <c r="X149" s="181">
        <f t="shared" si="69"/>
        <v>45</v>
      </c>
      <c r="Y149" s="181">
        <f t="shared" si="69"/>
        <v>45</v>
      </c>
      <c r="Z149" s="212">
        <f>SUM(B149:Y149)</f>
        <v>991</v>
      </c>
      <c r="AA149" s="311" t="s">
        <v>179</v>
      </c>
    </row>
    <row r="150" spans="1:27" x14ac:dyDescent="0.2">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25.560498064416578</v>
      </c>
      <c r="H150" s="189">
        <f t="shared" ca="1" si="70"/>
        <v>25.50169970662666</v>
      </c>
      <c r="I150" s="189">
        <f t="shared" ca="1" si="70"/>
        <v>25.50169970662666</v>
      </c>
      <c r="J150" s="189">
        <f t="shared" ca="1" si="70"/>
        <v>25.50169970662666</v>
      </c>
      <c r="K150" s="189">
        <f t="shared" ca="1" si="70"/>
        <v>25.50169970662666</v>
      </c>
      <c r="L150" s="189">
        <f t="shared" ca="1" si="70"/>
        <v>25.481774747976328</v>
      </c>
      <c r="M150" s="189">
        <f t="shared" ca="1" si="70"/>
        <v>25.481774747976328</v>
      </c>
      <c r="N150" s="189">
        <f t="shared" ca="1" si="70"/>
        <v>25.52488982559105</v>
      </c>
      <c r="O150" s="189">
        <f t="shared" ca="1" si="70"/>
        <v>25.481774747976328</v>
      </c>
      <c r="P150" s="189">
        <f t="shared" ca="1" si="70"/>
        <v>25.481774747976328</v>
      </c>
      <c r="Q150" s="189">
        <f t="shared" ca="1" si="70"/>
        <v>25.481774747976328</v>
      </c>
      <c r="R150" s="189">
        <f t="shared" ca="1" si="70"/>
        <v>25.481774747976328</v>
      </c>
      <c r="S150" s="189">
        <f t="shared" ca="1" si="70"/>
        <v>25.481774747976328</v>
      </c>
      <c r="T150" s="189">
        <f t="shared" ca="1" si="70"/>
        <v>25.50169970662666</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25331.701954644963</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5" thickBot="1" x14ac:dyDescent="0.25">
      <c r="A153" s="187" t="s">
        <v>166</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-25.560498064416578</v>
      </c>
      <c r="H153" s="188">
        <f t="shared" ca="1" si="72"/>
        <v>-25.50169970662666</v>
      </c>
      <c r="I153" s="188">
        <f t="shared" ca="1" si="72"/>
        <v>-25.50169970662666</v>
      </c>
      <c r="J153" s="188">
        <f t="shared" ca="1" si="72"/>
        <v>-25.50169970662666</v>
      </c>
      <c r="K153" s="188">
        <f t="shared" ca="1" si="72"/>
        <v>-25.50169970662666</v>
      </c>
      <c r="L153" s="188">
        <f t="shared" ca="1" si="72"/>
        <v>-25.481774747976328</v>
      </c>
      <c r="M153" s="188">
        <f t="shared" ca="1" si="72"/>
        <v>-25.481774747976328</v>
      </c>
      <c r="N153" s="188">
        <f t="shared" ca="1" si="72"/>
        <v>-25.52488982559105</v>
      </c>
      <c r="O153" s="188">
        <f t="shared" ca="1" si="72"/>
        <v>-25.481774747976328</v>
      </c>
      <c r="P153" s="188">
        <f t="shared" ca="1" si="72"/>
        <v>-25.481774747976328</v>
      </c>
      <c r="Q153" s="188">
        <f t="shared" ca="1" si="72"/>
        <v>-25.481774747976328</v>
      </c>
      <c r="R153" s="188">
        <f t="shared" ca="1" si="72"/>
        <v>-25.481774747976328</v>
      </c>
      <c r="S153" s="188">
        <f t="shared" ca="1" si="72"/>
        <v>-25.481774747976328</v>
      </c>
      <c r="T153" s="188">
        <f t="shared" ca="1" si="72"/>
        <v>-25.50169970662666</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25331.701954644963</v>
      </c>
    </row>
    <row r="154" spans="1:27" x14ac:dyDescent="0.2">
      <c r="A154" s="183" t="str">
        <f>Economics!A44</f>
        <v>Rio Grande 7</v>
      </c>
      <c r="B154" s="181">
        <f t="shared" ref="B154:Y154" si="73">B51</f>
        <v>30</v>
      </c>
      <c r="C154" s="181">
        <f t="shared" si="73"/>
        <v>29</v>
      </c>
      <c r="D154" s="181">
        <f t="shared" si="73"/>
        <v>29</v>
      </c>
      <c r="E154" s="181">
        <f>E51</f>
        <v>29</v>
      </c>
      <c r="F154" s="181">
        <f t="shared" si="73"/>
        <v>29</v>
      </c>
      <c r="G154" s="181">
        <f t="shared" si="73"/>
        <v>34</v>
      </c>
      <c r="H154" s="181">
        <f t="shared" si="73"/>
        <v>39</v>
      </c>
      <c r="I154" s="181">
        <f t="shared" si="73"/>
        <v>39</v>
      </c>
      <c r="J154" s="181">
        <f t="shared" si="73"/>
        <v>44</v>
      </c>
      <c r="K154" s="181">
        <f t="shared" si="73"/>
        <v>43</v>
      </c>
      <c r="L154" s="181">
        <f t="shared" si="73"/>
        <v>46</v>
      </c>
      <c r="M154" s="181">
        <f t="shared" si="73"/>
        <v>39</v>
      </c>
      <c r="N154" s="181">
        <f t="shared" si="73"/>
        <v>40</v>
      </c>
      <c r="O154" s="181">
        <f t="shared" si="73"/>
        <v>40</v>
      </c>
      <c r="P154" s="181">
        <f t="shared" si="73"/>
        <v>40</v>
      </c>
      <c r="Q154" s="181">
        <f t="shared" si="73"/>
        <v>40</v>
      </c>
      <c r="R154" s="181">
        <f t="shared" si="73"/>
        <v>40</v>
      </c>
      <c r="S154" s="181">
        <f t="shared" si="73"/>
        <v>40</v>
      </c>
      <c r="T154" s="181">
        <f t="shared" si="73"/>
        <v>39</v>
      </c>
      <c r="U154" s="181">
        <f t="shared" si="73"/>
        <v>40</v>
      </c>
      <c r="V154" s="181">
        <f t="shared" si="73"/>
        <v>41</v>
      </c>
      <c r="W154" s="181">
        <f t="shared" si="73"/>
        <v>40</v>
      </c>
      <c r="X154" s="181">
        <f t="shared" si="73"/>
        <v>41</v>
      </c>
      <c r="Y154" s="181">
        <f t="shared" si="73"/>
        <v>41</v>
      </c>
      <c r="Z154" s="212">
        <f>SUM(B154:Y154)</f>
        <v>912</v>
      </c>
      <c r="AA154" s="311" t="s">
        <v>179</v>
      </c>
    </row>
    <row r="155" spans="1:27" x14ac:dyDescent="0.2">
      <c r="A155" s="185">
        <f>Economics!$I44</f>
        <v>2.09</v>
      </c>
      <c r="B155" s="189">
        <f t="shared" ref="B155:Y155" ca="1" si="74">IndGencost(B154,OFFSET(HeatRateStart,1,MATCH($A154,HeatRateNames,0)-1,250,1),$A155)</f>
        <v>22.287926284694674</v>
      </c>
      <c r="C155" s="189">
        <f t="shared" ca="1" si="74"/>
        <v>22.338638763301702</v>
      </c>
      <c r="D155" s="189">
        <f t="shared" ca="1" si="74"/>
        <v>22.338638763301702</v>
      </c>
      <c r="E155" s="189">
        <f ca="1">IndGencost(E154,OFFSET(HeatRateStart,1,MATCH($A154,HeatRateNames,0)-1,250,1),$A155)</f>
        <v>22.338638763301702</v>
      </c>
      <c r="F155" s="189">
        <f t="shared" ca="1" si="74"/>
        <v>22.338638763301702</v>
      </c>
      <c r="G155" s="189">
        <f t="shared" ca="1" si="74"/>
        <v>22.221184965082617</v>
      </c>
      <c r="H155" s="189">
        <f t="shared" ca="1" si="74"/>
        <v>22.365478464586737</v>
      </c>
      <c r="I155" s="189">
        <f t="shared" ca="1" si="74"/>
        <v>22.365478464586737</v>
      </c>
      <c r="J155" s="189">
        <f t="shared" ca="1" si="74"/>
        <v>22.682287228499323</v>
      </c>
      <c r="K155" s="189">
        <f t="shared" ca="1" si="74"/>
        <v>22.608012882247248</v>
      </c>
      <c r="L155" s="189">
        <f t="shared" ca="1" si="74"/>
        <v>22.844713893133246</v>
      </c>
      <c r="M155" s="189">
        <f t="shared" ca="1" si="74"/>
        <v>22.365478464586737</v>
      </c>
      <c r="N155" s="189">
        <f t="shared" ca="1" si="74"/>
        <v>22.417109179389474</v>
      </c>
      <c r="O155" s="189">
        <f t="shared" ca="1" si="74"/>
        <v>22.417109179389474</v>
      </c>
      <c r="P155" s="189">
        <f t="shared" ca="1" si="74"/>
        <v>22.417109179389474</v>
      </c>
      <c r="Q155" s="189">
        <f t="shared" ca="1" si="74"/>
        <v>22.417109179389474</v>
      </c>
      <c r="R155" s="189">
        <f t="shared" ca="1" si="74"/>
        <v>22.417109179389474</v>
      </c>
      <c r="S155" s="189">
        <f t="shared" ca="1" si="74"/>
        <v>22.417109179389474</v>
      </c>
      <c r="T155" s="189">
        <f t="shared" ca="1" si="74"/>
        <v>22.365478464586737</v>
      </c>
      <c r="U155" s="189">
        <f t="shared" ca="1" si="74"/>
        <v>22.417109179389474</v>
      </c>
      <c r="V155" s="189">
        <f t="shared" ca="1" si="74"/>
        <v>22.475034597498439</v>
      </c>
      <c r="W155" s="189">
        <f t="shared" ca="1" si="74"/>
        <v>22.417109179389474</v>
      </c>
      <c r="X155" s="189">
        <f t="shared" ca="1" si="74"/>
        <v>22.475034597498439</v>
      </c>
      <c r="Y155" s="189">
        <f t="shared" ca="1" si="74"/>
        <v>22.475034597498439</v>
      </c>
      <c r="Z155" s="252">
        <f t="array" aca="1" ref="Z155" ca="1">SUM(B154:Y154*B155:Y155)</f>
        <v>20463.381038343854</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5" thickBot="1" x14ac:dyDescent="0.25">
      <c r="A158" s="187" t="s">
        <v>166</v>
      </c>
      <c r="B158" s="188">
        <f t="shared" ref="B158:Y158" ca="1" si="76">B157-B155</f>
        <v>-22.287926284694674</v>
      </c>
      <c r="C158" s="188">
        <f t="shared" ca="1" si="76"/>
        <v>-22.338638763301702</v>
      </c>
      <c r="D158" s="188">
        <f t="shared" ca="1" si="76"/>
        <v>-22.338638763301702</v>
      </c>
      <c r="E158" s="188">
        <f t="shared" ca="1" si="76"/>
        <v>-22.338638763301702</v>
      </c>
      <c r="F158" s="188">
        <f t="shared" ca="1" si="76"/>
        <v>-22.338638763301702</v>
      </c>
      <c r="G158" s="188">
        <f t="shared" ca="1" si="76"/>
        <v>-22.221184965082617</v>
      </c>
      <c r="H158" s="188">
        <f t="shared" ca="1" si="76"/>
        <v>-22.365478464586737</v>
      </c>
      <c r="I158" s="188">
        <f t="shared" ca="1" si="76"/>
        <v>-22.365478464586737</v>
      </c>
      <c r="J158" s="188">
        <f t="shared" ca="1" si="76"/>
        <v>-22.682287228499323</v>
      </c>
      <c r="K158" s="188">
        <f t="shared" ca="1" si="76"/>
        <v>-22.608012882247248</v>
      </c>
      <c r="L158" s="188">
        <f t="shared" ca="1" si="76"/>
        <v>-22.844713893133246</v>
      </c>
      <c r="M158" s="188">
        <f t="shared" ca="1" si="76"/>
        <v>-22.365478464586737</v>
      </c>
      <c r="N158" s="188">
        <f t="shared" ca="1" si="76"/>
        <v>-22.417109179389474</v>
      </c>
      <c r="O158" s="188">
        <f t="shared" ca="1" si="76"/>
        <v>-22.417109179389474</v>
      </c>
      <c r="P158" s="188">
        <f t="shared" ca="1" si="76"/>
        <v>-22.417109179389474</v>
      </c>
      <c r="Q158" s="188">
        <f t="shared" ca="1" si="76"/>
        <v>-22.417109179389474</v>
      </c>
      <c r="R158" s="188">
        <f t="shared" ca="1" si="76"/>
        <v>-22.417109179389474</v>
      </c>
      <c r="S158" s="188">
        <f t="shared" ca="1" si="76"/>
        <v>-22.417109179389474</v>
      </c>
      <c r="T158" s="188">
        <f t="shared" ca="1" si="76"/>
        <v>-22.365478464586737</v>
      </c>
      <c r="U158" s="188">
        <f t="shared" ca="1" si="76"/>
        <v>-22.417109179389474</v>
      </c>
      <c r="V158" s="188">
        <f t="shared" ca="1" si="76"/>
        <v>-22.475034597498439</v>
      </c>
      <c r="W158" s="188">
        <f t="shared" ca="1" si="76"/>
        <v>-22.417109179389474</v>
      </c>
      <c r="X158" s="188">
        <f t="shared" ca="1" si="76"/>
        <v>-22.475034597498439</v>
      </c>
      <c r="Y158" s="188">
        <f t="shared" ca="1" si="76"/>
        <v>-22.475034597498439</v>
      </c>
      <c r="Z158" s="253">
        <f ca="1">Z155-Z157</f>
        <v>20463.381038343854</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
      <c r="A164" s="295" t="s">
        <v>183</v>
      </c>
      <c r="B164" s="296">
        <f t="shared" ref="B164:Y164" si="81">B159+B154+B149+B144+B139+B134+B129+B124+B119+B114+B109+B104+B101+B98+B95+B92+B89</f>
        <v>812</v>
      </c>
      <c r="C164" s="296">
        <f t="shared" si="81"/>
        <v>783</v>
      </c>
      <c r="D164" s="296">
        <f t="shared" si="81"/>
        <v>765</v>
      </c>
      <c r="E164" s="296">
        <f t="shared" si="81"/>
        <v>724</v>
      </c>
      <c r="F164" s="296">
        <f t="shared" si="81"/>
        <v>760</v>
      </c>
      <c r="G164" s="296">
        <f t="shared" si="81"/>
        <v>907</v>
      </c>
      <c r="H164" s="296">
        <f t="shared" si="81"/>
        <v>872</v>
      </c>
      <c r="I164" s="296">
        <f t="shared" si="81"/>
        <v>946</v>
      </c>
      <c r="J164" s="296">
        <f t="shared" si="81"/>
        <v>1051</v>
      </c>
      <c r="K164" s="296">
        <f t="shared" si="81"/>
        <v>1038</v>
      </c>
      <c r="L164" s="296">
        <f t="shared" si="81"/>
        <v>1052</v>
      </c>
      <c r="M164" s="296" t="e">
        <f t="shared" si="81"/>
        <v>#REF!</v>
      </c>
      <c r="N164" s="296">
        <f t="shared" si="81"/>
        <v>1059</v>
      </c>
      <c r="O164" s="296">
        <f t="shared" si="81"/>
        <v>1066</v>
      </c>
      <c r="P164" s="296">
        <f t="shared" si="81"/>
        <v>1060</v>
      </c>
      <c r="Q164" s="296">
        <f t="shared" si="81"/>
        <v>1067</v>
      </c>
      <c r="R164" s="296">
        <f t="shared" si="81"/>
        <v>1033</v>
      </c>
      <c r="S164" s="296">
        <f t="shared" si="81"/>
        <v>1040</v>
      </c>
      <c r="T164" s="296">
        <f t="shared" si="81"/>
        <v>1030</v>
      </c>
      <c r="U164" s="296">
        <f t="shared" si="81"/>
        <v>1054</v>
      </c>
      <c r="V164" s="296">
        <f t="shared" si="81"/>
        <v>986</v>
      </c>
      <c r="W164" s="296">
        <f t="shared" si="81"/>
        <v>957</v>
      </c>
      <c r="X164" s="296">
        <f t="shared" si="81"/>
        <v>962</v>
      </c>
      <c r="Y164" s="297">
        <f t="shared" si="81"/>
        <v>1029</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894</v>
      </c>
      <c r="D165" s="299">
        <f t="shared" si="82"/>
        <v>867</v>
      </c>
      <c r="E165" s="299">
        <f t="shared" si="82"/>
        <v>862</v>
      </c>
      <c r="F165" s="299">
        <f t="shared" si="82"/>
        <v>872</v>
      </c>
      <c r="G165" s="299">
        <f t="shared" si="82"/>
        <v>906</v>
      </c>
      <c r="H165" s="299">
        <f t="shared" si="82"/>
        <v>927</v>
      </c>
      <c r="I165" s="299">
        <f t="shared" si="82"/>
        <v>937</v>
      </c>
      <c r="J165" s="299">
        <f t="shared" si="82"/>
        <v>998</v>
      </c>
      <c r="K165" s="299">
        <f t="shared" si="82"/>
        <v>1020</v>
      </c>
      <c r="L165" s="299">
        <f t="shared" si="82"/>
        <v>1055</v>
      </c>
      <c r="M165" s="299">
        <f t="shared" si="82"/>
        <v>1056</v>
      </c>
      <c r="N165" s="299">
        <f t="shared" si="82"/>
        <v>1054</v>
      </c>
      <c r="O165" s="299">
        <f t="shared" si="82"/>
        <v>1054</v>
      </c>
      <c r="P165" s="299">
        <f t="shared" si="82"/>
        <v>1027</v>
      </c>
      <c r="Q165" s="299">
        <f t="shared" si="82"/>
        <v>1028</v>
      </c>
      <c r="R165" s="299">
        <f t="shared" si="82"/>
        <v>1015</v>
      </c>
      <c r="S165" s="299">
        <f t="shared" si="82"/>
        <v>1027</v>
      </c>
      <c r="T165" s="299">
        <f t="shared" si="82"/>
        <v>1086</v>
      </c>
      <c r="U165" s="299">
        <f t="shared" si="82"/>
        <v>1149</v>
      </c>
      <c r="V165" s="299">
        <f t="shared" si="82"/>
        <v>1038</v>
      </c>
      <c r="W165" s="299">
        <f>W161+W156+W151+W146+W141+W136+W131+W126+W121+W116+W111+W106+W102+W99+W96+W93+W90</f>
        <v>1008</v>
      </c>
      <c r="X165" s="299">
        <f t="shared" si="82"/>
        <v>997</v>
      </c>
      <c r="Y165" s="300">
        <f t="shared" si="82"/>
        <v>995</v>
      </c>
      <c r="Z165" s="264"/>
      <c r="AA165" s="174" t="e">
        <f ca="1">Z163+Z158+Z153+Z148+Z143+Z138+Z133+Z128+Z123+Z118+Z113+Z108+Z103+Z100+Z97+Z94+Z91</f>
        <v>#REF!</v>
      </c>
    </row>
    <row r="166" spans="1:27" x14ac:dyDescent="0.2">
      <c r="A166" s="323" t="s">
        <v>185</v>
      </c>
      <c r="B166" s="324">
        <f t="shared" ref="B166:Y166" si="83">B165-B164</f>
        <v>167</v>
      </c>
      <c r="C166" s="324">
        <f t="shared" si="83"/>
        <v>111</v>
      </c>
      <c r="D166" s="324">
        <f t="shared" si="83"/>
        <v>102</v>
      </c>
      <c r="E166" s="324">
        <f t="shared" si="83"/>
        <v>138</v>
      </c>
      <c r="F166" s="324">
        <f t="shared" si="83"/>
        <v>112</v>
      </c>
      <c r="G166" s="324">
        <f t="shared" si="83"/>
        <v>-1</v>
      </c>
      <c r="H166" s="324">
        <f t="shared" si="83"/>
        <v>55</v>
      </c>
      <c r="I166" s="324">
        <f t="shared" si="83"/>
        <v>-9</v>
      </c>
      <c r="J166" s="324">
        <f t="shared" si="83"/>
        <v>-53</v>
      </c>
      <c r="K166" s="324">
        <f t="shared" si="83"/>
        <v>-18</v>
      </c>
      <c r="L166" s="324">
        <f t="shared" si="83"/>
        <v>3</v>
      </c>
      <c r="M166" s="324" t="e">
        <f t="shared" si="83"/>
        <v>#REF!</v>
      </c>
      <c r="N166" s="324">
        <f t="shared" si="83"/>
        <v>-5</v>
      </c>
      <c r="O166" s="324">
        <f t="shared" si="83"/>
        <v>-12</v>
      </c>
      <c r="P166" s="324">
        <f t="shared" si="83"/>
        <v>-33</v>
      </c>
      <c r="Q166" s="324">
        <f t="shared" si="83"/>
        <v>-39</v>
      </c>
      <c r="R166" s="324">
        <f t="shared" si="83"/>
        <v>-18</v>
      </c>
      <c r="S166" s="324">
        <f t="shared" si="83"/>
        <v>-13</v>
      </c>
      <c r="T166" s="324">
        <f t="shared" si="83"/>
        <v>56</v>
      </c>
      <c r="U166" s="324">
        <f t="shared" si="83"/>
        <v>95</v>
      </c>
      <c r="V166" s="324">
        <f t="shared" si="83"/>
        <v>52</v>
      </c>
      <c r="W166" s="324">
        <f t="shared" si="83"/>
        <v>51</v>
      </c>
      <c r="X166" s="324">
        <f t="shared" si="83"/>
        <v>35</v>
      </c>
      <c r="Y166" s="325">
        <f t="shared" si="83"/>
        <v>-34</v>
      </c>
      <c r="Z166" s="329" t="e">
        <f>SUM(B166:Y166)</f>
        <v>#REF!</v>
      </c>
    </row>
    <row r="167" spans="1:27" s="318" customFormat="1" ht="32.25" customHeight="1" thickBot="1" x14ac:dyDescent="0.25">
      <c r="A167" s="326" t="s">
        <v>186</v>
      </c>
      <c r="B167" s="327">
        <f t="shared" ref="B167:Y167" ca="1" si="84">B58</f>
        <v>-2</v>
      </c>
      <c r="C167" s="327">
        <f t="shared" ca="1" si="84"/>
        <v>-4</v>
      </c>
      <c r="D167" s="327">
        <f t="shared" ca="1" si="84"/>
        <v>3</v>
      </c>
      <c r="E167" s="327">
        <f ca="1">E58</f>
        <v>-40</v>
      </c>
      <c r="F167" s="327">
        <f t="shared" ca="1" si="84"/>
        <v>-51</v>
      </c>
      <c r="G167" s="327">
        <f t="shared" ca="1" si="84"/>
        <v>-44</v>
      </c>
      <c r="H167" s="327">
        <f t="shared" ca="1" si="84"/>
        <v>-4</v>
      </c>
      <c r="I167" s="327">
        <f t="shared" ca="1" si="84"/>
        <v>-4</v>
      </c>
      <c r="J167" s="327">
        <f t="shared" ca="1" si="84"/>
        <v>-2</v>
      </c>
      <c r="K167" s="327">
        <f t="shared" ca="1" si="84"/>
        <v>-4</v>
      </c>
      <c r="L167" s="327">
        <f t="shared" ca="1" si="84"/>
        <v>-2</v>
      </c>
      <c r="M167" s="327">
        <f t="shared" ca="1" si="84"/>
        <v>-7</v>
      </c>
      <c r="N167" s="327">
        <f t="shared" ca="1" si="84"/>
        <v>-2</v>
      </c>
      <c r="O167" s="327">
        <f t="shared" ca="1" si="84"/>
        <v>-1</v>
      </c>
      <c r="P167" s="327">
        <f t="shared" ca="1" si="84"/>
        <v>-6</v>
      </c>
      <c r="Q167" s="327">
        <f t="shared" ca="1" si="84"/>
        <v>7</v>
      </c>
      <c r="R167" s="327">
        <f t="shared" ca="1" si="84"/>
        <v>-7</v>
      </c>
      <c r="S167" s="327">
        <f t="shared" ca="1" si="84"/>
        <v>48</v>
      </c>
      <c r="T167" s="327">
        <f t="shared" ca="1" si="84"/>
        <v>-4</v>
      </c>
      <c r="U167" s="327">
        <f t="shared" ca="1" si="84"/>
        <v>119</v>
      </c>
      <c r="V167" s="327">
        <f t="shared" ca="1" si="84"/>
        <v>4</v>
      </c>
      <c r="W167" s="327">
        <f t="shared" ca="1" si="84"/>
        <v>-16</v>
      </c>
      <c r="X167" s="327">
        <f ca="1">X58</f>
        <v>18</v>
      </c>
      <c r="Y167" s="328">
        <f t="shared" ca="1" si="84"/>
        <v>-2</v>
      </c>
      <c r="Z167" s="316">
        <f ca="1">SUM(B167:Y167)</f>
        <v>-3</v>
      </c>
      <c r="AA167" s="317"/>
    </row>
    <row r="168" spans="1:27" ht="13.5" hidden="1" thickBot="1" x14ac:dyDescent="0.25">
      <c r="A168" s="319" t="s">
        <v>187</v>
      </c>
      <c r="B168" s="320">
        <f t="shared" ref="B168:Y168" ca="1" si="85">B167+B166</f>
        <v>165</v>
      </c>
      <c r="C168" s="320">
        <f t="shared" ca="1" si="85"/>
        <v>107</v>
      </c>
      <c r="D168" s="320">
        <f t="shared" ca="1" si="85"/>
        <v>105</v>
      </c>
      <c r="E168" s="320">
        <f t="shared" ca="1" si="85"/>
        <v>98</v>
      </c>
      <c r="F168" s="320">
        <f t="shared" ca="1" si="85"/>
        <v>61</v>
      </c>
      <c r="G168" s="320">
        <f t="shared" ca="1" si="85"/>
        <v>-45</v>
      </c>
      <c r="H168" s="320">
        <f t="shared" ca="1" si="85"/>
        <v>51</v>
      </c>
      <c r="I168" s="320">
        <f t="shared" ca="1" si="85"/>
        <v>-13</v>
      </c>
      <c r="J168" s="320">
        <f t="shared" ca="1" si="85"/>
        <v>-55</v>
      </c>
      <c r="K168" s="320">
        <f t="shared" ca="1" si="85"/>
        <v>-22</v>
      </c>
      <c r="L168" s="320">
        <f t="shared" ca="1" si="85"/>
        <v>1</v>
      </c>
      <c r="M168" s="320" t="e">
        <f t="shared" ca="1" si="85"/>
        <v>#REF!</v>
      </c>
      <c r="N168" s="320">
        <f t="shared" ca="1" si="85"/>
        <v>-7</v>
      </c>
      <c r="O168" s="320">
        <f t="shared" ca="1" si="85"/>
        <v>-13</v>
      </c>
      <c r="P168" s="320">
        <f t="shared" ca="1" si="85"/>
        <v>-39</v>
      </c>
      <c r="Q168" s="320">
        <f t="shared" ca="1" si="85"/>
        <v>-32</v>
      </c>
      <c r="R168" s="320">
        <f t="shared" ca="1" si="85"/>
        <v>-25</v>
      </c>
      <c r="S168" s="320">
        <f t="shared" ca="1" si="85"/>
        <v>35</v>
      </c>
      <c r="T168" s="320">
        <f t="shared" ca="1" si="85"/>
        <v>52</v>
      </c>
      <c r="U168" s="320">
        <f t="shared" ca="1" si="85"/>
        <v>214</v>
      </c>
      <c r="V168" s="320">
        <f t="shared" ca="1" si="85"/>
        <v>56</v>
      </c>
      <c r="W168" s="320">
        <f t="shared" ca="1" si="85"/>
        <v>35</v>
      </c>
      <c r="X168" s="320">
        <f t="shared" ca="1" si="85"/>
        <v>53</v>
      </c>
      <c r="Y168" s="320">
        <f t="shared" ca="1" si="85"/>
        <v>-36</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294</v>
      </c>
      <c r="C171" s="331">
        <f t="shared" si="86"/>
        <v>323</v>
      </c>
      <c r="D171" s="331">
        <f t="shared" si="86"/>
        <v>414</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452</v>
      </c>
      <c r="F171" s="331">
        <f t="shared" si="86"/>
        <v>416</v>
      </c>
      <c r="G171" s="331">
        <f t="shared" si="86"/>
        <v>279</v>
      </c>
      <c r="H171" s="331">
        <f t="shared" si="86"/>
        <v>314</v>
      </c>
      <c r="I171" s="331">
        <f t="shared" si="86"/>
        <v>240</v>
      </c>
      <c r="J171" s="331">
        <f t="shared" si="86"/>
        <v>185</v>
      </c>
      <c r="K171" s="331">
        <f t="shared" si="86"/>
        <v>223</v>
      </c>
      <c r="L171" s="331">
        <f t="shared" si="86"/>
        <v>193</v>
      </c>
      <c r="M171" s="331">
        <f t="shared" si="86"/>
        <v>161</v>
      </c>
      <c r="N171" s="331">
        <f t="shared" si="86"/>
        <v>187</v>
      </c>
      <c r="O171" s="331">
        <f t="shared" si="86"/>
        <v>181</v>
      </c>
      <c r="P171" s="331">
        <f t="shared" si="86"/>
        <v>186</v>
      </c>
      <c r="Q171" s="331">
        <f t="shared" si="86"/>
        <v>179</v>
      </c>
      <c r="R171" s="331">
        <f t="shared" si="86"/>
        <v>213</v>
      </c>
      <c r="S171" s="331">
        <f t="shared" si="86"/>
        <v>207</v>
      </c>
      <c r="T171" s="331">
        <f t="shared" si="86"/>
        <v>270</v>
      </c>
      <c r="U171" s="331">
        <f t="shared" si="86"/>
        <v>153</v>
      </c>
      <c r="V171" s="331">
        <f t="shared" si="86"/>
        <v>196</v>
      </c>
      <c r="W171" s="331">
        <f t="shared" si="86"/>
        <v>225</v>
      </c>
      <c r="X171" s="331">
        <f t="shared" si="86"/>
        <v>283</v>
      </c>
      <c r="Y171" s="332">
        <f t="shared" si="86"/>
        <v>198</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315</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310</v>
      </c>
      <c r="F172" s="334">
        <f t="shared" si="87"/>
        <v>309</v>
      </c>
      <c r="G172" s="334">
        <f t="shared" si="87"/>
        <v>295</v>
      </c>
      <c r="H172" s="334">
        <f t="shared" si="87"/>
        <v>255</v>
      </c>
      <c r="I172" s="334">
        <f t="shared" si="87"/>
        <v>245</v>
      </c>
      <c r="J172" s="334">
        <f t="shared" si="87"/>
        <v>184</v>
      </c>
      <c r="K172" s="334">
        <f t="shared" si="87"/>
        <v>162</v>
      </c>
      <c r="L172" s="334">
        <f t="shared" si="87"/>
        <v>127</v>
      </c>
      <c r="M172" s="334">
        <f t="shared" si="87"/>
        <v>126</v>
      </c>
      <c r="N172" s="334">
        <f t="shared" si="87"/>
        <v>128</v>
      </c>
      <c r="O172" s="334">
        <f t="shared" si="87"/>
        <v>128</v>
      </c>
      <c r="P172" s="334">
        <f t="shared" si="87"/>
        <v>155</v>
      </c>
      <c r="Q172" s="334">
        <f t="shared" si="87"/>
        <v>154</v>
      </c>
      <c r="R172" s="334">
        <f t="shared" si="87"/>
        <v>167</v>
      </c>
      <c r="S172" s="334">
        <f t="shared" si="87"/>
        <v>155</v>
      </c>
      <c r="T172" s="334">
        <f t="shared" si="87"/>
        <v>125</v>
      </c>
      <c r="U172" s="334">
        <f t="shared" si="87"/>
        <v>23</v>
      </c>
      <c r="V172" s="334">
        <f t="shared" si="87"/>
        <v>114</v>
      </c>
      <c r="W172" s="334">
        <f t="shared" si="87"/>
        <v>119</v>
      </c>
      <c r="X172" s="334">
        <f t="shared" si="87"/>
        <v>185</v>
      </c>
      <c r="Y172" s="335">
        <f t="shared" si="87"/>
        <v>187</v>
      </c>
      <c r="Z172" s="262"/>
    </row>
    <row r="173" spans="1:27" hidden="1" x14ac:dyDescent="0.2">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8"/>
  <sheetViews>
    <sheetView showGridLines="0" zoomScale="60" zoomScaleNormal="60" workbookViewId="0">
      <pane ySplit="1" topLeftCell="A2" activePane="bottomLeft" state="frozen"/>
      <selection pane="bottomLeft" activeCell="L88" sqref="L88:L90"/>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1"/>
      <c r="E3" s="701"/>
      <c r="F3" s="630">
        <v>40</v>
      </c>
      <c r="G3" s="630">
        <v>25</v>
      </c>
      <c r="H3" s="630">
        <v>10</v>
      </c>
      <c r="I3" s="630">
        <v>10</v>
      </c>
      <c r="J3" s="630">
        <v>10</v>
      </c>
      <c r="K3" s="630">
        <v>0</v>
      </c>
      <c r="L3" s="735">
        <v>0</v>
      </c>
      <c r="M3" s="630">
        <v>30</v>
      </c>
      <c r="N3" s="630">
        <v>50</v>
      </c>
      <c r="O3" s="630">
        <v>80</v>
      </c>
      <c r="P3" s="630">
        <v>120</v>
      </c>
      <c r="Q3" s="630">
        <v>150</v>
      </c>
      <c r="R3" s="630">
        <v>150</v>
      </c>
      <c r="S3" s="630">
        <v>150</v>
      </c>
      <c r="T3" s="630">
        <v>150</v>
      </c>
      <c r="U3" s="630">
        <v>150</v>
      </c>
      <c r="V3" s="630">
        <v>150</v>
      </c>
      <c r="W3" s="630">
        <v>150</v>
      </c>
      <c r="X3" s="630">
        <v>150</v>
      </c>
      <c r="Y3" s="630">
        <v>150</v>
      </c>
      <c r="Z3" s="630">
        <v>150</v>
      </c>
      <c r="AA3" s="630">
        <v>150</v>
      </c>
      <c r="AB3" s="716">
        <v>140</v>
      </c>
      <c r="AC3" s="630">
        <v>90</v>
      </c>
      <c r="AD3" s="592">
        <f>SUM(F3:AC3)</f>
        <v>2255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1"/>
      <c r="E4" s="701"/>
      <c r="F4" s="630">
        <v>25</v>
      </c>
      <c r="G4" s="630">
        <v>25</v>
      </c>
      <c r="H4" s="630">
        <v>25</v>
      </c>
      <c r="I4" s="630">
        <v>25</v>
      </c>
      <c r="J4" s="630">
        <v>25</v>
      </c>
      <c r="K4" s="630">
        <v>25</v>
      </c>
      <c r="L4" s="735">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716">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1"/>
      <c r="E5" s="701"/>
      <c r="F5" s="630">
        <v>1</v>
      </c>
      <c r="G5" s="630">
        <v>1</v>
      </c>
      <c r="H5" s="630">
        <v>1</v>
      </c>
      <c r="I5" s="630">
        <v>1</v>
      </c>
      <c r="J5" s="630">
        <v>1</v>
      </c>
      <c r="K5" s="630">
        <v>13</v>
      </c>
      <c r="L5" s="735">
        <v>13</v>
      </c>
      <c r="M5" s="735">
        <v>13</v>
      </c>
      <c r="N5" s="735">
        <v>13</v>
      </c>
      <c r="O5" s="735">
        <v>13</v>
      </c>
      <c r="P5" s="735">
        <v>13</v>
      </c>
      <c r="Q5" s="735">
        <v>13</v>
      </c>
      <c r="R5" s="735">
        <v>13</v>
      </c>
      <c r="S5" s="735">
        <v>13</v>
      </c>
      <c r="T5" s="735">
        <v>13</v>
      </c>
      <c r="U5" s="735">
        <v>13</v>
      </c>
      <c r="V5" s="735">
        <v>13</v>
      </c>
      <c r="W5" s="735">
        <v>13</v>
      </c>
      <c r="X5" s="735">
        <v>13</v>
      </c>
      <c r="Y5" s="735">
        <v>13</v>
      </c>
      <c r="Z5" s="735">
        <v>13</v>
      </c>
      <c r="AA5" s="735">
        <v>13</v>
      </c>
      <c r="AB5" s="736">
        <v>13</v>
      </c>
      <c r="AC5" s="735">
        <v>13</v>
      </c>
      <c r="AD5" s="592">
        <f t="shared" ref="AD5:AD14" si="2">SUM(E5:AC5)</f>
        <v>252</v>
      </c>
      <c r="AE5" s="531">
        <f t="shared" si="0"/>
        <v>0</v>
      </c>
      <c r="AF5" s="494" t="str">
        <f t="shared" si="1"/>
        <v>sell</v>
      </c>
    </row>
    <row r="6" spans="1:75" s="349" customFormat="1" ht="12.75" customHeight="1" x14ac:dyDescent="0.2">
      <c r="A6" s="574"/>
      <c r="B6" s="564"/>
      <c r="C6" s="563"/>
      <c r="D6" s="702"/>
      <c r="E6" s="701"/>
      <c r="F6" s="630"/>
      <c r="G6" s="630"/>
      <c r="H6" s="630"/>
      <c r="I6" s="630"/>
      <c r="J6" s="630"/>
      <c r="K6" s="630"/>
      <c r="L6" s="735"/>
      <c r="M6" s="630"/>
      <c r="N6" s="630"/>
      <c r="O6" s="630"/>
      <c r="P6" s="630"/>
      <c r="Q6" s="630"/>
      <c r="R6" s="630"/>
      <c r="S6" s="630"/>
      <c r="T6" s="694"/>
      <c r="U6" s="630"/>
      <c r="V6" s="694"/>
      <c r="W6" s="694"/>
      <c r="X6" s="694"/>
      <c r="Y6" s="694"/>
      <c r="Z6" s="694"/>
      <c r="AA6" s="694"/>
      <c r="AB6" s="766"/>
      <c r="AC6" s="630"/>
      <c r="AD6" s="592">
        <f t="shared" si="2"/>
        <v>0</v>
      </c>
      <c r="AE6" s="531">
        <f t="shared" si="0"/>
        <v>0</v>
      </c>
      <c r="AF6" s="494" t="str">
        <f t="shared" si="1"/>
        <v>sell</v>
      </c>
    </row>
    <row r="7" spans="1:75" s="349" customFormat="1" ht="12.75" customHeight="1" x14ac:dyDescent="0.2">
      <c r="A7" s="574" t="s">
        <v>3</v>
      </c>
      <c r="B7" s="495"/>
      <c r="C7" s="495" t="s">
        <v>263</v>
      </c>
      <c r="D7" s="701"/>
      <c r="E7" s="694"/>
      <c r="F7" s="630">
        <v>-103</v>
      </c>
      <c r="G7" s="630">
        <v>-103</v>
      </c>
      <c r="H7" s="630">
        <v>-103</v>
      </c>
      <c r="I7" s="630">
        <v>-103</v>
      </c>
      <c r="J7" s="630">
        <v>-103</v>
      </c>
      <c r="K7" s="630">
        <v>-103</v>
      </c>
      <c r="L7" s="735">
        <v>-103</v>
      </c>
      <c r="M7" s="630">
        <v>-103</v>
      </c>
      <c r="N7" s="630">
        <v>-103</v>
      </c>
      <c r="O7" s="630">
        <v>-103</v>
      </c>
      <c r="P7" s="630">
        <v>-103</v>
      </c>
      <c r="Q7" s="630">
        <v>-103</v>
      </c>
      <c r="R7" s="630">
        <v>-103</v>
      </c>
      <c r="S7" s="630">
        <v>-103</v>
      </c>
      <c r="T7" s="630">
        <v>-103</v>
      </c>
      <c r="U7" s="630">
        <v>-103</v>
      </c>
      <c r="V7" s="630">
        <v>-103</v>
      </c>
      <c r="W7" s="630">
        <v>-103</v>
      </c>
      <c r="X7" s="630">
        <v>-103</v>
      </c>
      <c r="Y7" s="630">
        <v>-26</v>
      </c>
      <c r="Z7" s="630"/>
      <c r="AA7" s="630"/>
      <c r="AB7" s="716"/>
      <c r="AC7" s="630"/>
      <c r="AD7" s="541">
        <f t="shared" si="2"/>
        <v>-1983</v>
      </c>
      <c r="AE7" s="531">
        <f t="shared" si="0"/>
        <v>0</v>
      </c>
      <c r="AF7" s="494" t="str">
        <f t="shared" si="1"/>
        <v>buy</v>
      </c>
    </row>
    <row r="8" spans="1:75" s="349" customFormat="1" ht="12.75" customHeight="1" x14ac:dyDescent="0.2">
      <c r="A8" s="574" t="s">
        <v>364</v>
      </c>
      <c r="B8" s="495"/>
      <c r="C8" s="563" t="s">
        <v>263</v>
      </c>
      <c r="D8" s="701"/>
      <c r="E8" s="694"/>
      <c r="F8" s="630"/>
      <c r="G8" s="630"/>
      <c r="H8" s="630"/>
      <c r="I8" s="630"/>
      <c r="J8" s="630"/>
      <c r="K8" s="630"/>
      <c r="L8" s="735"/>
      <c r="M8" s="630"/>
      <c r="N8" s="630"/>
      <c r="O8" s="630"/>
      <c r="P8" s="630"/>
      <c r="Q8" s="630"/>
      <c r="R8" s="630"/>
      <c r="S8" s="630"/>
      <c r="T8" s="630"/>
      <c r="U8" s="630"/>
      <c r="V8" s="630"/>
      <c r="W8" s="630"/>
      <c r="X8" s="630"/>
      <c r="Y8" s="630"/>
      <c r="Z8" s="630"/>
      <c r="AA8" s="630"/>
      <c r="AB8" s="716"/>
      <c r="AC8" s="630"/>
      <c r="AD8" s="541">
        <f>SUM(E8:AC8)</f>
        <v>0</v>
      </c>
      <c r="AE8" s="531">
        <f t="shared" si="0"/>
        <v>0</v>
      </c>
      <c r="AF8" s="494" t="str">
        <f t="shared" si="1"/>
        <v>sell</v>
      </c>
    </row>
    <row r="9" spans="1:75" s="349" customFormat="1" ht="12.75" customHeight="1" x14ac:dyDescent="0.2">
      <c r="A9" s="574" t="s">
        <v>364</v>
      </c>
      <c r="B9" s="495"/>
      <c r="C9" s="563" t="s">
        <v>263</v>
      </c>
      <c r="D9" s="701"/>
      <c r="E9" s="694"/>
      <c r="F9" s="716"/>
      <c r="G9" s="716"/>
      <c r="H9" s="716"/>
      <c r="I9" s="716"/>
      <c r="J9" s="716"/>
      <c r="K9" s="716"/>
      <c r="L9" s="736"/>
      <c r="M9" s="716"/>
      <c r="N9" s="716"/>
      <c r="O9" s="716"/>
      <c r="P9" s="716"/>
      <c r="Q9" s="716"/>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
      <c r="A10" s="574"/>
      <c r="B10" s="495"/>
      <c r="C10" s="563"/>
      <c r="D10" s="701"/>
      <c r="E10" s="694"/>
      <c r="F10" s="630"/>
      <c r="G10" s="630"/>
      <c r="H10" s="630"/>
      <c r="I10" s="630"/>
      <c r="J10" s="630"/>
      <c r="K10" s="630"/>
      <c r="L10" s="735"/>
      <c r="M10" s="630"/>
      <c r="N10" s="630"/>
      <c r="O10" s="630"/>
      <c r="P10" s="630"/>
      <c r="Q10" s="630"/>
      <c r="R10" s="630"/>
      <c r="S10" s="630"/>
      <c r="T10" s="630"/>
      <c r="U10" s="630"/>
      <c r="V10" s="630"/>
      <c r="W10" s="630"/>
      <c r="X10" s="630"/>
      <c r="Y10" s="630"/>
      <c r="Z10" s="630"/>
      <c r="AA10" s="630"/>
      <c r="AB10" s="716"/>
      <c r="AC10" s="630"/>
      <c r="AD10" s="541">
        <f t="shared" si="2"/>
        <v>0</v>
      </c>
      <c r="AE10" s="531">
        <f t="shared" si="0"/>
        <v>0</v>
      </c>
      <c r="AF10" s="494" t="str">
        <f t="shared" si="1"/>
        <v>sell</v>
      </c>
    </row>
    <row r="11" spans="1:75" s="349" customFormat="1" ht="12.75" customHeight="1" x14ac:dyDescent="0.2">
      <c r="A11" s="574" t="s">
        <v>363</v>
      </c>
      <c r="B11" s="495"/>
      <c r="C11" s="563" t="s">
        <v>152</v>
      </c>
      <c r="D11" s="701"/>
      <c r="E11" s="701"/>
      <c r="F11" s="630">
        <v>60</v>
      </c>
      <c r="G11" s="630">
        <v>60</v>
      </c>
      <c r="H11" s="630">
        <v>60</v>
      </c>
      <c r="I11" s="630">
        <v>60</v>
      </c>
      <c r="J11" s="630">
        <v>60</v>
      </c>
      <c r="K11" s="630">
        <v>60</v>
      </c>
      <c r="L11" s="735"/>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2">
        <v>61.75</v>
      </c>
      <c r="E12" s="701"/>
      <c r="F12" s="630">
        <v>3</v>
      </c>
      <c r="G12" s="630">
        <v>3</v>
      </c>
      <c r="H12" s="630">
        <v>3</v>
      </c>
      <c r="I12" s="630">
        <v>3</v>
      </c>
      <c r="J12" s="630">
        <v>3</v>
      </c>
      <c r="K12" s="630">
        <v>3</v>
      </c>
      <c r="L12" s="735"/>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370</v>
      </c>
      <c r="B13" s="563"/>
      <c r="C13" s="563" t="s">
        <v>152</v>
      </c>
      <c r="D13" s="702">
        <v>61.75</v>
      </c>
      <c r="E13" s="701"/>
      <c r="F13" s="630">
        <v>25</v>
      </c>
      <c r="G13" s="630">
        <v>25</v>
      </c>
      <c r="H13" s="630">
        <v>25</v>
      </c>
      <c r="I13" s="630">
        <v>25</v>
      </c>
      <c r="J13" s="630">
        <v>25</v>
      </c>
      <c r="K13" s="630">
        <v>25</v>
      </c>
      <c r="L13" s="735"/>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370</v>
      </c>
      <c r="B14" s="563"/>
      <c r="C14" s="563" t="s">
        <v>152</v>
      </c>
      <c r="D14" s="702">
        <v>61.75</v>
      </c>
      <c r="E14" s="701"/>
      <c r="F14" s="630">
        <v>15</v>
      </c>
      <c r="G14" s="630">
        <v>15</v>
      </c>
      <c r="H14" s="630">
        <v>15</v>
      </c>
      <c r="I14" s="630">
        <v>15</v>
      </c>
      <c r="J14" s="630">
        <v>15</v>
      </c>
      <c r="K14" s="630">
        <v>15</v>
      </c>
      <c r="L14" s="735"/>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4" t="s">
        <v>280</v>
      </c>
      <c r="D15" s="703"/>
      <c r="E15" s="701"/>
      <c r="F15" s="630">
        <v>60</v>
      </c>
      <c r="G15" s="630">
        <v>60</v>
      </c>
      <c r="H15" s="630">
        <v>60</v>
      </c>
      <c r="I15" s="630">
        <v>60</v>
      </c>
      <c r="J15" s="630">
        <v>60</v>
      </c>
      <c r="K15" s="630">
        <v>60</v>
      </c>
      <c r="L15" s="735">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3"/>
      <c r="E16" s="701"/>
      <c r="F16" s="630"/>
      <c r="G16" s="630"/>
      <c r="H16" s="630"/>
      <c r="I16" s="630"/>
      <c r="J16" s="630"/>
      <c r="K16" s="630"/>
      <c r="L16" s="735">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3"/>
      <c r="E17" s="701"/>
      <c r="F17" s="630"/>
      <c r="G17" s="630"/>
      <c r="H17" s="630"/>
      <c r="I17" s="630"/>
      <c r="J17" s="630"/>
      <c r="K17" s="630"/>
      <c r="L17" s="735">
        <v>-20</v>
      </c>
      <c r="M17" s="630">
        <v>-20</v>
      </c>
      <c r="N17" s="630">
        <v>-20</v>
      </c>
      <c r="O17" s="630">
        <v>-20</v>
      </c>
      <c r="P17" s="630">
        <v>-20</v>
      </c>
      <c r="Q17" s="630">
        <v>-20</v>
      </c>
      <c r="R17" s="630">
        <v>-20</v>
      </c>
      <c r="S17" s="630">
        <v>-20</v>
      </c>
      <c r="T17" s="630">
        <v>-20</v>
      </c>
      <c r="U17" s="630">
        <v>-20</v>
      </c>
      <c r="V17" s="630">
        <v>-20</v>
      </c>
      <c r="W17" s="630">
        <v>-20</v>
      </c>
      <c r="X17" s="630">
        <v>-20</v>
      </c>
      <c r="Y17" s="630">
        <v>-4</v>
      </c>
      <c r="Z17" s="630"/>
      <c r="AA17" s="630"/>
      <c r="AB17" s="630"/>
      <c r="AC17" s="630"/>
      <c r="AD17" s="592">
        <f>SUM(E17:AC17)</f>
        <v>-264</v>
      </c>
      <c r="AE17" s="531">
        <f>AD17*D17</f>
        <v>0</v>
      </c>
      <c r="AF17" s="494" t="str">
        <f>IF(AD17&lt;0,"buy","sell")</f>
        <v>buy</v>
      </c>
    </row>
    <row r="18" spans="1:32" s="349" customFormat="1" ht="12.75" customHeight="1" x14ac:dyDescent="0.2">
      <c r="A18" s="574" t="s">
        <v>3</v>
      </c>
      <c r="B18" s="635"/>
      <c r="C18" s="563" t="s">
        <v>152</v>
      </c>
      <c r="D18" s="703"/>
      <c r="E18" s="701"/>
      <c r="F18" s="630"/>
      <c r="G18" s="630"/>
      <c r="H18" s="630"/>
      <c r="I18" s="630"/>
      <c r="J18" s="630"/>
      <c r="K18" s="630"/>
      <c r="L18" s="735">
        <v>-12</v>
      </c>
      <c r="M18" s="630">
        <v>-12</v>
      </c>
      <c r="N18" s="630">
        <v>-12</v>
      </c>
      <c r="O18" s="630">
        <v>-12</v>
      </c>
      <c r="P18" s="630">
        <v>-12</v>
      </c>
      <c r="Q18" s="630">
        <v>-12</v>
      </c>
      <c r="R18" s="630">
        <v>-12</v>
      </c>
      <c r="S18" s="630">
        <v>-12</v>
      </c>
      <c r="T18" s="630">
        <v>-12</v>
      </c>
      <c r="U18" s="630">
        <v>-12</v>
      </c>
      <c r="V18" s="630">
        <v>-12</v>
      </c>
      <c r="W18" s="630">
        <v>-12</v>
      </c>
      <c r="X18" s="630">
        <v>-12</v>
      </c>
      <c r="Y18" s="630">
        <v>-4</v>
      </c>
      <c r="Z18" s="630"/>
      <c r="AA18" s="630"/>
      <c r="AB18" s="630"/>
      <c r="AC18" s="630"/>
      <c r="AD18" s="592">
        <f>SUM(E18:AC18)</f>
        <v>-160</v>
      </c>
      <c r="AE18" s="531">
        <f>AD18*D18</f>
        <v>0</v>
      </c>
      <c r="AF18" s="494" t="str">
        <f>IF(AD18&lt;0,"buy","sell")</f>
        <v>buy</v>
      </c>
    </row>
    <row r="19" spans="1:32" s="349" customFormat="1" ht="12.75" customHeight="1" x14ac:dyDescent="0.2">
      <c r="A19" s="574" t="s">
        <v>363</v>
      </c>
      <c r="B19" s="635"/>
      <c r="C19" s="563" t="s">
        <v>152</v>
      </c>
      <c r="D19" s="703"/>
      <c r="E19" s="701"/>
      <c r="F19" s="630">
        <v>-60</v>
      </c>
      <c r="G19" s="630">
        <v>-60</v>
      </c>
      <c r="H19" s="630">
        <v>-60</v>
      </c>
      <c r="I19" s="630">
        <v>-60</v>
      </c>
      <c r="J19" s="630">
        <v>-60</v>
      </c>
      <c r="K19" s="630">
        <v>-60</v>
      </c>
      <c r="L19" s="735"/>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3"/>
      <c r="E20" s="701"/>
      <c r="F20" s="630"/>
      <c r="G20" s="630"/>
      <c r="H20" s="630"/>
      <c r="I20" s="630"/>
      <c r="J20" s="630"/>
      <c r="K20" s="630"/>
      <c r="L20" s="735"/>
      <c r="M20" s="630"/>
      <c r="N20" s="630"/>
      <c r="O20" s="630"/>
      <c r="P20" s="630"/>
      <c r="Q20" s="630"/>
      <c r="R20" s="630"/>
      <c r="S20" s="630"/>
      <c r="T20" s="630"/>
      <c r="U20" s="630"/>
      <c r="V20" s="630"/>
      <c r="W20" s="630"/>
      <c r="X20" s="630"/>
      <c r="Y20" s="630"/>
      <c r="Z20" s="630"/>
      <c r="AA20" s="630"/>
      <c r="AB20" s="716"/>
      <c r="AC20" s="630"/>
      <c r="AD20" s="592">
        <f>SUM(F20:AC20)</f>
        <v>0</v>
      </c>
      <c r="AE20" s="531">
        <f t="shared" si="0"/>
        <v>0</v>
      </c>
      <c r="AF20" s="494" t="str">
        <f t="shared" si="1"/>
        <v>sell</v>
      </c>
    </row>
    <row r="21" spans="1:32" s="349" customFormat="1" x14ac:dyDescent="0.2">
      <c r="A21" s="584" t="s">
        <v>206</v>
      </c>
      <c r="B21" s="583"/>
      <c r="C21" s="583"/>
      <c r="D21" s="704"/>
      <c r="E21" s="704"/>
      <c r="F21" s="695"/>
      <c r="G21" s="695"/>
      <c r="H21" s="695"/>
      <c r="I21" s="695"/>
      <c r="J21" s="695"/>
      <c r="K21" s="695"/>
      <c r="L21" s="737"/>
      <c r="M21" s="695"/>
      <c r="N21" s="695"/>
      <c r="O21" s="695"/>
      <c r="P21" s="695"/>
      <c r="Q21" s="695"/>
      <c r="R21" s="695"/>
      <c r="S21" s="695"/>
      <c r="T21" s="695"/>
      <c r="U21" s="695"/>
      <c r="V21" s="695"/>
      <c r="W21" s="695"/>
      <c r="X21" s="695"/>
      <c r="Y21" s="695"/>
      <c r="Z21" s="695"/>
      <c r="AA21" s="695"/>
      <c r="AB21" s="767"/>
      <c r="AC21" s="695"/>
      <c r="AD21" s="539"/>
      <c r="AE21" s="397"/>
      <c r="AF21" s="571"/>
    </row>
    <row r="22" spans="1:32" s="349" customFormat="1" ht="12.75" customHeight="1" x14ac:dyDescent="0.2">
      <c r="A22" s="575" t="s">
        <v>207</v>
      </c>
      <c r="B22" s="568"/>
      <c r="C22" s="561"/>
      <c r="D22" s="631"/>
      <c r="E22" s="631"/>
      <c r="F22" s="631"/>
      <c r="G22" s="631"/>
      <c r="H22" s="631"/>
      <c r="I22" s="631"/>
      <c r="J22" s="631"/>
      <c r="K22" s="631"/>
      <c r="L22" s="738"/>
      <c r="M22" s="631"/>
      <c r="N22" s="631"/>
      <c r="O22" s="631"/>
      <c r="P22" s="631"/>
      <c r="Q22" s="631"/>
      <c r="R22" s="631"/>
      <c r="S22" s="631"/>
      <c r="T22" s="631"/>
      <c r="U22" s="631"/>
      <c r="V22" s="631"/>
      <c r="W22" s="631"/>
      <c r="X22" s="631"/>
      <c r="Y22" s="631"/>
      <c r="Z22" s="631"/>
      <c r="AA22" s="631"/>
      <c r="AB22" s="768"/>
      <c r="AC22" s="631"/>
      <c r="AD22" s="359"/>
      <c r="AE22" s="460"/>
      <c r="AF22" s="460"/>
    </row>
    <row r="23" spans="1:32" s="349" customFormat="1" hidden="1" x14ac:dyDescent="0.2">
      <c r="A23" s="576" t="s">
        <v>278</v>
      </c>
      <c r="B23" s="455" t="s">
        <v>241</v>
      </c>
      <c r="C23" s="455" t="s">
        <v>152</v>
      </c>
      <c r="D23" s="705">
        <f t="shared" ref="D23:D46" si="3">F126</f>
        <v>-0.25</v>
      </c>
      <c r="E23" s="705"/>
      <c r="F23" s="632"/>
      <c r="G23" s="677"/>
      <c r="H23" s="633"/>
      <c r="I23" s="633"/>
      <c r="J23" s="633"/>
      <c r="K23" s="633"/>
      <c r="L23" s="739"/>
      <c r="M23" s="633"/>
      <c r="N23" s="633"/>
      <c r="O23" s="633"/>
      <c r="P23" s="633"/>
      <c r="Q23" s="633"/>
      <c r="R23" s="633"/>
      <c r="S23" s="633"/>
      <c r="T23" s="633"/>
      <c r="U23" s="633"/>
      <c r="V23" s="633"/>
      <c r="W23" s="633"/>
      <c r="X23" s="633"/>
      <c r="Y23" s="633"/>
      <c r="Z23" s="633"/>
      <c r="AA23" s="633"/>
      <c r="AB23" s="765"/>
      <c r="AC23" s="632"/>
      <c r="AD23" s="540">
        <f t="shared" ref="AD23:AD96" si="4">SUM(F23:AC23)</f>
        <v>0</v>
      </c>
      <c r="AE23" s="458">
        <f t="shared" ref="AE23:AE72" si="5">AD23*D23</f>
        <v>0</v>
      </c>
      <c r="AF23" s="442" t="str">
        <f>IF(AD23&lt;0,"buy","sell")</f>
        <v>sell</v>
      </c>
    </row>
    <row r="24" spans="1:32" s="349" customFormat="1" hidden="1" x14ac:dyDescent="0.2">
      <c r="A24" s="576" t="s">
        <v>278</v>
      </c>
      <c r="B24" s="455" t="s">
        <v>241</v>
      </c>
      <c r="C24" s="455" t="s">
        <v>152</v>
      </c>
      <c r="D24" s="705">
        <f t="shared" si="3"/>
        <v>-0.25</v>
      </c>
      <c r="E24" s="705"/>
      <c r="F24" s="632"/>
      <c r="G24" s="633"/>
      <c r="H24" s="633"/>
      <c r="I24" s="633"/>
      <c r="J24" s="633"/>
      <c r="K24" s="633"/>
      <c r="L24" s="739"/>
      <c r="M24" s="633"/>
      <c r="N24" s="633"/>
      <c r="O24" s="633"/>
      <c r="P24" s="633"/>
      <c r="Q24" s="633"/>
      <c r="R24" s="633"/>
      <c r="S24" s="633"/>
      <c r="T24" s="633"/>
      <c r="U24" s="633"/>
      <c r="V24" s="633"/>
      <c r="W24" s="633"/>
      <c r="X24" s="633"/>
      <c r="Y24" s="633"/>
      <c r="Z24" s="633"/>
      <c r="AA24" s="633"/>
      <c r="AB24" s="764"/>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5">
        <f t="shared" si="3"/>
        <v>-0.25</v>
      </c>
      <c r="E25" s="705"/>
      <c r="F25" s="632"/>
      <c r="G25" s="677"/>
      <c r="H25" s="633">
        <v>0</v>
      </c>
      <c r="I25" s="633"/>
      <c r="J25" s="633"/>
      <c r="K25" s="633"/>
      <c r="L25" s="739"/>
      <c r="M25" s="633"/>
      <c r="N25" s="633"/>
      <c r="O25" s="633"/>
      <c r="P25" s="633"/>
      <c r="Q25" s="633"/>
      <c r="R25" s="633"/>
      <c r="S25" s="633"/>
      <c r="T25" s="633"/>
      <c r="U25" s="633"/>
      <c r="V25" s="633"/>
      <c r="W25" s="633"/>
      <c r="X25" s="633"/>
      <c r="Y25" s="633"/>
      <c r="Z25" s="633"/>
      <c r="AA25" s="633"/>
      <c r="AB25" s="765"/>
      <c r="AC25" s="632"/>
      <c r="AD25" s="540">
        <f t="shared" si="4"/>
        <v>0</v>
      </c>
      <c r="AE25" s="458">
        <f t="shared" si="5"/>
        <v>0</v>
      </c>
      <c r="AF25" s="442" t="str">
        <f t="shared" si="6"/>
        <v>sell</v>
      </c>
    </row>
    <row r="26" spans="1:32" s="349" customFormat="1" hidden="1" x14ac:dyDescent="0.2">
      <c r="A26" s="576" t="s">
        <v>278</v>
      </c>
      <c r="B26" s="455" t="s">
        <v>241</v>
      </c>
      <c r="C26" s="455" t="s">
        <v>152</v>
      </c>
      <c r="D26" s="705">
        <f t="shared" si="3"/>
        <v>-0.25</v>
      </c>
      <c r="E26" s="705"/>
      <c r="F26" s="632"/>
      <c r="G26" s="677"/>
      <c r="H26" s="633"/>
      <c r="I26" s="633">
        <v>0</v>
      </c>
      <c r="J26" s="633"/>
      <c r="K26" s="633"/>
      <c r="L26" s="739"/>
      <c r="M26" s="633"/>
      <c r="N26" s="633"/>
      <c r="O26" s="633"/>
      <c r="P26" s="633"/>
      <c r="Q26" s="633"/>
      <c r="R26" s="633"/>
      <c r="S26" s="633"/>
      <c r="T26" s="633"/>
      <c r="U26" s="633"/>
      <c r="V26" s="633"/>
      <c r="W26" s="633"/>
      <c r="X26" s="633"/>
      <c r="Y26" s="633"/>
      <c r="Z26" s="633"/>
      <c r="AA26" s="633"/>
      <c r="AB26" s="765"/>
      <c r="AC26" s="632"/>
      <c r="AD26" s="540">
        <f t="shared" si="4"/>
        <v>0</v>
      </c>
      <c r="AE26" s="458">
        <f t="shared" si="5"/>
        <v>0</v>
      </c>
      <c r="AF26" s="442" t="str">
        <f t="shared" si="6"/>
        <v>sell</v>
      </c>
    </row>
    <row r="27" spans="1:32" s="349" customFormat="1" hidden="1" x14ac:dyDescent="0.2">
      <c r="A27" s="576" t="s">
        <v>278</v>
      </c>
      <c r="B27" s="455" t="s">
        <v>241</v>
      </c>
      <c r="C27" s="455" t="s">
        <v>152</v>
      </c>
      <c r="D27" s="705">
        <f t="shared" si="3"/>
        <v>-0.25</v>
      </c>
      <c r="E27" s="705"/>
      <c r="F27" s="632"/>
      <c r="G27" s="677"/>
      <c r="H27" s="633"/>
      <c r="I27" s="633"/>
      <c r="J27" s="633">
        <v>0</v>
      </c>
      <c r="K27" s="633"/>
      <c r="L27" s="739"/>
      <c r="M27" s="633"/>
      <c r="N27" s="633"/>
      <c r="O27" s="633"/>
      <c r="P27" s="633"/>
      <c r="Q27" s="633"/>
      <c r="R27" s="633"/>
      <c r="S27" s="633"/>
      <c r="T27" s="633"/>
      <c r="U27" s="633"/>
      <c r="V27" s="633"/>
      <c r="W27" s="633"/>
      <c r="X27" s="633"/>
      <c r="Y27" s="633"/>
      <c r="Z27" s="633"/>
      <c r="AA27" s="633"/>
      <c r="AB27" s="765"/>
      <c r="AC27" s="632"/>
      <c r="AD27" s="540">
        <f t="shared" si="4"/>
        <v>0</v>
      </c>
      <c r="AE27" s="458">
        <f t="shared" si="5"/>
        <v>0</v>
      </c>
      <c r="AF27" s="442" t="str">
        <f>IF(AD27&lt;0,"buy","sell")</f>
        <v>sell</v>
      </c>
    </row>
    <row r="28" spans="1:32" s="349" customFormat="1" hidden="1" x14ac:dyDescent="0.2">
      <c r="A28" s="576" t="s">
        <v>278</v>
      </c>
      <c r="B28" s="455" t="s">
        <v>241</v>
      </c>
      <c r="C28" s="455" t="s">
        <v>152</v>
      </c>
      <c r="D28" s="705">
        <f t="shared" si="3"/>
        <v>-0.25</v>
      </c>
      <c r="E28" s="705"/>
      <c r="F28" s="633"/>
      <c r="G28" s="677"/>
      <c r="H28" s="633"/>
      <c r="I28" s="633"/>
      <c r="J28" s="633"/>
      <c r="K28" s="633">
        <v>0</v>
      </c>
      <c r="L28" s="739"/>
      <c r="M28" s="633"/>
      <c r="N28" s="633"/>
      <c r="O28" s="633"/>
      <c r="P28" s="633"/>
      <c r="Q28" s="633"/>
      <c r="R28" s="633"/>
      <c r="S28" s="633"/>
      <c r="T28" s="633"/>
      <c r="U28" s="633"/>
      <c r="V28" s="633"/>
      <c r="W28" s="633"/>
      <c r="X28" s="633"/>
      <c r="Y28" s="633"/>
      <c r="Z28" s="633"/>
      <c r="AA28" s="633"/>
      <c r="AB28" s="765"/>
      <c r="AC28" s="633"/>
      <c r="AD28" s="540">
        <f t="shared" si="4"/>
        <v>0</v>
      </c>
      <c r="AE28" s="458">
        <f t="shared" si="5"/>
        <v>0</v>
      </c>
      <c r="AF28" s="442" t="str">
        <f t="shared" si="6"/>
        <v>sell</v>
      </c>
    </row>
    <row r="29" spans="1:32" s="349" customFormat="1" hidden="1" x14ac:dyDescent="0.2">
      <c r="A29" s="576" t="s">
        <v>278</v>
      </c>
      <c r="B29" s="455" t="s">
        <v>241</v>
      </c>
      <c r="C29" s="455" t="s">
        <v>152</v>
      </c>
      <c r="D29" s="705">
        <f t="shared" si="3"/>
        <v>-0.25</v>
      </c>
      <c r="E29" s="705"/>
      <c r="F29" s="633"/>
      <c r="G29" s="677"/>
      <c r="H29" s="633"/>
      <c r="I29" s="633"/>
      <c r="J29" s="633"/>
      <c r="K29" s="633"/>
      <c r="L29" s="739">
        <v>0</v>
      </c>
      <c r="M29" s="633"/>
      <c r="N29" s="633"/>
      <c r="O29" s="633"/>
      <c r="P29" s="633"/>
      <c r="Q29" s="633"/>
      <c r="R29" s="633"/>
      <c r="S29" s="633"/>
      <c r="T29" s="633"/>
      <c r="U29" s="633"/>
      <c r="V29" s="633"/>
      <c r="W29" s="633"/>
      <c r="X29" s="633"/>
      <c r="Y29" s="633"/>
      <c r="Z29" s="633"/>
      <c r="AA29" s="633"/>
      <c r="AB29" s="765"/>
      <c r="AC29" s="633"/>
      <c r="AD29" s="540">
        <f t="shared" si="4"/>
        <v>0</v>
      </c>
      <c r="AE29" s="458">
        <f t="shared" si="5"/>
        <v>0</v>
      </c>
      <c r="AF29" s="442" t="str">
        <f t="shared" si="6"/>
        <v>sell</v>
      </c>
    </row>
    <row r="30" spans="1:32" s="349" customFormat="1" hidden="1" x14ac:dyDescent="0.2">
      <c r="A30" s="576" t="s">
        <v>278</v>
      </c>
      <c r="B30" s="455" t="s">
        <v>241</v>
      </c>
      <c r="C30" s="455" t="s">
        <v>152</v>
      </c>
      <c r="D30" s="705">
        <f t="shared" si="3"/>
        <v>-0.25</v>
      </c>
      <c r="E30" s="705"/>
      <c r="F30" s="633"/>
      <c r="G30" s="677"/>
      <c r="H30" s="633"/>
      <c r="I30" s="633"/>
      <c r="J30" s="633"/>
      <c r="K30" s="633"/>
      <c r="L30" s="739"/>
      <c r="M30" s="633">
        <v>0</v>
      </c>
      <c r="N30" s="633"/>
      <c r="O30" s="633"/>
      <c r="P30" s="633"/>
      <c r="Q30" s="633"/>
      <c r="R30" s="633"/>
      <c r="S30" s="633"/>
      <c r="T30" s="633"/>
      <c r="U30" s="633"/>
      <c r="V30" s="633"/>
      <c r="W30" s="633"/>
      <c r="X30" s="633"/>
      <c r="Y30" s="633"/>
      <c r="Z30" s="633"/>
      <c r="AA30" s="633"/>
      <c r="AB30" s="765"/>
      <c r="AC30" s="633"/>
      <c r="AD30" s="540">
        <f t="shared" si="4"/>
        <v>0</v>
      </c>
      <c r="AE30" s="458">
        <f t="shared" si="5"/>
        <v>0</v>
      </c>
      <c r="AF30" s="442" t="str">
        <f t="shared" si="6"/>
        <v>sell</v>
      </c>
    </row>
    <row r="31" spans="1:32" s="349" customFormat="1" hidden="1" x14ac:dyDescent="0.2">
      <c r="A31" s="576" t="s">
        <v>278</v>
      </c>
      <c r="B31" s="455" t="s">
        <v>241</v>
      </c>
      <c r="C31" s="455" t="s">
        <v>152</v>
      </c>
      <c r="D31" s="705">
        <f t="shared" si="3"/>
        <v>-0.25</v>
      </c>
      <c r="E31" s="705"/>
      <c r="F31" s="633"/>
      <c r="G31" s="677"/>
      <c r="H31" s="633"/>
      <c r="I31" s="633"/>
      <c r="J31" s="633"/>
      <c r="K31" s="633"/>
      <c r="L31" s="739"/>
      <c r="M31" s="633"/>
      <c r="N31" s="633">
        <v>0</v>
      </c>
      <c r="O31" s="633"/>
      <c r="P31" s="633"/>
      <c r="Q31" s="633"/>
      <c r="R31" s="633"/>
      <c r="S31" s="633"/>
      <c r="T31" s="633"/>
      <c r="U31" s="633"/>
      <c r="V31" s="633"/>
      <c r="W31" s="633"/>
      <c r="X31" s="633"/>
      <c r="Y31" s="633"/>
      <c r="Z31" s="633"/>
      <c r="AA31" s="633"/>
      <c r="AB31" s="765"/>
      <c r="AC31" s="633"/>
      <c r="AD31" s="540">
        <f t="shared" si="4"/>
        <v>0</v>
      </c>
      <c r="AE31" s="458">
        <f t="shared" si="5"/>
        <v>0</v>
      </c>
      <c r="AF31" s="442" t="str">
        <f t="shared" si="6"/>
        <v>sell</v>
      </c>
    </row>
    <row r="32" spans="1:32" s="349" customFormat="1" hidden="1" x14ac:dyDescent="0.2">
      <c r="A32" s="576" t="s">
        <v>278</v>
      </c>
      <c r="B32" s="455" t="s">
        <v>241</v>
      </c>
      <c r="C32" s="455" t="s">
        <v>152</v>
      </c>
      <c r="D32" s="705">
        <f t="shared" si="3"/>
        <v>-0.25</v>
      </c>
      <c r="E32" s="705"/>
      <c r="F32" s="633"/>
      <c r="G32" s="677"/>
      <c r="H32" s="633"/>
      <c r="I32" s="633"/>
      <c r="J32" s="633"/>
      <c r="K32" s="633"/>
      <c r="L32" s="739"/>
      <c r="M32" s="633"/>
      <c r="N32" s="633"/>
      <c r="O32" s="633">
        <v>0</v>
      </c>
      <c r="P32" s="633"/>
      <c r="Q32" s="633"/>
      <c r="R32" s="633"/>
      <c r="S32" s="633"/>
      <c r="T32" s="633"/>
      <c r="U32" s="633"/>
      <c r="V32" s="633"/>
      <c r="W32" s="633"/>
      <c r="X32" s="633"/>
      <c r="Y32" s="633"/>
      <c r="Z32" s="633"/>
      <c r="AA32" s="633"/>
      <c r="AB32" s="765"/>
      <c r="AC32" s="633"/>
      <c r="AD32" s="540">
        <f t="shared" si="4"/>
        <v>0</v>
      </c>
      <c r="AE32" s="458">
        <f t="shared" si="5"/>
        <v>0</v>
      </c>
      <c r="AF32" s="442" t="str">
        <f t="shared" si="6"/>
        <v>sell</v>
      </c>
    </row>
    <row r="33" spans="1:32" s="349" customFormat="1" hidden="1" x14ac:dyDescent="0.2">
      <c r="A33" s="576" t="s">
        <v>278</v>
      </c>
      <c r="B33" s="455" t="s">
        <v>241</v>
      </c>
      <c r="C33" s="455" t="s">
        <v>152</v>
      </c>
      <c r="D33" s="705">
        <f t="shared" si="3"/>
        <v>-0.25</v>
      </c>
      <c r="E33" s="705"/>
      <c r="F33" s="633"/>
      <c r="G33" s="677"/>
      <c r="H33" s="633"/>
      <c r="I33" s="633"/>
      <c r="J33" s="633"/>
      <c r="K33" s="633"/>
      <c r="L33" s="739"/>
      <c r="M33" s="633"/>
      <c r="N33" s="633"/>
      <c r="O33" s="633"/>
      <c r="P33" s="633">
        <v>0</v>
      </c>
      <c r="Q33" s="633"/>
      <c r="R33" s="633"/>
      <c r="S33" s="633"/>
      <c r="T33" s="633"/>
      <c r="U33" s="633"/>
      <c r="V33" s="633"/>
      <c r="W33" s="633"/>
      <c r="X33" s="633"/>
      <c r="Y33" s="633"/>
      <c r="Z33" s="633"/>
      <c r="AA33" s="633"/>
      <c r="AB33" s="765"/>
      <c r="AC33" s="633"/>
      <c r="AD33" s="540">
        <f t="shared" si="4"/>
        <v>0</v>
      </c>
      <c r="AE33" s="458">
        <f t="shared" si="5"/>
        <v>0</v>
      </c>
      <c r="AF33" s="442" t="str">
        <f t="shared" si="6"/>
        <v>sell</v>
      </c>
    </row>
    <row r="34" spans="1:32" s="349" customFormat="1" hidden="1" x14ac:dyDescent="0.2">
      <c r="A34" s="576" t="s">
        <v>278</v>
      </c>
      <c r="B34" s="455" t="s">
        <v>241</v>
      </c>
      <c r="C34" s="455" t="s">
        <v>152</v>
      </c>
      <c r="D34" s="705">
        <f t="shared" si="3"/>
        <v>-0.25</v>
      </c>
      <c r="E34" s="705"/>
      <c r="F34" s="633"/>
      <c r="G34" s="677"/>
      <c r="H34" s="633"/>
      <c r="I34" s="633"/>
      <c r="J34" s="633"/>
      <c r="K34" s="633"/>
      <c r="L34" s="739"/>
      <c r="M34" s="633"/>
      <c r="N34" s="633"/>
      <c r="O34" s="633"/>
      <c r="P34" s="633"/>
      <c r="Q34" s="633">
        <v>0</v>
      </c>
      <c r="R34" s="633"/>
      <c r="S34" s="633"/>
      <c r="T34" s="633"/>
      <c r="U34" s="633"/>
      <c r="V34" s="633"/>
      <c r="W34" s="633"/>
      <c r="X34" s="633"/>
      <c r="Y34" s="633"/>
      <c r="Z34" s="633"/>
      <c r="AA34" s="633"/>
      <c r="AB34" s="765"/>
      <c r="AC34" s="633"/>
      <c r="AD34" s="540">
        <f t="shared" si="4"/>
        <v>0</v>
      </c>
      <c r="AE34" s="458">
        <f t="shared" si="5"/>
        <v>0</v>
      </c>
      <c r="AF34" s="442" t="str">
        <f t="shared" si="6"/>
        <v>sell</v>
      </c>
    </row>
    <row r="35" spans="1:32" s="349" customFormat="1" hidden="1" x14ac:dyDescent="0.2">
      <c r="A35" s="576" t="s">
        <v>278</v>
      </c>
      <c r="B35" s="455" t="s">
        <v>241</v>
      </c>
      <c r="C35" s="455" t="s">
        <v>152</v>
      </c>
      <c r="D35" s="705">
        <f t="shared" si="3"/>
        <v>-0.25</v>
      </c>
      <c r="E35" s="705"/>
      <c r="F35" s="633"/>
      <c r="G35" s="677"/>
      <c r="H35" s="633"/>
      <c r="I35" s="633"/>
      <c r="J35" s="633"/>
      <c r="K35" s="633"/>
      <c r="L35" s="739"/>
      <c r="M35" s="633"/>
      <c r="N35" s="633"/>
      <c r="O35" s="633"/>
      <c r="P35" s="633"/>
      <c r="Q35" s="633"/>
      <c r="R35" s="633">
        <v>0</v>
      </c>
      <c r="S35" s="633"/>
      <c r="T35" s="633"/>
      <c r="U35" s="633"/>
      <c r="V35" s="633"/>
      <c r="W35" s="633"/>
      <c r="X35" s="633"/>
      <c r="Y35" s="633"/>
      <c r="Z35" s="633"/>
      <c r="AA35" s="633"/>
      <c r="AB35" s="765"/>
      <c r="AC35" s="633"/>
      <c r="AD35" s="540">
        <f t="shared" si="4"/>
        <v>0</v>
      </c>
      <c r="AE35" s="458">
        <f t="shared" si="5"/>
        <v>0</v>
      </c>
      <c r="AF35" s="442" t="str">
        <f t="shared" si="6"/>
        <v>sell</v>
      </c>
    </row>
    <row r="36" spans="1:32" s="349" customFormat="1" hidden="1" x14ac:dyDescent="0.2">
      <c r="A36" s="576" t="s">
        <v>278</v>
      </c>
      <c r="B36" s="455" t="s">
        <v>241</v>
      </c>
      <c r="C36" s="455" t="s">
        <v>152</v>
      </c>
      <c r="D36" s="705">
        <f t="shared" si="3"/>
        <v>-0.25</v>
      </c>
      <c r="E36" s="705"/>
      <c r="F36" s="633"/>
      <c r="G36" s="677"/>
      <c r="H36" s="633"/>
      <c r="I36" s="633"/>
      <c r="J36" s="633"/>
      <c r="K36" s="633"/>
      <c r="L36" s="739"/>
      <c r="M36" s="633"/>
      <c r="N36" s="633"/>
      <c r="O36" s="633"/>
      <c r="P36" s="633"/>
      <c r="Q36" s="633"/>
      <c r="R36" s="633"/>
      <c r="S36" s="633">
        <v>0</v>
      </c>
      <c r="T36" s="633"/>
      <c r="U36" s="633"/>
      <c r="V36" s="633"/>
      <c r="W36" s="633"/>
      <c r="X36" s="633"/>
      <c r="Y36" s="633"/>
      <c r="Z36" s="633"/>
      <c r="AA36" s="633"/>
      <c r="AB36" s="765"/>
      <c r="AC36" s="633"/>
      <c r="AD36" s="540">
        <f t="shared" si="4"/>
        <v>0</v>
      </c>
      <c r="AE36" s="458">
        <f t="shared" si="5"/>
        <v>0</v>
      </c>
      <c r="AF36" s="442" t="str">
        <f t="shared" si="6"/>
        <v>sell</v>
      </c>
    </row>
    <row r="37" spans="1:32" s="349" customFormat="1" hidden="1" x14ac:dyDescent="0.2">
      <c r="A37" s="576" t="s">
        <v>278</v>
      </c>
      <c r="B37" s="455" t="s">
        <v>241</v>
      </c>
      <c r="C37" s="455" t="s">
        <v>152</v>
      </c>
      <c r="D37" s="705">
        <f t="shared" si="3"/>
        <v>-0.25</v>
      </c>
      <c r="E37" s="705"/>
      <c r="F37" s="633"/>
      <c r="G37" s="677"/>
      <c r="H37" s="633"/>
      <c r="I37" s="633"/>
      <c r="J37" s="633"/>
      <c r="K37" s="633"/>
      <c r="L37" s="739"/>
      <c r="M37" s="633"/>
      <c r="N37" s="633"/>
      <c r="O37" s="633"/>
      <c r="P37" s="633"/>
      <c r="Q37" s="633"/>
      <c r="R37" s="633"/>
      <c r="S37" s="633"/>
      <c r="T37" s="633">
        <v>0</v>
      </c>
      <c r="U37" s="633"/>
      <c r="V37" s="633"/>
      <c r="W37" s="633"/>
      <c r="X37" s="633"/>
      <c r="Y37" s="633"/>
      <c r="Z37" s="633"/>
      <c r="AA37" s="633"/>
      <c r="AB37" s="765"/>
      <c r="AC37" s="633"/>
      <c r="AD37" s="540">
        <f t="shared" si="4"/>
        <v>0</v>
      </c>
      <c r="AE37" s="458">
        <f t="shared" si="5"/>
        <v>0</v>
      </c>
      <c r="AF37" s="442" t="str">
        <f t="shared" si="6"/>
        <v>sell</v>
      </c>
    </row>
    <row r="38" spans="1:32" s="349" customFormat="1" hidden="1" x14ac:dyDescent="0.2">
      <c r="A38" s="576" t="s">
        <v>278</v>
      </c>
      <c r="B38" s="455" t="s">
        <v>241</v>
      </c>
      <c r="C38" s="455" t="s">
        <v>152</v>
      </c>
      <c r="D38" s="705">
        <f t="shared" si="3"/>
        <v>-0.25</v>
      </c>
      <c r="E38" s="705"/>
      <c r="F38" s="633"/>
      <c r="G38" s="677"/>
      <c r="H38" s="633"/>
      <c r="I38" s="633"/>
      <c r="J38" s="633"/>
      <c r="K38" s="633"/>
      <c r="L38" s="739"/>
      <c r="M38" s="633"/>
      <c r="N38" s="633"/>
      <c r="O38" s="633"/>
      <c r="P38" s="633"/>
      <c r="Q38" s="633"/>
      <c r="R38" s="633"/>
      <c r="S38" s="633"/>
      <c r="T38" s="633"/>
      <c r="U38" s="633">
        <v>0</v>
      </c>
      <c r="V38" s="633"/>
      <c r="W38" s="633"/>
      <c r="X38" s="633"/>
      <c r="Y38" s="633"/>
      <c r="Z38" s="633"/>
      <c r="AA38" s="633"/>
      <c r="AB38" s="765"/>
      <c r="AC38" s="633"/>
      <c r="AD38" s="540">
        <f t="shared" si="4"/>
        <v>0</v>
      </c>
      <c r="AE38" s="458">
        <f t="shared" si="5"/>
        <v>0</v>
      </c>
      <c r="AF38" s="442" t="str">
        <f t="shared" si="6"/>
        <v>sell</v>
      </c>
    </row>
    <row r="39" spans="1:32" s="349" customFormat="1" hidden="1" x14ac:dyDescent="0.2">
      <c r="A39" s="576" t="s">
        <v>278</v>
      </c>
      <c r="B39" s="455" t="s">
        <v>241</v>
      </c>
      <c r="C39" s="455" t="s">
        <v>152</v>
      </c>
      <c r="D39" s="705">
        <f t="shared" si="3"/>
        <v>-0.25</v>
      </c>
      <c r="E39" s="705"/>
      <c r="F39" s="633"/>
      <c r="G39" s="677"/>
      <c r="H39" s="633"/>
      <c r="I39" s="633"/>
      <c r="J39" s="633"/>
      <c r="K39" s="633"/>
      <c r="L39" s="739"/>
      <c r="M39" s="633"/>
      <c r="N39" s="633"/>
      <c r="O39" s="633"/>
      <c r="P39" s="633"/>
      <c r="Q39" s="633"/>
      <c r="R39" s="633"/>
      <c r="S39" s="633"/>
      <c r="T39" s="633"/>
      <c r="U39" s="633"/>
      <c r="V39" s="633">
        <v>0</v>
      </c>
      <c r="W39" s="633"/>
      <c r="X39" s="633"/>
      <c r="Y39" s="633"/>
      <c r="Z39" s="633"/>
      <c r="AA39" s="634"/>
      <c r="AB39" s="765"/>
      <c r="AC39" s="633"/>
      <c r="AD39" s="540">
        <f t="shared" si="4"/>
        <v>0</v>
      </c>
      <c r="AE39" s="458">
        <f t="shared" si="5"/>
        <v>0</v>
      </c>
      <c r="AF39" s="442" t="str">
        <f t="shared" si="6"/>
        <v>sell</v>
      </c>
    </row>
    <row r="40" spans="1:32" s="349" customFormat="1" hidden="1" x14ac:dyDescent="0.2">
      <c r="A40" s="576" t="s">
        <v>278</v>
      </c>
      <c r="B40" s="455" t="s">
        <v>241</v>
      </c>
      <c r="C40" s="455" t="s">
        <v>152</v>
      </c>
      <c r="D40" s="705">
        <f t="shared" si="3"/>
        <v>-0.25</v>
      </c>
      <c r="E40" s="705"/>
      <c r="F40" s="633"/>
      <c r="G40" s="677"/>
      <c r="H40" s="633"/>
      <c r="I40" s="633"/>
      <c r="J40" s="633"/>
      <c r="K40" s="633"/>
      <c r="L40" s="739"/>
      <c r="M40" s="633"/>
      <c r="N40" s="633"/>
      <c r="O40" s="633"/>
      <c r="P40" s="633"/>
      <c r="Q40" s="633"/>
      <c r="R40" s="633"/>
      <c r="S40" s="633"/>
      <c r="T40" s="633"/>
      <c r="U40" s="633"/>
      <c r="V40" s="633"/>
      <c r="W40" s="633">
        <v>0</v>
      </c>
      <c r="X40" s="633"/>
      <c r="Y40" s="633"/>
      <c r="Z40" s="633"/>
      <c r="AA40" s="633"/>
      <c r="AB40" s="765"/>
      <c r="AC40" s="633"/>
      <c r="AD40" s="540">
        <f t="shared" si="4"/>
        <v>0</v>
      </c>
      <c r="AE40" s="458">
        <f t="shared" si="5"/>
        <v>0</v>
      </c>
      <c r="AF40" s="442" t="str">
        <f t="shared" si="6"/>
        <v>sell</v>
      </c>
    </row>
    <row r="41" spans="1:32" s="349" customFormat="1" hidden="1" x14ac:dyDescent="0.2">
      <c r="A41" s="576" t="s">
        <v>278</v>
      </c>
      <c r="B41" s="455" t="s">
        <v>241</v>
      </c>
      <c r="C41" s="455" t="s">
        <v>152</v>
      </c>
      <c r="D41" s="705">
        <f t="shared" si="3"/>
        <v>-0.25</v>
      </c>
      <c r="E41" s="705"/>
      <c r="F41" s="633"/>
      <c r="G41" s="677"/>
      <c r="H41" s="633"/>
      <c r="I41" s="633"/>
      <c r="J41" s="633"/>
      <c r="K41" s="633"/>
      <c r="L41" s="739"/>
      <c r="M41" s="633"/>
      <c r="N41" s="633"/>
      <c r="O41" s="633"/>
      <c r="P41" s="633"/>
      <c r="Q41" s="633"/>
      <c r="R41" s="633"/>
      <c r="S41" s="633"/>
      <c r="T41" s="633"/>
      <c r="U41" s="633"/>
      <c r="V41" s="633"/>
      <c r="W41" s="633"/>
      <c r="X41" s="633">
        <v>0</v>
      </c>
      <c r="Y41" s="633"/>
      <c r="Z41" s="633"/>
      <c r="AA41" s="633"/>
      <c r="AB41" s="765"/>
      <c r="AC41" s="633"/>
      <c r="AD41" s="540">
        <f t="shared" si="4"/>
        <v>0</v>
      </c>
      <c r="AE41" s="458">
        <f t="shared" si="5"/>
        <v>0</v>
      </c>
      <c r="AF41" s="442" t="str">
        <f t="shared" si="6"/>
        <v>sell</v>
      </c>
    </row>
    <row r="42" spans="1:32" s="349" customFormat="1" hidden="1" x14ac:dyDescent="0.2">
      <c r="A42" s="576" t="s">
        <v>278</v>
      </c>
      <c r="B42" s="455" t="s">
        <v>241</v>
      </c>
      <c r="C42" s="455" t="s">
        <v>152</v>
      </c>
      <c r="D42" s="705">
        <f t="shared" si="3"/>
        <v>-0.25</v>
      </c>
      <c r="E42" s="705"/>
      <c r="F42" s="633"/>
      <c r="G42" s="677"/>
      <c r="H42" s="633"/>
      <c r="I42" s="633"/>
      <c r="J42" s="633"/>
      <c r="K42" s="633"/>
      <c r="L42" s="739"/>
      <c r="M42" s="633"/>
      <c r="N42" s="633"/>
      <c r="O42" s="633"/>
      <c r="P42" s="633"/>
      <c r="Q42" s="633"/>
      <c r="R42" s="633"/>
      <c r="S42" s="633"/>
      <c r="T42" s="633"/>
      <c r="U42" s="633"/>
      <c r="V42" s="633"/>
      <c r="W42" s="633"/>
      <c r="X42" s="633"/>
      <c r="Y42" s="633">
        <v>0</v>
      </c>
      <c r="Z42" s="633"/>
      <c r="AA42" s="633"/>
      <c r="AB42" s="765"/>
      <c r="AC42" s="633"/>
      <c r="AD42" s="540">
        <f t="shared" si="4"/>
        <v>0</v>
      </c>
      <c r="AE42" s="458">
        <f t="shared" si="5"/>
        <v>0</v>
      </c>
      <c r="AF42" s="442" t="str">
        <f t="shared" si="6"/>
        <v>sell</v>
      </c>
    </row>
    <row r="43" spans="1:32" s="349" customFormat="1" hidden="1" x14ac:dyDescent="0.2">
      <c r="A43" s="576" t="s">
        <v>278</v>
      </c>
      <c r="B43" s="455" t="s">
        <v>241</v>
      </c>
      <c r="C43" s="455" t="s">
        <v>152</v>
      </c>
      <c r="D43" s="705">
        <f t="shared" si="3"/>
        <v>-0.25</v>
      </c>
      <c r="E43" s="705"/>
      <c r="F43" s="633"/>
      <c r="G43" s="677"/>
      <c r="H43" s="633"/>
      <c r="I43" s="633"/>
      <c r="J43" s="633"/>
      <c r="K43" s="633"/>
      <c r="L43" s="739"/>
      <c r="M43" s="633"/>
      <c r="N43" s="633"/>
      <c r="O43" s="633"/>
      <c r="P43" s="633"/>
      <c r="Q43" s="633"/>
      <c r="R43" s="633"/>
      <c r="S43" s="633"/>
      <c r="T43" s="633"/>
      <c r="U43" s="633"/>
      <c r="V43" s="633"/>
      <c r="W43" s="633"/>
      <c r="X43" s="633"/>
      <c r="Y43" s="633"/>
      <c r="Z43" s="633">
        <v>0</v>
      </c>
      <c r="AA43" s="633"/>
      <c r="AB43" s="765"/>
      <c r="AC43" s="633"/>
      <c r="AD43" s="540">
        <f t="shared" si="4"/>
        <v>0</v>
      </c>
      <c r="AE43" s="458">
        <f t="shared" si="5"/>
        <v>0</v>
      </c>
      <c r="AF43" s="442" t="str">
        <f t="shared" si="6"/>
        <v>sell</v>
      </c>
    </row>
    <row r="44" spans="1:32" s="349" customFormat="1" hidden="1" x14ac:dyDescent="0.2">
      <c r="A44" s="576" t="s">
        <v>278</v>
      </c>
      <c r="B44" s="455" t="s">
        <v>241</v>
      </c>
      <c r="C44" s="455" t="s">
        <v>152</v>
      </c>
      <c r="D44" s="705">
        <f t="shared" si="3"/>
        <v>-0.25</v>
      </c>
      <c r="E44" s="705"/>
      <c r="F44" s="633"/>
      <c r="G44" s="677"/>
      <c r="H44" s="633"/>
      <c r="I44" s="633"/>
      <c r="J44" s="633"/>
      <c r="K44" s="633"/>
      <c r="L44" s="739"/>
      <c r="M44" s="633"/>
      <c r="N44" s="633"/>
      <c r="O44" s="633"/>
      <c r="P44" s="633"/>
      <c r="Q44" s="633"/>
      <c r="R44" s="633"/>
      <c r="S44" s="633"/>
      <c r="T44" s="633"/>
      <c r="U44" s="633"/>
      <c r="V44" s="633"/>
      <c r="W44" s="633"/>
      <c r="X44" s="633"/>
      <c r="Y44" s="633"/>
      <c r="Z44" s="633"/>
      <c r="AA44" s="633">
        <v>0</v>
      </c>
      <c r="AB44" s="765"/>
      <c r="AC44" s="633"/>
      <c r="AD44" s="540">
        <f t="shared" si="4"/>
        <v>0</v>
      </c>
      <c r="AE44" s="458">
        <f t="shared" si="5"/>
        <v>0</v>
      </c>
      <c r="AF44" s="442" t="str">
        <f t="shared" si="6"/>
        <v>sell</v>
      </c>
    </row>
    <row r="45" spans="1:32" s="349" customFormat="1" hidden="1" x14ac:dyDescent="0.2">
      <c r="A45" s="576" t="s">
        <v>278</v>
      </c>
      <c r="B45" s="455" t="s">
        <v>241</v>
      </c>
      <c r="C45" s="455" t="s">
        <v>152</v>
      </c>
      <c r="D45" s="705">
        <f t="shared" si="3"/>
        <v>-0.25</v>
      </c>
      <c r="E45" s="705"/>
      <c r="F45" s="633"/>
      <c r="G45" s="677"/>
      <c r="H45" s="633"/>
      <c r="I45" s="633"/>
      <c r="J45" s="633"/>
      <c r="K45" s="633"/>
      <c r="L45" s="739"/>
      <c r="M45" s="633"/>
      <c r="N45" s="633"/>
      <c r="O45" s="633"/>
      <c r="P45" s="633"/>
      <c r="Q45" s="633"/>
      <c r="R45" s="633"/>
      <c r="S45" s="633"/>
      <c r="T45" s="633"/>
      <c r="U45" s="633"/>
      <c r="V45" s="633"/>
      <c r="W45" s="633"/>
      <c r="X45" s="633"/>
      <c r="Y45" s="633"/>
      <c r="Z45" s="633"/>
      <c r="AA45" s="633"/>
      <c r="AB45" s="765">
        <v>0</v>
      </c>
      <c r="AC45" s="633"/>
      <c r="AD45" s="540">
        <f t="shared" si="4"/>
        <v>0</v>
      </c>
      <c r="AE45" s="458">
        <f t="shared" si="5"/>
        <v>0</v>
      </c>
      <c r="AF45" s="442" t="str">
        <f t="shared" si="6"/>
        <v>sell</v>
      </c>
    </row>
    <row r="46" spans="1:32" s="349" customFormat="1" hidden="1" x14ac:dyDescent="0.2">
      <c r="A46" s="576" t="s">
        <v>278</v>
      </c>
      <c r="B46" s="455" t="s">
        <v>241</v>
      </c>
      <c r="C46" s="455" t="s">
        <v>152</v>
      </c>
      <c r="D46" s="705">
        <f t="shared" si="3"/>
        <v>-0.25</v>
      </c>
      <c r="E46" s="705"/>
      <c r="F46" s="633">
        <v>0</v>
      </c>
      <c r="G46" s="677"/>
      <c r="H46" s="633"/>
      <c r="I46" s="633"/>
      <c r="J46" s="633"/>
      <c r="K46" s="633"/>
      <c r="L46" s="739"/>
      <c r="M46" s="633"/>
      <c r="N46" s="633"/>
      <c r="O46" s="633"/>
      <c r="P46" s="633"/>
      <c r="Q46" s="633"/>
      <c r="R46" s="633"/>
      <c r="S46" s="633"/>
      <c r="T46" s="633"/>
      <c r="U46" s="633"/>
      <c r="V46" s="633"/>
      <c r="W46" s="633"/>
      <c r="X46" s="633"/>
      <c r="Y46" s="633"/>
      <c r="Z46" s="633"/>
      <c r="AA46" s="633"/>
      <c r="AB46" s="765"/>
      <c r="AC46" s="633">
        <v>0</v>
      </c>
      <c r="AD46" s="540">
        <f t="shared" si="4"/>
        <v>0</v>
      </c>
      <c r="AE46" s="458">
        <f t="shared" si="5"/>
        <v>0</v>
      </c>
      <c r="AF46" s="442" t="str">
        <f t="shared" si="6"/>
        <v>sell</v>
      </c>
    </row>
    <row r="47" spans="1:32" s="349" customFormat="1" hidden="1" x14ac:dyDescent="0.2">
      <c r="A47" s="576"/>
      <c r="B47" s="455"/>
      <c r="C47" s="455"/>
      <c r="D47" s="705"/>
      <c r="E47" s="705"/>
      <c r="F47" s="633"/>
      <c r="G47" s="677"/>
      <c r="H47" s="633"/>
      <c r="I47" s="633"/>
      <c r="J47" s="633"/>
      <c r="K47" s="633"/>
      <c r="L47" s="739"/>
      <c r="M47" s="633"/>
      <c r="N47" s="633"/>
      <c r="O47" s="633"/>
      <c r="P47" s="633"/>
      <c r="Q47" s="633"/>
      <c r="R47" s="633"/>
      <c r="S47" s="633"/>
      <c r="T47" s="633"/>
      <c r="U47" s="633"/>
      <c r="V47" s="633"/>
      <c r="W47" s="633"/>
      <c r="X47" s="633"/>
      <c r="Y47" s="633"/>
      <c r="Z47" s="633"/>
      <c r="AA47" s="633"/>
      <c r="AB47" s="765"/>
      <c r="AC47" s="633"/>
      <c r="AD47" s="540">
        <f t="shared" si="4"/>
        <v>0</v>
      </c>
      <c r="AE47" s="458">
        <f t="shared" si="5"/>
        <v>0</v>
      </c>
      <c r="AF47" s="442"/>
    </row>
    <row r="48" spans="1:32" s="349" customFormat="1" hidden="1" x14ac:dyDescent="0.2">
      <c r="A48" s="576" t="s">
        <v>278</v>
      </c>
      <c r="B48" s="455" t="s">
        <v>241</v>
      </c>
      <c r="C48" s="455" t="s">
        <v>280</v>
      </c>
      <c r="D48" s="705">
        <f t="shared" ref="D48:D70" si="7">F156</f>
        <v>-0.25</v>
      </c>
      <c r="E48" s="705"/>
      <c r="F48" s="633"/>
      <c r="G48" s="633"/>
      <c r="H48" s="633"/>
      <c r="I48" s="633"/>
      <c r="J48" s="633"/>
      <c r="K48" s="633"/>
      <c r="L48" s="739"/>
      <c r="M48" s="633"/>
      <c r="N48" s="633"/>
      <c r="O48" s="633"/>
      <c r="P48" s="633"/>
      <c r="Q48" s="633"/>
      <c r="R48" s="633"/>
      <c r="S48" s="633"/>
      <c r="T48" s="633"/>
      <c r="U48" s="633"/>
      <c r="V48" s="633"/>
      <c r="W48" s="633"/>
      <c r="X48" s="633"/>
      <c r="Y48" s="633"/>
      <c r="Z48" s="633"/>
      <c r="AA48" s="633"/>
      <c r="AB48" s="765"/>
      <c r="AC48" s="633"/>
      <c r="AD48" s="540">
        <f t="shared" si="4"/>
        <v>0</v>
      </c>
      <c r="AE48" s="458">
        <f t="shared" si="5"/>
        <v>0</v>
      </c>
      <c r="AF48" s="442" t="str">
        <f>IF(AD48&lt;0,"buy","sell")</f>
        <v>sell</v>
      </c>
    </row>
    <row r="49" spans="1:32" s="349" customFormat="1" hidden="1" x14ac:dyDescent="0.2">
      <c r="A49" s="576" t="s">
        <v>278</v>
      </c>
      <c r="B49" s="455" t="s">
        <v>241</v>
      </c>
      <c r="C49" s="455" t="s">
        <v>280</v>
      </c>
      <c r="D49" s="705">
        <f t="shared" si="7"/>
        <v>-0.25</v>
      </c>
      <c r="E49" s="705"/>
      <c r="F49" s="633"/>
      <c r="G49" s="633"/>
      <c r="H49" s="633"/>
      <c r="I49" s="633"/>
      <c r="J49" s="633"/>
      <c r="K49" s="633"/>
      <c r="L49" s="739"/>
      <c r="M49" s="633"/>
      <c r="N49" s="633"/>
      <c r="O49" s="633"/>
      <c r="P49" s="633"/>
      <c r="Q49" s="633"/>
      <c r="R49" s="633"/>
      <c r="S49" s="633"/>
      <c r="T49" s="633"/>
      <c r="U49" s="633"/>
      <c r="V49" s="633"/>
      <c r="W49" s="633"/>
      <c r="X49" s="633"/>
      <c r="Y49" s="633"/>
      <c r="Z49" s="633"/>
      <c r="AA49" s="633"/>
      <c r="AB49" s="765"/>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5">
        <f t="shared" si="7"/>
        <v>-0.25</v>
      </c>
      <c r="E50" s="705"/>
      <c r="F50" s="633"/>
      <c r="G50" s="633"/>
      <c r="H50" s="633">
        <v>0</v>
      </c>
      <c r="I50" s="633"/>
      <c r="J50" s="633"/>
      <c r="K50" s="633"/>
      <c r="L50" s="739"/>
      <c r="M50" s="633"/>
      <c r="N50" s="633"/>
      <c r="O50" s="633"/>
      <c r="P50" s="633"/>
      <c r="Q50" s="633"/>
      <c r="R50" s="633"/>
      <c r="S50" s="633"/>
      <c r="T50" s="633"/>
      <c r="U50" s="633"/>
      <c r="V50" s="633"/>
      <c r="W50" s="633"/>
      <c r="X50" s="633"/>
      <c r="Y50" s="633"/>
      <c r="Z50" s="633"/>
      <c r="AA50" s="633"/>
      <c r="AB50" s="765"/>
      <c r="AC50" s="633"/>
      <c r="AD50" s="540">
        <f t="shared" si="4"/>
        <v>0</v>
      </c>
      <c r="AE50" s="458">
        <f t="shared" si="5"/>
        <v>0</v>
      </c>
      <c r="AF50" s="442" t="str">
        <f t="shared" si="8"/>
        <v>sell</v>
      </c>
    </row>
    <row r="51" spans="1:32" s="349" customFormat="1" hidden="1" x14ac:dyDescent="0.2">
      <c r="A51" s="576" t="s">
        <v>278</v>
      </c>
      <c r="B51" s="455" t="s">
        <v>241</v>
      </c>
      <c r="C51" s="455" t="s">
        <v>280</v>
      </c>
      <c r="D51" s="705">
        <f t="shared" si="7"/>
        <v>-0.25</v>
      </c>
      <c r="E51" s="705"/>
      <c r="F51" s="633"/>
      <c r="G51" s="633"/>
      <c r="H51" s="633"/>
      <c r="I51" s="633">
        <v>0</v>
      </c>
      <c r="J51" s="633"/>
      <c r="K51" s="633"/>
      <c r="L51" s="739"/>
      <c r="M51" s="633"/>
      <c r="N51" s="633"/>
      <c r="O51" s="633"/>
      <c r="P51" s="633"/>
      <c r="Q51" s="633"/>
      <c r="R51" s="633"/>
      <c r="S51" s="633"/>
      <c r="T51" s="633"/>
      <c r="U51" s="633"/>
      <c r="V51" s="633"/>
      <c r="W51" s="633"/>
      <c r="X51" s="633"/>
      <c r="Y51" s="633"/>
      <c r="Z51" s="633"/>
      <c r="AA51" s="633"/>
      <c r="AB51" s="765"/>
      <c r="AC51" s="633"/>
      <c r="AD51" s="540">
        <f t="shared" si="4"/>
        <v>0</v>
      </c>
      <c r="AE51" s="458">
        <f t="shared" si="5"/>
        <v>0</v>
      </c>
      <c r="AF51" s="442" t="str">
        <f t="shared" si="8"/>
        <v>sell</v>
      </c>
    </row>
    <row r="52" spans="1:32" s="349" customFormat="1" hidden="1" x14ac:dyDescent="0.2">
      <c r="A52" s="576" t="s">
        <v>278</v>
      </c>
      <c r="B52" s="455" t="s">
        <v>241</v>
      </c>
      <c r="C52" s="455" t="s">
        <v>280</v>
      </c>
      <c r="D52" s="705">
        <f t="shared" si="7"/>
        <v>-0.25</v>
      </c>
      <c r="E52" s="705"/>
      <c r="F52" s="633"/>
      <c r="G52" s="633"/>
      <c r="H52" s="633"/>
      <c r="I52" s="633"/>
      <c r="J52" s="633">
        <v>0</v>
      </c>
      <c r="K52" s="633"/>
      <c r="L52" s="739"/>
      <c r="M52" s="633"/>
      <c r="N52" s="633"/>
      <c r="O52" s="633"/>
      <c r="P52" s="633"/>
      <c r="Q52" s="633"/>
      <c r="R52" s="633"/>
      <c r="S52" s="633"/>
      <c r="T52" s="633"/>
      <c r="U52" s="633"/>
      <c r="V52" s="633"/>
      <c r="W52" s="633"/>
      <c r="X52" s="633"/>
      <c r="Y52" s="633"/>
      <c r="Z52" s="633"/>
      <c r="AA52" s="633"/>
      <c r="AB52" s="765"/>
      <c r="AC52" s="633"/>
      <c r="AD52" s="540">
        <f t="shared" si="4"/>
        <v>0</v>
      </c>
      <c r="AE52" s="458">
        <f t="shared" si="5"/>
        <v>0</v>
      </c>
      <c r="AF52" s="442" t="str">
        <f t="shared" si="8"/>
        <v>sell</v>
      </c>
    </row>
    <row r="53" spans="1:32" s="349" customFormat="1" hidden="1" x14ac:dyDescent="0.2">
      <c r="A53" s="576" t="s">
        <v>278</v>
      </c>
      <c r="B53" s="455" t="s">
        <v>241</v>
      </c>
      <c r="C53" s="455" t="s">
        <v>280</v>
      </c>
      <c r="D53" s="705">
        <f t="shared" si="7"/>
        <v>-0.25</v>
      </c>
      <c r="E53" s="705"/>
      <c r="F53" s="633"/>
      <c r="G53" s="633"/>
      <c r="H53" s="633"/>
      <c r="I53" s="633"/>
      <c r="J53" s="633"/>
      <c r="K53" s="633">
        <v>0</v>
      </c>
      <c r="L53" s="739"/>
      <c r="M53" s="633"/>
      <c r="N53" s="633"/>
      <c r="O53" s="633"/>
      <c r="P53" s="633"/>
      <c r="Q53" s="633"/>
      <c r="R53" s="633"/>
      <c r="S53" s="633"/>
      <c r="T53" s="633"/>
      <c r="U53" s="633"/>
      <c r="V53" s="633"/>
      <c r="W53" s="633"/>
      <c r="X53" s="633"/>
      <c r="Y53" s="633"/>
      <c r="Z53" s="633"/>
      <c r="AA53" s="633"/>
      <c r="AB53" s="765"/>
      <c r="AC53" s="633"/>
      <c r="AD53" s="540">
        <f t="shared" si="4"/>
        <v>0</v>
      </c>
      <c r="AE53" s="458">
        <f t="shared" si="5"/>
        <v>0</v>
      </c>
      <c r="AF53" s="442" t="str">
        <f t="shared" si="8"/>
        <v>sell</v>
      </c>
    </row>
    <row r="54" spans="1:32" s="349" customFormat="1" hidden="1" x14ac:dyDescent="0.2">
      <c r="A54" s="576" t="s">
        <v>278</v>
      </c>
      <c r="B54" s="455" t="s">
        <v>241</v>
      </c>
      <c r="C54" s="455" t="s">
        <v>280</v>
      </c>
      <c r="D54" s="705">
        <f t="shared" si="7"/>
        <v>-0.25</v>
      </c>
      <c r="E54" s="705"/>
      <c r="F54" s="633"/>
      <c r="G54" s="633"/>
      <c r="H54" s="633"/>
      <c r="I54" s="633"/>
      <c r="J54" s="633"/>
      <c r="K54" s="633"/>
      <c r="L54" s="739">
        <v>0</v>
      </c>
      <c r="M54" s="633"/>
      <c r="N54" s="633"/>
      <c r="O54" s="633"/>
      <c r="P54" s="633"/>
      <c r="Q54" s="633"/>
      <c r="R54" s="633"/>
      <c r="S54" s="633"/>
      <c r="T54" s="633"/>
      <c r="U54" s="633"/>
      <c r="V54" s="633"/>
      <c r="W54" s="633"/>
      <c r="X54" s="633"/>
      <c r="Y54" s="633"/>
      <c r="Z54" s="633"/>
      <c r="AA54" s="633"/>
      <c r="AB54" s="765"/>
      <c r="AC54" s="633"/>
      <c r="AD54" s="540">
        <f t="shared" si="4"/>
        <v>0</v>
      </c>
      <c r="AE54" s="458">
        <f t="shared" si="5"/>
        <v>0</v>
      </c>
      <c r="AF54" s="442" t="str">
        <f t="shared" si="8"/>
        <v>sell</v>
      </c>
    </row>
    <row r="55" spans="1:32" s="349" customFormat="1" hidden="1" x14ac:dyDescent="0.2">
      <c r="A55" s="576" t="s">
        <v>278</v>
      </c>
      <c r="B55" s="455" t="s">
        <v>241</v>
      </c>
      <c r="C55" s="455" t="s">
        <v>280</v>
      </c>
      <c r="D55" s="705">
        <f t="shared" si="7"/>
        <v>-0.25</v>
      </c>
      <c r="E55" s="705"/>
      <c r="F55" s="633"/>
      <c r="G55" s="633"/>
      <c r="H55" s="633"/>
      <c r="I55" s="633"/>
      <c r="J55" s="633"/>
      <c r="K55" s="633"/>
      <c r="L55" s="739"/>
      <c r="M55" s="633">
        <v>0</v>
      </c>
      <c r="N55" s="633"/>
      <c r="O55" s="633"/>
      <c r="P55" s="633"/>
      <c r="Q55" s="633"/>
      <c r="R55" s="633"/>
      <c r="S55" s="633"/>
      <c r="T55" s="633"/>
      <c r="U55" s="633"/>
      <c r="V55" s="633"/>
      <c r="W55" s="633"/>
      <c r="X55" s="633"/>
      <c r="Y55" s="633"/>
      <c r="Z55" s="633"/>
      <c r="AA55" s="633"/>
      <c r="AB55" s="765"/>
      <c r="AC55" s="633"/>
      <c r="AD55" s="540">
        <f t="shared" si="4"/>
        <v>0</v>
      </c>
      <c r="AE55" s="458">
        <f t="shared" si="5"/>
        <v>0</v>
      </c>
      <c r="AF55" s="442" t="str">
        <f t="shared" si="8"/>
        <v>sell</v>
      </c>
    </row>
    <row r="56" spans="1:32" s="349" customFormat="1" hidden="1" x14ac:dyDescent="0.2">
      <c r="A56" s="576" t="s">
        <v>278</v>
      </c>
      <c r="B56" s="455" t="s">
        <v>241</v>
      </c>
      <c r="C56" s="455" t="s">
        <v>280</v>
      </c>
      <c r="D56" s="705">
        <f t="shared" si="7"/>
        <v>-0.25</v>
      </c>
      <c r="E56" s="705"/>
      <c r="F56" s="633"/>
      <c r="G56" s="633"/>
      <c r="H56" s="633"/>
      <c r="I56" s="633"/>
      <c r="J56" s="633"/>
      <c r="K56" s="633"/>
      <c r="L56" s="739"/>
      <c r="M56" s="633"/>
      <c r="N56" s="633">
        <v>0</v>
      </c>
      <c r="O56" s="633"/>
      <c r="P56" s="633"/>
      <c r="Q56" s="633"/>
      <c r="R56" s="633"/>
      <c r="S56" s="633"/>
      <c r="T56" s="633"/>
      <c r="U56" s="633"/>
      <c r="V56" s="633"/>
      <c r="W56" s="633"/>
      <c r="X56" s="633"/>
      <c r="Y56" s="633"/>
      <c r="Z56" s="633"/>
      <c r="AA56" s="633"/>
      <c r="AB56" s="765"/>
      <c r="AC56" s="633"/>
      <c r="AD56" s="540">
        <f t="shared" si="4"/>
        <v>0</v>
      </c>
      <c r="AE56" s="458">
        <f t="shared" si="5"/>
        <v>0</v>
      </c>
      <c r="AF56" s="442" t="str">
        <f t="shared" si="8"/>
        <v>sell</v>
      </c>
    </row>
    <row r="57" spans="1:32" s="349" customFormat="1" hidden="1" x14ac:dyDescent="0.2">
      <c r="A57" s="576" t="s">
        <v>278</v>
      </c>
      <c r="B57" s="455" t="s">
        <v>241</v>
      </c>
      <c r="C57" s="455" t="s">
        <v>280</v>
      </c>
      <c r="D57" s="705">
        <f t="shared" si="7"/>
        <v>-0.25</v>
      </c>
      <c r="E57" s="705"/>
      <c r="F57" s="633"/>
      <c r="G57" s="633"/>
      <c r="H57" s="633"/>
      <c r="I57" s="633"/>
      <c r="J57" s="633"/>
      <c r="K57" s="633"/>
      <c r="L57" s="739"/>
      <c r="M57" s="633"/>
      <c r="N57" s="633"/>
      <c r="O57" s="633">
        <v>0</v>
      </c>
      <c r="P57" s="633"/>
      <c r="Q57" s="633"/>
      <c r="R57" s="633"/>
      <c r="S57" s="633"/>
      <c r="T57" s="633"/>
      <c r="U57" s="633"/>
      <c r="V57" s="633"/>
      <c r="W57" s="633"/>
      <c r="X57" s="633"/>
      <c r="Y57" s="633"/>
      <c r="Z57" s="633"/>
      <c r="AA57" s="633"/>
      <c r="AB57" s="765"/>
      <c r="AC57" s="633"/>
      <c r="AD57" s="540">
        <f t="shared" si="4"/>
        <v>0</v>
      </c>
      <c r="AE57" s="458">
        <f t="shared" si="5"/>
        <v>0</v>
      </c>
      <c r="AF57" s="442" t="str">
        <f t="shared" si="8"/>
        <v>sell</v>
      </c>
    </row>
    <row r="58" spans="1:32" s="349" customFormat="1" hidden="1" x14ac:dyDescent="0.2">
      <c r="A58" s="576" t="s">
        <v>278</v>
      </c>
      <c r="B58" s="455" t="s">
        <v>241</v>
      </c>
      <c r="C58" s="455" t="s">
        <v>280</v>
      </c>
      <c r="D58" s="705">
        <f t="shared" si="7"/>
        <v>-0.25</v>
      </c>
      <c r="E58" s="705"/>
      <c r="F58" s="633"/>
      <c r="G58" s="633"/>
      <c r="H58" s="633"/>
      <c r="I58" s="633"/>
      <c r="J58" s="633"/>
      <c r="K58" s="633"/>
      <c r="L58" s="739"/>
      <c r="M58" s="633"/>
      <c r="N58" s="633"/>
      <c r="O58" s="633"/>
      <c r="P58" s="633">
        <v>0</v>
      </c>
      <c r="Q58" s="633"/>
      <c r="R58" s="633"/>
      <c r="S58" s="633"/>
      <c r="T58" s="633"/>
      <c r="U58" s="633"/>
      <c r="V58" s="633"/>
      <c r="W58" s="633"/>
      <c r="X58" s="633"/>
      <c r="Y58" s="633"/>
      <c r="Z58" s="633"/>
      <c r="AA58" s="633"/>
      <c r="AB58" s="765"/>
      <c r="AC58" s="633"/>
      <c r="AD58" s="540">
        <f t="shared" si="4"/>
        <v>0</v>
      </c>
      <c r="AE58" s="458">
        <f t="shared" si="5"/>
        <v>0</v>
      </c>
      <c r="AF58" s="442" t="str">
        <f t="shared" si="8"/>
        <v>sell</v>
      </c>
    </row>
    <row r="59" spans="1:32" s="349" customFormat="1" hidden="1" x14ac:dyDescent="0.2">
      <c r="A59" s="576" t="s">
        <v>278</v>
      </c>
      <c r="B59" s="455" t="s">
        <v>241</v>
      </c>
      <c r="C59" s="455" t="s">
        <v>280</v>
      </c>
      <c r="D59" s="705">
        <f t="shared" si="7"/>
        <v>-0.25</v>
      </c>
      <c r="E59" s="705"/>
      <c r="F59" s="633"/>
      <c r="G59" s="633"/>
      <c r="H59" s="633"/>
      <c r="I59" s="633"/>
      <c r="J59" s="633"/>
      <c r="K59" s="633"/>
      <c r="L59" s="739"/>
      <c r="M59" s="633"/>
      <c r="N59" s="633"/>
      <c r="O59" s="633"/>
      <c r="P59" s="633"/>
      <c r="Q59" s="633">
        <v>0</v>
      </c>
      <c r="R59" s="633"/>
      <c r="S59" s="633"/>
      <c r="T59" s="633"/>
      <c r="U59" s="633"/>
      <c r="V59" s="633"/>
      <c r="W59" s="633"/>
      <c r="X59" s="633"/>
      <c r="Y59" s="633"/>
      <c r="Z59" s="633"/>
      <c r="AA59" s="633"/>
      <c r="AB59" s="765"/>
      <c r="AC59" s="633"/>
      <c r="AD59" s="540">
        <f t="shared" si="4"/>
        <v>0</v>
      </c>
      <c r="AE59" s="458">
        <f t="shared" si="5"/>
        <v>0</v>
      </c>
      <c r="AF59" s="442" t="str">
        <f t="shared" si="8"/>
        <v>sell</v>
      </c>
    </row>
    <row r="60" spans="1:32" s="349" customFormat="1" hidden="1" x14ac:dyDescent="0.2">
      <c r="A60" s="576" t="s">
        <v>278</v>
      </c>
      <c r="B60" s="455" t="s">
        <v>241</v>
      </c>
      <c r="C60" s="455" t="s">
        <v>280</v>
      </c>
      <c r="D60" s="705">
        <f t="shared" si="7"/>
        <v>-0.25</v>
      </c>
      <c r="E60" s="705"/>
      <c r="F60" s="633"/>
      <c r="G60" s="633"/>
      <c r="H60" s="633"/>
      <c r="I60" s="633"/>
      <c r="J60" s="633"/>
      <c r="K60" s="633"/>
      <c r="L60" s="739"/>
      <c r="M60" s="633"/>
      <c r="N60" s="633"/>
      <c r="O60" s="633"/>
      <c r="P60" s="633"/>
      <c r="Q60" s="633"/>
      <c r="R60" s="633">
        <v>0</v>
      </c>
      <c r="S60" s="633"/>
      <c r="T60" s="633"/>
      <c r="U60" s="633"/>
      <c r="V60" s="633"/>
      <c r="W60" s="633"/>
      <c r="X60" s="633"/>
      <c r="Y60" s="633"/>
      <c r="Z60" s="633"/>
      <c r="AA60" s="633"/>
      <c r="AB60" s="765"/>
      <c r="AC60" s="633"/>
      <c r="AD60" s="540">
        <f t="shared" si="4"/>
        <v>0</v>
      </c>
      <c r="AE60" s="458">
        <f t="shared" si="5"/>
        <v>0</v>
      </c>
      <c r="AF60" s="442" t="str">
        <f t="shared" si="8"/>
        <v>sell</v>
      </c>
    </row>
    <row r="61" spans="1:32" s="349" customFormat="1" hidden="1" x14ac:dyDescent="0.2">
      <c r="A61" s="576" t="s">
        <v>278</v>
      </c>
      <c r="B61" s="455" t="s">
        <v>241</v>
      </c>
      <c r="C61" s="455" t="s">
        <v>280</v>
      </c>
      <c r="D61" s="705">
        <f t="shared" si="7"/>
        <v>-0.25</v>
      </c>
      <c r="E61" s="705"/>
      <c r="F61" s="633"/>
      <c r="G61" s="633"/>
      <c r="H61" s="633"/>
      <c r="I61" s="633"/>
      <c r="J61" s="633"/>
      <c r="K61" s="633"/>
      <c r="L61" s="739"/>
      <c r="M61" s="633"/>
      <c r="N61" s="633"/>
      <c r="O61" s="633"/>
      <c r="P61" s="633"/>
      <c r="Q61" s="633"/>
      <c r="R61" s="633"/>
      <c r="S61" s="633">
        <v>0</v>
      </c>
      <c r="T61" s="633"/>
      <c r="U61" s="633"/>
      <c r="V61" s="633"/>
      <c r="W61" s="633"/>
      <c r="X61" s="633"/>
      <c r="Y61" s="633"/>
      <c r="Z61" s="633"/>
      <c r="AA61" s="633"/>
      <c r="AB61" s="765"/>
      <c r="AC61" s="633"/>
      <c r="AD61" s="540">
        <f t="shared" si="4"/>
        <v>0</v>
      </c>
      <c r="AE61" s="458">
        <f t="shared" si="5"/>
        <v>0</v>
      </c>
      <c r="AF61" s="442" t="str">
        <f t="shared" si="8"/>
        <v>sell</v>
      </c>
    </row>
    <row r="62" spans="1:32" s="349" customFormat="1" hidden="1" x14ac:dyDescent="0.2">
      <c r="A62" s="576" t="s">
        <v>278</v>
      </c>
      <c r="B62" s="455" t="s">
        <v>241</v>
      </c>
      <c r="C62" s="455" t="s">
        <v>280</v>
      </c>
      <c r="D62" s="705">
        <f t="shared" si="7"/>
        <v>-0.25</v>
      </c>
      <c r="E62" s="705"/>
      <c r="F62" s="633"/>
      <c r="G62" s="633"/>
      <c r="H62" s="633"/>
      <c r="I62" s="633"/>
      <c r="J62" s="633"/>
      <c r="K62" s="633"/>
      <c r="L62" s="739"/>
      <c r="M62" s="633"/>
      <c r="N62" s="633"/>
      <c r="O62" s="633"/>
      <c r="P62" s="633"/>
      <c r="Q62" s="633"/>
      <c r="R62" s="633"/>
      <c r="S62" s="633"/>
      <c r="T62" s="633">
        <v>0</v>
      </c>
      <c r="U62" s="633"/>
      <c r="V62" s="633"/>
      <c r="W62" s="633"/>
      <c r="X62" s="633"/>
      <c r="Y62" s="633"/>
      <c r="Z62" s="633"/>
      <c r="AA62" s="633"/>
      <c r="AB62" s="765"/>
      <c r="AC62" s="633"/>
      <c r="AD62" s="540">
        <f t="shared" si="4"/>
        <v>0</v>
      </c>
      <c r="AE62" s="458">
        <f t="shared" si="5"/>
        <v>0</v>
      </c>
      <c r="AF62" s="442" t="str">
        <f t="shared" si="8"/>
        <v>sell</v>
      </c>
    </row>
    <row r="63" spans="1:32" s="349" customFormat="1" hidden="1" x14ac:dyDescent="0.2">
      <c r="A63" s="576" t="s">
        <v>278</v>
      </c>
      <c r="B63" s="455" t="s">
        <v>241</v>
      </c>
      <c r="C63" s="455" t="s">
        <v>280</v>
      </c>
      <c r="D63" s="705">
        <f t="shared" si="7"/>
        <v>-0.25</v>
      </c>
      <c r="E63" s="705"/>
      <c r="F63" s="633"/>
      <c r="G63" s="633"/>
      <c r="H63" s="633"/>
      <c r="I63" s="633"/>
      <c r="J63" s="633"/>
      <c r="K63" s="633"/>
      <c r="L63" s="739"/>
      <c r="M63" s="633"/>
      <c r="N63" s="633"/>
      <c r="O63" s="633"/>
      <c r="P63" s="633"/>
      <c r="Q63" s="633"/>
      <c r="R63" s="633"/>
      <c r="S63" s="633"/>
      <c r="T63" s="633"/>
      <c r="U63" s="633">
        <v>0</v>
      </c>
      <c r="V63" s="633"/>
      <c r="W63" s="633"/>
      <c r="X63" s="633"/>
      <c r="Y63" s="633"/>
      <c r="Z63" s="633"/>
      <c r="AA63" s="633"/>
      <c r="AB63" s="765"/>
      <c r="AC63" s="633"/>
      <c r="AD63" s="540">
        <f t="shared" si="4"/>
        <v>0</v>
      </c>
      <c r="AE63" s="458">
        <f t="shared" si="5"/>
        <v>0</v>
      </c>
      <c r="AF63" s="442" t="str">
        <f t="shared" si="8"/>
        <v>sell</v>
      </c>
    </row>
    <row r="64" spans="1:32" s="349" customFormat="1" hidden="1" x14ac:dyDescent="0.2">
      <c r="A64" s="576" t="s">
        <v>278</v>
      </c>
      <c r="B64" s="455" t="s">
        <v>241</v>
      </c>
      <c r="C64" s="455" t="s">
        <v>280</v>
      </c>
      <c r="D64" s="705">
        <f t="shared" si="7"/>
        <v>-0.25</v>
      </c>
      <c r="E64" s="705"/>
      <c r="F64" s="633"/>
      <c r="G64" s="633"/>
      <c r="H64" s="633"/>
      <c r="I64" s="633"/>
      <c r="J64" s="633"/>
      <c r="K64" s="633"/>
      <c r="L64" s="739"/>
      <c r="M64" s="633"/>
      <c r="N64" s="633"/>
      <c r="O64" s="633"/>
      <c r="P64" s="633"/>
      <c r="Q64" s="633"/>
      <c r="R64" s="633"/>
      <c r="S64" s="633"/>
      <c r="T64" s="633"/>
      <c r="U64" s="633"/>
      <c r="V64" s="633">
        <v>0</v>
      </c>
      <c r="W64" s="633"/>
      <c r="X64" s="633"/>
      <c r="Y64" s="633"/>
      <c r="Z64" s="633"/>
      <c r="AA64" s="633"/>
      <c r="AB64" s="765"/>
      <c r="AC64" s="633"/>
      <c r="AD64" s="540">
        <f t="shared" si="4"/>
        <v>0</v>
      </c>
      <c r="AE64" s="458">
        <f t="shared" si="5"/>
        <v>0</v>
      </c>
      <c r="AF64" s="442" t="str">
        <f t="shared" si="8"/>
        <v>sell</v>
      </c>
    </row>
    <row r="65" spans="1:32" s="349" customFormat="1" hidden="1" x14ac:dyDescent="0.2">
      <c r="A65" s="576" t="s">
        <v>278</v>
      </c>
      <c r="B65" s="455" t="s">
        <v>241</v>
      </c>
      <c r="C65" s="455" t="s">
        <v>280</v>
      </c>
      <c r="D65" s="705">
        <f t="shared" si="7"/>
        <v>-0.25</v>
      </c>
      <c r="E65" s="705"/>
      <c r="F65" s="633"/>
      <c r="G65" s="633"/>
      <c r="H65" s="633"/>
      <c r="I65" s="633"/>
      <c r="J65" s="633"/>
      <c r="K65" s="633"/>
      <c r="L65" s="739"/>
      <c r="M65" s="633"/>
      <c r="N65" s="633"/>
      <c r="O65" s="633"/>
      <c r="P65" s="633"/>
      <c r="Q65" s="633"/>
      <c r="R65" s="633"/>
      <c r="S65" s="633"/>
      <c r="T65" s="633"/>
      <c r="U65" s="633"/>
      <c r="V65" s="633"/>
      <c r="W65" s="633">
        <v>0</v>
      </c>
      <c r="X65" s="633"/>
      <c r="Y65" s="633"/>
      <c r="Z65" s="633"/>
      <c r="AA65" s="633"/>
      <c r="AB65" s="765"/>
      <c r="AC65" s="633"/>
      <c r="AD65" s="540">
        <f t="shared" si="4"/>
        <v>0</v>
      </c>
      <c r="AE65" s="458">
        <f t="shared" si="5"/>
        <v>0</v>
      </c>
      <c r="AF65" s="442" t="str">
        <f t="shared" si="8"/>
        <v>sell</v>
      </c>
    </row>
    <row r="66" spans="1:32" s="349" customFormat="1" hidden="1" x14ac:dyDescent="0.2">
      <c r="A66" s="576" t="s">
        <v>278</v>
      </c>
      <c r="B66" s="455" t="s">
        <v>241</v>
      </c>
      <c r="C66" s="455" t="s">
        <v>280</v>
      </c>
      <c r="D66" s="705">
        <f t="shared" si="7"/>
        <v>-0.25</v>
      </c>
      <c r="E66" s="705"/>
      <c r="F66" s="633"/>
      <c r="G66" s="633"/>
      <c r="H66" s="633"/>
      <c r="I66" s="633"/>
      <c r="J66" s="633"/>
      <c r="K66" s="633"/>
      <c r="L66" s="739"/>
      <c r="M66" s="633"/>
      <c r="N66" s="633"/>
      <c r="O66" s="633"/>
      <c r="P66" s="633"/>
      <c r="Q66" s="633"/>
      <c r="R66" s="633"/>
      <c r="S66" s="633"/>
      <c r="T66" s="633"/>
      <c r="U66" s="633"/>
      <c r="V66" s="633"/>
      <c r="W66" s="633"/>
      <c r="X66" s="633">
        <v>0</v>
      </c>
      <c r="Y66" s="633"/>
      <c r="Z66" s="633"/>
      <c r="AA66" s="633"/>
      <c r="AB66" s="765"/>
      <c r="AC66" s="633"/>
      <c r="AD66" s="540">
        <f t="shared" si="4"/>
        <v>0</v>
      </c>
      <c r="AE66" s="458">
        <f t="shared" si="5"/>
        <v>0</v>
      </c>
      <c r="AF66" s="442" t="str">
        <f t="shared" si="8"/>
        <v>sell</v>
      </c>
    </row>
    <row r="67" spans="1:32" s="349" customFormat="1" hidden="1" x14ac:dyDescent="0.2">
      <c r="A67" s="576" t="s">
        <v>278</v>
      </c>
      <c r="B67" s="455" t="s">
        <v>241</v>
      </c>
      <c r="C67" s="455" t="s">
        <v>280</v>
      </c>
      <c r="D67" s="705">
        <f t="shared" si="7"/>
        <v>-0.25</v>
      </c>
      <c r="E67" s="705"/>
      <c r="F67" s="633"/>
      <c r="G67" s="633"/>
      <c r="H67" s="633"/>
      <c r="I67" s="633"/>
      <c r="J67" s="633"/>
      <c r="K67" s="633"/>
      <c r="L67" s="739"/>
      <c r="M67" s="633"/>
      <c r="N67" s="633"/>
      <c r="O67" s="633"/>
      <c r="P67" s="633"/>
      <c r="Q67" s="633"/>
      <c r="R67" s="633"/>
      <c r="S67" s="633"/>
      <c r="T67" s="633"/>
      <c r="U67" s="633"/>
      <c r="V67" s="633"/>
      <c r="W67" s="633"/>
      <c r="X67" s="633"/>
      <c r="Y67" s="633">
        <v>0</v>
      </c>
      <c r="Z67" s="633"/>
      <c r="AA67" s="633"/>
      <c r="AB67" s="765"/>
      <c r="AC67" s="633"/>
      <c r="AD67" s="540">
        <f t="shared" si="4"/>
        <v>0</v>
      </c>
      <c r="AE67" s="458">
        <f t="shared" si="5"/>
        <v>0</v>
      </c>
      <c r="AF67" s="442" t="str">
        <f t="shared" si="8"/>
        <v>sell</v>
      </c>
    </row>
    <row r="68" spans="1:32" s="349" customFormat="1" hidden="1" x14ac:dyDescent="0.2">
      <c r="A68" s="576" t="s">
        <v>278</v>
      </c>
      <c r="B68" s="455" t="s">
        <v>241</v>
      </c>
      <c r="C68" s="455" t="s">
        <v>280</v>
      </c>
      <c r="D68" s="705">
        <f t="shared" si="7"/>
        <v>-0.25</v>
      </c>
      <c r="E68" s="705"/>
      <c r="F68" s="633"/>
      <c r="G68" s="633"/>
      <c r="H68" s="633"/>
      <c r="I68" s="633"/>
      <c r="J68" s="633"/>
      <c r="K68" s="633"/>
      <c r="L68" s="739"/>
      <c r="M68" s="633"/>
      <c r="N68" s="633"/>
      <c r="O68" s="633"/>
      <c r="P68" s="633"/>
      <c r="Q68" s="633"/>
      <c r="R68" s="633"/>
      <c r="S68" s="633"/>
      <c r="T68" s="633"/>
      <c r="U68" s="633"/>
      <c r="V68" s="633"/>
      <c r="W68" s="633"/>
      <c r="X68" s="633"/>
      <c r="Y68" s="633"/>
      <c r="Z68" s="633">
        <v>0</v>
      </c>
      <c r="AA68" s="633"/>
      <c r="AB68" s="765"/>
      <c r="AC68" s="633"/>
      <c r="AD68" s="540">
        <f t="shared" si="4"/>
        <v>0</v>
      </c>
      <c r="AE68" s="458">
        <f t="shared" si="5"/>
        <v>0</v>
      </c>
      <c r="AF68" s="442" t="str">
        <f t="shared" si="8"/>
        <v>sell</v>
      </c>
    </row>
    <row r="69" spans="1:32" s="349" customFormat="1" hidden="1" x14ac:dyDescent="0.2">
      <c r="A69" s="576" t="s">
        <v>278</v>
      </c>
      <c r="B69" s="455" t="s">
        <v>241</v>
      </c>
      <c r="C69" s="455" t="s">
        <v>280</v>
      </c>
      <c r="D69" s="705">
        <f t="shared" si="7"/>
        <v>-0.25</v>
      </c>
      <c r="E69" s="705"/>
      <c r="F69" s="633"/>
      <c r="G69" s="633"/>
      <c r="H69" s="633"/>
      <c r="I69" s="633"/>
      <c r="J69" s="633"/>
      <c r="K69" s="633"/>
      <c r="L69" s="739"/>
      <c r="M69" s="633"/>
      <c r="N69" s="633"/>
      <c r="O69" s="633"/>
      <c r="P69" s="633"/>
      <c r="Q69" s="633"/>
      <c r="R69" s="633"/>
      <c r="S69" s="633"/>
      <c r="T69" s="633"/>
      <c r="U69" s="633"/>
      <c r="V69" s="633"/>
      <c r="W69" s="633"/>
      <c r="X69" s="633"/>
      <c r="Y69" s="633"/>
      <c r="Z69" s="633"/>
      <c r="AA69" s="633">
        <v>0</v>
      </c>
      <c r="AB69" s="765"/>
      <c r="AC69" s="633"/>
      <c r="AD69" s="540">
        <f t="shared" si="4"/>
        <v>0</v>
      </c>
      <c r="AE69" s="458">
        <f t="shared" si="5"/>
        <v>0</v>
      </c>
      <c r="AF69" s="442" t="str">
        <f t="shared" si="8"/>
        <v>sell</v>
      </c>
    </row>
    <row r="70" spans="1:32" s="349" customFormat="1" hidden="1" x14ac:dyDescent="0.2">
      <c r="A70" s="576" t="s">
        <v>278</v>
      </c>
      <c r="B70" s="455" t="s">
        <v>241</v>
      </c>
      <c r="C70" s="455" t="s">
        <v>280</v>
      </c>
      <c r="D70" s="705">
        <f t="shared" si="7"/>
        <v>-0.25</v>
      </c>
      <c r="E70" s="705"/>
      <c r="F70" s="633"/>
      <c r="G70" s="633"/>
      <c r="H70" s="633"/>
      <c r="I70" s="633"/>
      <c r="J70" s="633"/>
      <c r="K70" s="633"/>
      <c r="L70" s="739"/>
      <c r="M70" s="633"/>
      <c r="N70" s="633"/>
      <c r="O70" s="633"/>
      <c r="P70" s="633"/>
      <c r="Q70" s="633"/>
      <c r="R70" s="633"/>
      <c r="S70" s="633"/>
      <c r="T70" s="633"/>
      <c r="U70" s="633"/>
      <c r="V70" s="633"/>
      <c r="W70" s="633"/>
      <c r="X70" s="633"/>
      <c r="Y70" s="633"/>
      <c r="Z70" s="633"/>
      <c r="AA70" s="633"/>
      <c r="AB70" s="765">
        <v>0</v>
      </c>
      <c r="AC70" s="633"/>
      <c r="AD70" s="540">
        <f t="shared" si="4"/>
        <v>0</v>
      </c>
      <c r="AE70" s="458">
        <f t="shared" si="5"/>
        <v>0</v>
      </c>
      <c r="AF70" s="442" t="str">
        <f t="shared" si="8"/>
        <v>sell</v>
      </c>
    </row>
    <row r="71" spans="1:32" s="349" customFormat="1" hidden="1" x14ac:dyDescent="0.2">
      <c r="A71" s="576"/>
      <c r="B71" s="455"/>
      <c r="C71" s="455"/>
      <c r="D71" s="705"/>
      <c r="E71" s="705"/>
      <c r="F71" s="633"/>
      <c r="G71" s="677"/>
      <c r="H71" s="633"/>
      <c r="I71" s="633"/>
      <c r="J71" s="633"/>
      <c r="K71" s="633"/>
      <c r="L71" s="739"/>
      <c r="M71" s="633"/>
      <c r="N71" s="633"/>
      <c r="O71" s="633"/>
      <c r="P71" s="633"/>
      <c r="Q71" s="633"/>
      <c r="R71" s="633"/>
      <c r="S71" s="633"/>
      <c r="T71" s="633"/>
      <c r="U71" s="633"/>
      <c r="V71" s="633"/>
      <c r="W71" s="633"/>
      <c r="X71" s="633"/>
      <c r="Y71" s="633"/>
      <c r="Z71" s="633"/>
      <c r="AA71" s="633"/>
      <c r="AB71" s="765"/>
      <c r="AC71" s="633"/>
      <c r="AD71" s="541">
        <f t="shared" si="4"/>
        <v>0</v>
      </c>
      <c r="AE71" s="531">
        <f t="shared" si="5"/>
        <v>0</v>
      </c>
      <c r="AF71" s="494" t="str">
        <f t="shared" si="8"/>
        <v>sell</v>
      </c>
    </row>
    <row r="72" spans="1:32" s="349" customFormat="1" ht="12.75" customHeight="1" x14ac:dyDescent="0.2">
      <c r="A72" s="588"/>
      <c r="B72" s="589"/>
      <c r="C72" s="589"/>
      <c r="D72" s="706"/>
      <c r="E72" s="706" t="s">
        <v>15</v>
      </c>
      <c r="F72" s="632"/>
      <c r="G72" s="677"/>
      <c r="H72" s="633"/>
      <c r="I72" s="633"/>
      <c r="J72" s="633"/>
      <c r="K72" s="633"/>
      <c r="L72" s="739"/>
      <c r="M72" s="633"/>
      <c r="N72" s="633"/>
      <c r="O72" s="633"/>
      <c r="P72" s="633"/>
      <c r="Q72" s="633"/>
      <c r="R72" s="633"/>
      <c r="S72" s="633"/>
      <c r="T72" s="633"/>
      <c r="U72" s="633"/>
      <c r="V72" s="633"/>
      <c r="W72" s="633"/>
      <c r="X72" s="633"/>
      <c r="Y72" s="633"/>
      <c r="Z72" s="633"/>
      <c r="AA72" s="633"/>
      <c r="AB72" s="765"/>
      <c r="AC72" s="632"/>
      <c r="AD72" s="541">
        <f>SUM(F72:AC72)</f>
        <v>0</v>
      </c>
      <c r="AE72" s="531">
        <f t="shared" si="5"/>
        <v>0</v>
      </c>
      <c r="AF72" s="494" t="str">
        <f t="shared" ref="AF72:AF91" si="9">IF(AD72&lt;0,"buy","sell")</f>
        <v>sell</v>
      </c>
    </row>
    <row r="73" spans="1:32" s="349" customFormat="1" ht="11.25" customHeight="1" x14ac:dyDescent="0.2">
      <c r="A73" s="576" t="s">
        <v>225</v>
      </c>
      <c r="B73" s="590" t="s">
        <v>241</v>
      </c>
      <c r="C73" s="590" t="s">
        <v>152</v>
      </c>
      <c r="D73" s="733">
        <v>221.25</v>
      </c>
      <c r="E73" s="707"/>
      <c r="F73" s="632"/>
      <c r="G73" s="632"/>
      <c r="H73" s="632"/>
      <c r="I73" s="632"/>
      <c r="J73" s="632"/>
      <c r="K73" s="632"/>
      <c r="L73" s="632">
        <v>65</v>
      </c>
      <c r="M73" s="632">
        <v>65</v>
      </c>
      <c r="N73" s="632">
        <v>65</v>
      </c>
      <c r="O73" s="632">
        <v>65</v>
      </c>
      <c r="P73" s="632">
        <v>65</v>
      </c>
      <c r="Q73" s="632">
        <v>65</v>
      </c>
      <c r="R73" s="632">
        <v>65</v>
      </c>
      <c r="S73" s="632">
        <v>65</v>
      </c>
      <c r="T73" s="632">
        <v>65</v>
      </c>
      <c r="U73" s="632">
        <v>65</v>
      </c>
      <c r="V73" s="632">
        <v>65</v>
      </c>
      <c r="W73" s="632">
        <v>65</v>
      </c>
      <c r="X73" s="632">
        <v>65</v>
      </c>
      <c r="Y73" s="632">
        <v>65</v>
      </c>
      <c r="Z73" s="632">
        <v>65</v>
      </c>
      <c r="AA73" s="632">
        <v>65</v>
      </c>
      <c r="AB73" s="764"/>
      <c r="AC73" s="632"/>
      <c r="AD73" s="541">
        <f t="shared" ref="AD73:AD78" si="10">SUM(E73:AC73)</f>
        <v>1040</v>
      </c>
      <c r="AE73" s="531">
        <f t="shared" ref="AE73:AE91" si="11">AD73*D73</f>
        <v>230100</v>
      </c>
      <c r="AF73" s="494" t="str">
        <f t="shared" si="9"/>
        <v>sell</v>
      </c>
    </row>
    <row r="74" spans="1:32" s="349" customFormat="1" ht="11.25" customHeight="1" x14ac:dyDescent="0.2">
      <c r="A74" s="576" t="s">
        <v>375</v>
      </c>
      <c r="B74" s="590" t="s">
        <v>241</v>
      </c>
      <c r="C74" s="590" t="s">
        <v>152</v>
      </c>
      <c r="D74" s="733">
        <v>47</v>
      </c>
      <c r="E74" s="707"/>
      <c r="F74" s="632">
        <v>75</v>
      </c>
      <c r="G74" s="632">
        <v>75</v>
      </c>
      <c r="H74" s="632">
        <v>75</v>
      </c>
      <c r="I74" s="632">
        <v>75</v>
      </c>
      <c r="J74" s="632">
        <v>75</v>
      </c>
      <c r="K74" s="632">
        <v>75</v>
      </c>
      <c r="L74" s="740"/>
      <c r="M74" s="632"/>
      <c r="N74" s="632"/>
      <c r="O74" s="632"/>
      <c r="P74" s="632"/>
      <c r="Q74" s="632"/>
      <c r="R74" s="632"/>
      <c r="S74" s="632"/>
      <c r="T74" s="632"/>
      <c r="U74" s="632"/>
      <c r="V74" s="632"/>
      <c r="W74" s="632"/>
      <c r="X74" s="632"/>
      <c r="Y74" s="632"/>
      <c r="Z74" s="632"/>
      <c r="AA74" s="632"/>
      <c r="AB74" s="632">
        <v>75</v>
      </c>
      <c r="AC74" s="632">
        <v>75</v>
      </c>
      <c r="AD74" s="541">
        <f t="shared" si="10"/>
        <v>600</v>
      </c>
      <c r="AE74" s="531">
        <f t="shared" si="11"/>
        <v>28200</v>
      </c>
      <c r="AF74" s="494" t="str">
        <f t="shared" si="9"/>
        <v>sell</v>
      </c>
    </row>
    <row r="75" spans="1:32" s="349" customFormat="1" ht="11.25" customHeight="1" x14ac:dyDescent="0.2">
      <c r="A75" s="576" t="s">
        <v>375</v>
      </c>
      <c r="B75" s="590" t="s">
        <v>241</v>
      </c>
      <c r="C75" s="590" t="s">
        <v>152</v>
      </c>
      <c r="D75" s="733">
        <v>110</v>
      </c>
      <c r="E75" s="707"/>
      <c r="F75" s="632">
        <v>25</v>
      </c>
      <c r="G75" s="632">
        <v>25</v>
      </c>
      <c r="H75" s="632">
        <v>25</v>
      </c>
      <c r="I75" s="632">
        <v>25</v>
      </c>
      <c r="J75" s="632">
        <v>25</v>
      </c>
      <c r="K75" s="632">
        <v>25</v>
      </c>
      <c r="L75" s="740"/>
      <c r="M75" s="632"/>
      <c r="N75" s="632"/>
      <c r="O75" s="632"/>
      <c r="P75" s="632"/>
      <c r="Q75" s="632"/>
      <c r="R75" s="632"/>
      <c r="S75" s="632"/>
      <c r="T75" s="632"/>
      <c r="U75" s="632"/>
      <c r="V75" s="632"/>
      <c r="W75" s="632"/>
      <c r="X75" s="632"/>
      <c r="Y75" s="632"/>
      <c r="Z75" s="632"/>
      <c r="AA75" s="632"/>
      <c r="AB75" s="632">
        <v>25</v>
      </c>
      <c r="AC75" s="632">
        <v>25</v>
      </c>
      <c r="AD75" s="541">
        <f t="shared" si="10"/>
        <v>200</v>
      </c>
      <c r="AE75" s="531">
        <f t="shared" si="11"/>
        <v>22000</v>
      </c>
      <c r="AF75" s="494" t="str">
        <f t="shared" si="9"/>
        <v>sell</v>
      </c>
    </row>
    <row r="76" spans="1:32" s="349" customFormat="1" ht="11.25" customHeight="1" x14ac:dyDescent="0.2">
      <c r="A76" s="576" t="s">
        <v>376</v>
      </c>
      <c r="B76" s="590" t="s">
        <v>241</v>
      </c>
      <c r="C76" s="590" t="s">
        <v>152</v>
      </c>
      <c r="D76" s="733">
        <v>47</v>
      </c>
      <c r="E76" s="707"/>
      <c r="F76" s="632">
        <v>25</v>
      </c>
      <c r="G76" s="632">
        <v>25</v>
      </c>
      <c r="H76" s="632">
        <v>25</v>
      </c>
      <c r="I76" s="632">
        <v>25</v>
      </c>
      <c r="J76" s="632">
        <v>25</v>
      </c>
      <c r="K76" s="632">
        <v>25</v>
      </c>
      <c r="L76" s="740"/>
      <c r="M76" s="632"/>
      <c r="N76" s="632"/>
      <c r="O76" s="632"/>
      <c r="P76" s="632"/>
      <c r="Q76" s="632"/>
      <c r="R76" s="632"/>
      <c r="S76" s="632"/>
      <c r="T76" s="632"/>
      <c r="U76" s="632"/>
      <c r="V76" s="632"/>
      <c r="W76" s="632"/>
      <c r="X76" s="632"/>
      <c r="Y76" s="632"/>
      <c r="Z76" s="632"/>
      <c r="AA76" s="632"/>
      <c r="AB76" s="632">
        <v>25</v>
      </c>
      <c r="AC76" s="632">
        <v>25</v>
      </c>
      <c r="AD76" s="541">
        <f t="shared" si="10"/>
        <v>200</v>
      </c>
      <c r="AE76" s="531">
        <f t="shared" si="11"/>
        <v>9400</v>
      </c>
      <c r="AF76" s="494" t="str">
        <f t="shared" si="9"/>
        <v>sell</v>
      </c>
    </row>
    <row r="77" spans="1:32" s="349" customFormat="1" ht="11.25" customHeight="1" x14ac:dyDescent="0.2">
      <c r="A77" s="576" t="s">
        <v>377</v>
      </c>
      <c r="B77" s="590" t="s">
        <v>241</v>
      </c>
      <c r="C77" s="590" t="s">
        <v>152</v>
      </c>
      <c r="D77" s="733">
        <v>110</v>
      </c>
      <c r="E77" s="707"/>
      <c r="F77" s="632">
        <v>2</v>
      </c>
      <c r="G77" s="632">
        <v>2</v>
      </c>
      <c r="H77" s="632">
        <v>2</v>
      </c>
      <c r="I77" s="632">
        <v>2</v>
      </c>
      <c r="J77" s="632">
        <v>2</v>
      </c>
      <c r="K77" s="632">
        <v>2</v>
      </c>
      <c r="L77" s="740"/>
      <c r="M77" s="632"/>
      <c r="N77" s="632"/>
      <c r="O77" s="632"/>
      <c r="P77" s="632"/>
      <c r="Q77" s="632"/>
      <c r="R77" s="632"/>
      <c r="S77" s="632"/>
      <c r="T77" s="632"/>
      <c r="U77" s="632"/>
      <c r="V77" s="632"/>
      <c r="W77" s="632"/>
      <c r="X77" s="632"/>
      <c r="Y77" s="632"/>
      <c r="Z77" s="632"/>
      <c r="AA77" s="632"/>
      <c r="AB77" s="632">
        <v>2</v>
      </c>
      <c r="AC77" s="632">
        <v>2</v>
      </c>
      <c r="AD77" s="541">
        <f t="shared" si="10"/>
        <v>16</v>
      </c>
      <c r="AE77" s="531">
        <f t="shared" si="11"/>
        <v>1760</v>
      </c>
      <c r="AF77" s="494" t="str">
        <f t="shared" si="9"/>
        <v>sell</v>
      </c>
    </row>
    <row r="78" spans="1:32" s="349" customFormat="1" ht="11.25" customHeight="1" x14ac:dyDescent="0.2">
      <c r="A78" s="576" t="s">
        <v>378</v>
      </c>
      <c r="B78" s="590" t="s">
        <v>241</v>
      </c>
      <c r="C78" s="590" t="s">
        <v>152</v>
      </c>
      <c r="D78" s="733">
        <v>221.25</v>
      </c>
      <c r="E78" s="707"/>
      <c r="F78" s="632"/>
      <c r="G78" s="632"/>
      <c r="H78" s="632"/>
      <c r="I78" s="632"/>
      <c r="J78" s="632"/>
      <c r="K78" s="632"/>
      <c r="L78" s="740">
        <v>25</v>
      </c>
      <c r="M78" s="740">
        <v>25</v>
      </c>
      <c r="N78" s="740">
        <v>25</v>
      </c>
      <c r="O78" s="740">
        <v>25</v>
      </c>
      <c r="P78" s="740">
        <v>25</v>
      </c>
      <c r="Q78" s="740">
        <v>25</v>
      </c>
      <c r="R78" s="740">
        <v>25</v>
      </c>
      <c r="S78" s="740">
        <v>25</v>
      </c>
      <c r="T78" s="740">
        <v>25</v>
      </c>
      <c r="U78" s="740">
        <v>25</v>
      </c>
      <c r="V78" s="740">
        <v>25</v>
      </c>
      <c r="W78" s="740">
        <v>25</v>
      </c>
      <c r="X78" s="740">
        <v>25</v>
      </c>
      <c r="Y78" s="740">
        <v>25</v>
      </c>
      <c r="Z78" s="740">
        <v>25</v>
      </c>
      <c r="AA78" s="740">
        <v>25</v>
      </c>
      <c r="AB78" s="632"/>
      <c r="AC78" s="632"/>
      <c r="AD78" s="541">
        <f t="shared" si="10"/>
        <v>400</v>
      </c>
      <c r="AE78" s="531">
        <f t="shared" si="11"/>
        <v>88500</v>
      </c>
      <c r="AF78" s="494" t="str">
        <f t="shared" si="9"/>
        <v>sell</v>
      </c>
    </row>
    <row r="79" spans="1:32" s="349" customFormat="1" ht="12.75" customHeight="1" x14ac:dyDescent="0.2">
      <c r="A79" s="576" t="s">
        <v>368</v>
      </c>
      <c r="B79" s="590" t="s">
        <v>241</v>
      </c>
      <c r="C79" s="590" t="s">
        <v>152</v>
      </c>
      <c r="D79" s="733">
        <v>330</v>
      </c>
      <c r="E79" s="707"/>
      <c r="F79" s="632"/>
      <c r="G79" s="700"/>
      <c r="H79" s="700"/>
      <c r="I79" s="700"/>
      <c r="J79" s="700"/>
      <c r="K79" s="700"/>
      <c r="L79" s="741">
        <v>25</v>
      </c>
      <c r="M79" s="700">
        <v>25</v>
      </c>
      <c r="N79" s="700">
        <v>25</v>
      </c>
      <c r="O79" s="700">
        <v>25</v>
      </c>
      <c r="P79" s="700">
        <v>25</v>
      </c>
      <c r="Q79" s="700">
        <v>25</v>
      </c>
      <c r="R79" s="700">
        <v>25</v>
      </c>
      <c r="S79" s="700">
        <v>25</v>
      </c>
      <c r="T79" s="700">
        <v>25</v>
      </c>
      <c r="U79" s="700">
        <v>25</v>
      </c>
      <c r="V79" s="700">
        <v>25</v>
      </c>
      <c r="W79" s="700">
        <v>25</v>
      </c>
      <c r="X79" s="700">
        <v>25</v>
      </c>
      <c r="Y79" s="700">
        <v>25</v>
      </c>
      <c r="Z79" s="700">
        <v>25</v>
      </c>
      <c r="AA79" s="700">
        <v>25</v>
      </c>
      <c r="AB79" s="700"/>
      <c r="AC79" s="700"/>
      <c r="AD79" s="541">
        <f t="shared" ref="AD79:AD95" si="12">SUM(E79:AC79)</f>
        <v>400</v>
      </c>
      <c r="AE79" s="531">
        <f t="shared" si="11"/>
        <v>132000</v>
      </c>
      <c r="AF79" s="494" t="str">
        <f t="shared" si="9"/>
        <v>sell</v>
      </c>
    </row>
    <row r="80" spans="1:32" s="349" customFormat="1" ht="12.75" customHeight="1" x14ac:dyDescent="0.2">
      <c r="A80" s="576" t="s">
        <v>368</v>
      </c>
      <c r="B80" s="590" t="s">
        <v>241</v>
      </c>
      <c r="C80" s="590" t="s">
        <v>152</v>
      </c>
      <c r="D80" s="733">
        <v>330</v>
      </c>
      <c r="E80" s="707"/>
      <c r="F80" s="632"/>
      <c r="G80" s="700"/>
      <c r="H80" s="700"/>
      <c r="I80" s="700"/>
      <c r="J80" s="700"/>
      <c r="K80" s="700"/>
      <c r="L80" s="741">
        <v>15</v>
      </c>
      <c r="M80" s="700">
        <v>15</v>
      </c>
      <c r="N80" s="700">
        <v>15</v>
      </c>
      <c r="O80" s="700">
        <v>15</v>
      </c>
      <c r="P80" s="700">
        <v>15</v>
      </c>
      <c r="Q80" s="700">
        <v>15</v>
      </c>
      <c r="R80" s="700">
        <v>15</v>
      </c>
      <c r="S80" s="700">
        <v>15</v>
      </c>
      <c r="T80" s="700">
        <v>15</v>
      </c>
      <c r="U80" s="700">
        <v>15</v>
      </c>
      <c r="V80" s="700">
        <v>15</v>
      </c>
      <c r="W80" s="700">
        <v>15</v>
      </c>
      <c r="X80" s="700">
        <v>15</v>
      </c>
      <c r="Y80" s="700">
        <v>15</v>
      </c>
      <c r="Z80" s="700">
        <v>15</v>
      </c>
      <c r="AA80" s="700">
        <v>15</v>
      </c>
      <c r="AB80" s="700"/>
      <c r="AC80" s="700"/>
      <c r="AD80" s="541">
        <f t="shared" si="12"/>
        <v>240</v>
      </c>
      <c r="AE80" s="531">
        <f t="shared" si="11"/>
        <v>79200</v>
      </c>
      <c r="AF80" s="494" t="str">
        <f t="shared" si="9"/>
        <v>sell</v>
      </c>
    </row>
    <row r="81" spans="1:32" s="349" customFormat="1" ht="12.75" customHeight="1" x14ac:dyDescent="0.2">
      <c r="A81" s="576" t="s">
        <v>368</v>
      </c>
      <c r="B81" s="590" t="s">
        <v>241</v>
      </c>
      <c r="C81" s="590" t="s">
        <v>152</v>
      </c>
      <c r="D81" s="733">
        <v>221.25</v>
      </c>
      <c r="E81" s="707"/>
      <c r="F81" s="632"/>
      <c r="G81" s="700"/>
      <c r="H81" s="700"/>
      <c r="I81" s="700"/>
      <c r="J81" s="700"/>
      <c r="K81" s="700"/>
      <c r="L81" s="741">
        <v>10</v>
      </c>
      <c r="M81" s="741">
        <v>10</v>
      </c>
      <c r="N81" s="741">
        <v>10</v>
      </c>
      <c r="O81" s="741">
        <v>10</v>
      </c>
      <c r="P81" s="741">
        <v>10</v>
      </c>
      <c r="Q81" s="741">
        <v>10</v>
      </c>
      <c r="R81" s="741">
        <v>10</v>
      </c>
      <c r="S81" s="741">
        <v>10</v>
      </c>
      <c r="T81" s="741">
        <v>10</v>
      </c>
      <c r="U81" s="741">
        <v>10</v>
      </c>
      <c r="V81" s="741">
        <v>10</v>
      </c>
      <c r="W81" s="741">
        <v>10</v>
      </c>
      <c r="X81" s="741">
        <v>10</v>
      </c>
      <c r="Y81" s="741">
        <v>10</v>
      </c>
      <c r="Z81" s="741">
        <v>10</v>
      </c>
      <c r="AA81" s="741">
        <v>10</v>
      </c>
      <c r="AB81" s="700"/>
      <c r="AC81" s="700"/>
      <c r="AD81" s="541">
        <f t="shared" si="12"/>
        <v>160</v>
      </c>
      <c r="AE81" s="531">
        <f t="shared" si="11"/>
        <v>35400</v>
      </c>
      <c r="AF81" s="494" t="str">
        <f t="shared" si="9"/>
        <v>sell</v>
      </c>
    </row>
    <row r="82" spans="1:32" s="349" customFormat="1" ht="12.75" customHeight="1" x14ac:dyDescent="0.2">
      <c r="A82" s="576" t="s">
        <v>363</v>
      </c>
      <c r="B82" s="590" t="s">
        <v>241</v>
      </c>
      <c r="C82" s="590" t="s">
        <v>152</v>
      </c>
      <c r="D82" s="733">
        <v>221.25</v>
      </c>
      <c r="E82" s="707"/>
      <c r="F82" s="632"/>
      <c r="G82" s="700"/>
      <c r="H82" s="700"/>
      <c r="I82" s="700"/>
      <c r="J82" s="700"/>
      <c r="K82" s="700"/>
      <c r="L82" s="741">
        <v>25</v>
      </c>
      <c r="M82" s="741">
        <v>25</v>
      </c>
      <c r="N82" s="741">
        <v>25</v>
      </c>
      <c r="O82" s="741">
        <v>25</v>
      </c>
      <c r="P82" s="741">
        <v>25</v>
      </c>
      <c r="Q82" s="741">
        <v>25</v>
      </c>
      <c r="R82" s="741">
        <v>25</v>
      </c>
      <c r="S82" s="741">
        <v>25</v>
      </c>
      <c r="T82" s="741">
        <v>25</v>
      </c>
      <c r="U82" s="741">
        <v>25</v>
      </c>
      <c r="V82" s="741">
        <v>25</v>
      </c>
      <c r="W82" s="741">
        <v>25</v>
      </c>
      <c r="X82" s="741">
        <v>25</v>
      </c>
      <c r="Y82" s="741">
        <v>25</v>
      </c>
      <c r="Z82" s="741">
        <v>25</v>
      </c>
      <c r="AA82" s="741">
        <v>25</v>
      </c>
      <c r="AB82" s="700"/>
      <c r="AC82" s="700"/>
      <c r="AD82" s="541">
        <f t="shared" si="12"/>
        <v>400</v>
      </c>
      <c r="AE82" s="531">
        <f t="shared" si="11"/>
        <v>88500</v>
      </c>
      <c r="AF82" s="494" t="str">
        <f t="shared" si="9"/>
        <v>sell</v>
      </c>
    </row>
    <row r="83" spans="1:32" s="349" customFormat="1" ht="12.75" customHeight="1" x14ac:dyDescent="0.2">
      <c r="A83" s="576" t="s">
        <v>373</v>
      </c>
      <c r="B83" s="590" t="s">
        <v>241</v>
      </c>
      <c r="C83" s="590" t="s">
        <v>152</v>
      </c>
      <c r="D83" s="733">
        <v>110</v>
      </c>
      <c r="E83" s="707"/>
      <c r="F83" s="632">
        <v>3</v>
      </c>
      <c r="G83" s="632">
        <v>3</v>
      </c>
      <c r="H83" s="632">
        <v>3</v>
      </c>
      <c r="I83" s="632">
        <v>3</v>
      </c>
      <c r="J83" s="632">
        <v>3</v>
      </c>
      <c r="K83" s="632">
        <v>3</v>
      </c>
      <c r="L83" s="741"/>
      <c r="M83" s="700"/>
      <c r="N83" s="700"/>
      <c r="O83" s="700"/>
      <c r="P83" s="700"/>
      <c r="Q83" s="700"/>
      <c r="R83" s="700"/>
      <c r="S83" s="700"/>
      <c r="T83" s="700"/>
      <c r="U83" s="700"/>
      <c r="V83" s="700"/>
      <c r="W83" s="700"/>
      <c r="X83" s="700"/>
      <c r="Y83" s="700"/>
      <c r="Z83" s="700"/>
      <c r="AA83" s="700"/>
      <c r="AB83" s="700">
        <v>3</v>
      </c>
      <c r="AC83" s="700">
        <v>3</v>
      </c>
      <c r="AD83" s="541">
        <f t="shared" si="12"/>
        <v>24</v>
      </c>
      <c r="AE83" s="531">
        <f t="shared" si="11"/>
        <v>2640</v>
      </c>
      <c r="AF83" s="494" t="str">
        <f t="shared" si="9"/>
        <v>sell</v>
      </c>
    </row>
    <row r="84" spans="1:32" s="349" customFormat="1" ht="14.25" customHeight="1" x14ac:dyDescent="0.2">
      <c r="A84" s="577" t="s">
        <v>372</v>
      </c>
      <c r="B84" s="527" t="s">
        <v>365</v>
      </c>
      <c r="C84" s="527" t="s">
        <v>280</v>
      </c>
      <c r="D84" s="708">
        <v>55</v>
      </c>
      <c r="E84" s="709"/>
      <c r="F84" s="678"/>
      <c r="G84" s="679"/>
      <c r="H84" s="679"/>
      <c r="I84" s="679"/>
      <c r="J84" s="679"/>
      <c r="K84" s="679"/>
      <c r="L84" s="679"/>
      <c r="M84" s="679">
        <v>10</v>
      </c>
      <c r="N84" s="679"/>
      <c r="O84" s="679"/>
      <c r="P84" s="679"/>
      <c r="Q84" s="679"/>
      <c r="R84" s="679"/>
      <c r="S84" s="679"/>
      <c r="T84" s="679"/>
      <c r="U84" s="679"/>
      <c r="V84" s="679"/>
      <c r="W84" s="679"/>
      <c r="X84" s="679"/>
      <c r="Y84" s="679"/>
      <c r="Z84" s="679"/>
      <c r="AA84" s="679"/>
      <c r="AB84" s="679"/>
      <c r="AC84" s="679"/>
      <c r="AD84" s="742">
        <f t="shared" si="12"/>
        <v>10</v>
      </c>
      <c r="AE84" s="531">
        <f t="shared" si="11"/>
        <v>550</v>
      </c>
      <c r="AF84" s="494" t="str">
        <f t="shared" si="9"/>
        <v>sell</v>
      </c>
    </row>
    <row r="85" spans="1:32" s="349" customFormat="1" ht="14.25" customHeight="1" x14ac:dyDescent="0.2">
      <c r="A85" s="577" t="s">
        <v>381</v>
      </c>
      <c r="B85" s="527" t="s">
        <v>365</v>
      </c>
      <c r="C85" s="527" t="s">
        <v>280</v>
      </c>
      <c r="D85" s="708">
        <v>65</v>
      </c>
      <c r="E85" s="709"/>
      <c r="F85" s="678"/>
      <c r="G85" s="679"/>
      <c r="H85" s="679"/>
      <c r="I85" s="679"/>
      <c r="J85" s="679"/>
      <c r="K85" s="679"/>
      <c r="L85" s="679"/>
      <c r="M85" s="679"/>
      <c r="N85" s="679">
        <v>45</v>
      </c>
      <c r="O85" s="679"/>
      <c r="P85" s="679"/>
      <c r="Q85" s="679"/>
      <c r="R85" s="679"/>
      <c r="S85" s="679"/>
      <c r="T85" s="679"/>
      <c r="U85" s="679"/>
      <c r="V85" s="679"/>
      <c r="W85" s="679"/>
      <c r="X85" s="679"/>
      <c r="Y85" s="679"/>
      <c r="Z85" s="679"/>
      <c r="AA85" s="679"/>
      <c r="AB85" s="679"/>
      <c r="AC85" s="679"/>
      <c r="AD85" s="742">
        <f t="shared" si="12"/>
        <v>45</v>
      </c>
      <c r="AE85" s="531">
        <f>AD85*D85</f>
        <v>2925</v>
      </c>
      <c r="AF85" s="494" t="str">
        <f>IF(AD85&lt;0,"buy","sell")</f>
        <v>sell</v>
      </c>
    </row>
    <row r="86" spans="1:32" s="349" customFormat="1" ht="14.25" customHeight="1" x14ac:dyDescent="0.2">
      <c r="A86" s="577" t="s">
        <v>226</v>
      </c>
      <c r="B86" s="527" t="s">
        <v>365</v>
      </c>
      <c r="C86" s="527" t="s">
        <v>280</v>
      </c>
      <c r="D86" s="708">
        <v>60</v>
      </c>
      <c r="E86" s="709"/>
      <c r="F86" s="678"/>
      <c r="G86" s="679"/>
      <c r="H86" s="679"/>
      <c r="I86" s="679"/>
      <c r="J86" s="679"/>
      <c r="K86" s="679"/>
      <c r="L86" s="679"/>
      <c r="M86" s="679"/>
      <c r="N86" s="679">
        <v>75</v>
      </c>
      <c r="O86" s="679"/>
      <c r="P86" s="679"/>
      <c r="Q86" s="679"/>
      <c r="R86" s="679"/>
      <c r="S86" s="679"/>
      <c r="T86" s="679"/>
      <c r="U86" s="679"/>
      <c r="V86" s="679"/>
      <c r="W86" s="679"/>
      <c r="X86" s="679"/>
      <c r="Y86" s="679"/>
      <c r="Z86" s="679"/>
      <c r="AA86" s="679"/>
      <c r="AB86" s="679"/>
      <c r="AC86" s="679"/>
      <c r="AD86" s="742">
        <f t="shared" si="12"/>
        <v>75</v>
      </c>
      <c r="AE86" s="531">
        <f>AD86*D86</f>
        <v>4500</v>
      </c>
      <c r="AF86" s="494" t="str">
        <f>IF(AD86&lt;0,"buy","sell")</f>
        <v>sell</v>
      </c>
    </row>
    <row r="87" spans="1:32" s="349" customFormat="1" ht="14.25" customHeight="1" x14ac:dyDescent="0.2">
      <c r="A87" s="577" t="s">
        <v>226</v>
      </c>
      <c r="B87" s="527" t="s">
        <v>365</v>
      </c>
      <c r="C87" s="527" t="s">
        <v>280</v>
      </c>
      <c r="D87" s="708">
        <v>50</v>
      </c>
      <c r="E87" s="709"/>
      <c r="F87" s="678"/>
      <c r="G87" s="679"/>
      <c r="H87" s="679"/>
      <c r="I87" s="679"/>
      <c r="J87" s="679"/>
      <c r="K87" s="679"/>
      <c r="L87" s="679"/>
      <c r="M87" s="679">
        <v>75</v>
      </c>
      <c r="N87" s="679"/>
      <c r="O87" s="679"/>
      <c r="P87" s="679"/>
      <c r="Q87" s="679"/>
      <c r="R87" s="679"/>
      <c r="S87" s="679"/>
      <c r="T87" s="679"/>
      <c r="U87" s="679"/>
      <c r="V87" s="679"/>
      <c r="W87" s="679"/>
      <c r="X87" s="679"/>
      <c r="Y87" s="679"/>
      <c r="Z87" s="679"/>
      <c r="AA87" s="679"/>
      <c r="AB87" s="679"/>
      <c r="AC87" s="679"/>
      <c r="AD87" s="742">
        <f t="shared" si="12"/>
        <v>75</v>
      </c>
      <c r="AE87" s="531">
        <f>AD87*D87</f>
        <v>3750</v>
      </c>
      <c r="AF87" s="494" t="str">
        <f>IF(AD87&lt;0,"buy","sell")</f>
        <v>sell</v>
      </c>
    </row>
    <row r="88" spans="1:32" s="349" customFormat="1" ht="14.25" customHeight="1" x14ac:dyDescent="0.2">
      <c r="A88" s="577" t="s">
        <v>226</v>
      </c>
      <c r="B88" s="527" t="s">
        <v>365</v>
      </c>
      <c r="C88" s="527" t="s">
        <v>280</v>
      </c>
      <c r="D88" s="708">
        <v>40</v>
      </c>
      <c r="E88" s="709"/>
      <c r="F88" s="678"/>
      <c r="G88" s="679"/>
      <c r="H88" s="679"/>
      <c r="I88" s="679"/>
      <c r="J88" s="679"/>
      <c r="K88" s="679">
        <v>100</v>
      </c>
      <c r="L88" s="679">
        <v>100</v>
      </c>
      <c r="M88" s="679"/>
      <c r="N88" s="679"/>
      <c r="O88" s="679"/>
      <c r="P88" s="679"/>
      <c r="Q88" s="679"/>
      <c r="R88" s="679"/>
      <c r="S88" s="679"/>
      <c r="T88" s="679"/>
      <c r="U88" s="679"/>
      <c r="V88" s="679"/>
      <c r="W88" s="679"/>
      <c r="X88" s="679"/>
      <c r="Y88" s="679"/>
      <c r="Z88" s="679"/>
      <c r="AA88" s="679"/>
      <c r="AB88" s="679"/>
      <c r="AC88" s="679"/>
      <c r="AD88" s="742">
        <f t="shared" si="12"/>
        <v>200</v>
      </c>
      <c r="AE88" s="531">
        <f t="shared" si="11"/>
        <v>8000</v>
      </c>
      <c r="AF88" s="494" t="str">
        <f t="shared" si="9"/>
        <v>sell</v>
      </c>
    </row>
    <row r="89" spans="1:32" s="349" customFormat="1" ht="14.25" customHeight="1" x14ac:dyDescent="0.2">
      <c r="A89" s="577" t="s">
        <v>68</v>
      </c>
      <c r="B89" s="527" t="s">
        <v>365</v>
      </c>
      <c r="C89" s="527" t="s">
        <v>152</v>
      </c>
      <c r="D89" s="708">
        <v>60</v>
      </c>
      <c r="E89" s="709"/>
      <c r="F89" s="678"/>
      <c r="G89" s="679"/>
      <c r="H89" s="679"/>
      <c r="I89" s="679"/>
      <c r="J89" s="679"/>
      <c r="K89" s="679"/>
      <c r="L89" s="679"/>
      <c r="M89" s="679"/>
      <c r="N89" s="679">
        <v>70</v>
      </c>
      <c r="O89" s="679"/>
      <c r="P89" s="679"/>
      <c r="Q89" s="679"/>
      <c r="R89" s="679"/>
      <c r="S89" s="679"/>
      <c r="T89" s="679"/>
      <c r="U89" s="679"/>
      <c r="V89" s="679"/>
      <c r="W89" s="679"/>
      <c r="X89" s="679"/>
      <c r="Y89" s="679"/>
      <c r="Z89" s="679"/>
      <c r="AA89" s="679"/>
      <c r="AB89" s="679"/>
      <c r="AC89" s="679"/>
      <c r="AD89" s="742">
        <f t="shared" si="12"/>
        <v>70</v>
      </c>
      <c r="AE89" s="531">
        <f>AD89*D89</f>
        <v>4200</v>
      </c>
      <c r="AF89" s="494" t="str">
        <f>IF(AD89&lt;0,"buy","sell")</f>
        <v>sell</v>
      </c>
    </row>
    <row r="90" spans="1:32" s="349" customFormat="1" ht="14.25" customHeight="1" x14ac:dyDescent="0.2">
      <c r="A90" s="577" t="s">
        <v>68</v>
      </c>
      <c r="B90" s="527" t="s">
        <v>365</v>
      </c>
      <c r="C90" s="527" t="s">
        <v>152</v>
      </c>
      <c r="D90" s="708">
        <v>45</v>
      </c>
      <c r="E90" s="709"/>
      <c r="F90" s="678"/>
      <c r="G90" s="679"/>
      <c r="H90" s="679"/>
      <c r="I90" s="679"/>
      <c r="J90" s="679"/>
      <c r="K90" s="679"/>
      <c r="L90" s="679"/>
      <c r="M90" s="679">
        <v>70</v>
      </c>
      <c r="N90" s="679"/>
      <c r="O90" s="679"/>
      <c r="P90" s="679"/>
      <c r="Q90" s="679"/>
      <c r="R90" s="679"/>
      <c r="S90" s="679"/>
      <c r="T90" s="679"/>
      <c r="U90" s="679"/>
      <c r="V90" s="679"/>
      <c r="W90" s="679"/>
      <c r="X90" s="679"/>
      <c r="Y90" s="679"/>
      <c r="Z90" s="679"/>
      <c r="AA90" s="679"/>
      <c r="AB90" s="679"/>
      <c r="AC90" s="679"/>
      <c r="AD90" s="742">
        <f t="shared" si="12"/>
        <v>70</v>
      </c>
      <c r="AE90" s="531">
        <f>AD90*D90</f>
        <v>3150</v>
      </c>
      <c r="AF90" s="494" t="str">
        <f>IF(AD90&lt;0,"buy","sell")</f>
        <v>sell</v>
      </c>
    </row>
    <row r="91" spans="1:32" s="349" customFormat="1" ht="14.25" customHeight="1" x14ac:dyDescent="0.2">
      <c r="A91" s="577" t="s">
        <v>68</v>
      </c>
      <c r="B91" s="527" t="s">
        <v>365</v>
      </c>
      <c r="C91" s="527" t="s">
        <v>152</v>
      </c>
      <c r="D91" s="708">
        <v>35</v>
      </c>
      <c r="E91" s="709"/>
      <c r="F91" s="678"/>
      <c r="G91" s="679"/>
      <c r="H91" s="679"/>
      <c r="I91" s="679"/>
      <c r="J91" s="679"/>
      <c r="K91" s="679"/>
      <c r="L91" s="679">
        <v>70</v>
      </c>
      <c r="M91" s="679"/>
      <c r="N91" s="679"/>
      <c r="O91" s="679"/>
      <c r="P91" s="679"/>
      <c r="Q91" s="679"/>
      <c r="R91" s="679"/>
      <c r="S91" s="679"/>
      <c r="T91" s="679"/>
      <c r="U91" s="679"/>
      <c r="V91" s="679"/>
      <c r="W91" s="679"/>
      <c r="X91" s="679"/>
      <c r="Y91" s="679"/>
      <c r="Z91" s="679"/>
      <c r="AA91" s="679"/>
      <c r="AB91" s="679"/>
      <c r="AC91" s="679"/>
      <c r="AD91" s="591">
        <f t="shared" si="12"/>
        <v>70</v>
      </c>
      <c r="AE91" s="531">
        <f t="shared" si="11"/>
        <v>2450</v>
      </c>
      <c r="AF91" s="494" t="str">
        <f t="shared" si="9"/>
        <v>sell</v>
      </c>
    </row>
    <row r="92" spans="1:32" s="349" customFormat="1" ht="14.25" customHeight="1" x14ac:dyDescent="0.2">
      <c r="A92" s="577" t="s">
        <v>67</v>
      </c>
      <c r="B92" s="527" t="s">
        <v>365</v>
      </c>
      <c r="C92" s="527" t="s">
        <v>280</v>
      </c>
      <c r="D92" s="708">
        <v>80</v>
      </c>
      <c r="E92" s="709"/>
      <c r="F92" s="678"/>
      <c r="G92" s="679"/>
      <c r="H92" s="679"/>
      <c r="I92" s="679"/>
      <c r="J92" s="679"/>
      <c r="K92" s="679"/>
      <c r="L92" s="679"/>
      <c r="M92" s="679"/>
      <c r="N92" s="679"/>
      <c r="O92" s="679">
        <v>70</v>
      </c>
      <c r="P92" s="679"/>
      <c r="Q92" s="679"/>
      <c r="R92" s="679"/>
      <c r="S92" s="679"/>
      <c r="T92" s="679"/>
      <c r="U92" s="679"/>
      <c r="V92" s="679"/>
      <c r="W92" s="679"/>
      <c r="X92" s="679"/>
      <c r="Y92" s="679"/>
      <c r="Z92" s="679"/>
      <c r="AA92" s="679"/>
      <c r="AB92" s="679"/>
      <c r="AC92" s="679"/>
      <c r="AD92" s="591">
        <f t="shared" si="12"/>
        <v>70</v>
      </c>
      <c r="AE92" s="531">
        <f>AD92*D92</f>
        <v>5600</v>
      </c>
      <c r="AF92" s="494" t="str">
        <f>IF(AD92&lt;0,"buy","sell")</f>
        <v>sell</v>
      </c>
    </row>
    <row r="93" spans="1:32" s="349" customFormat="1" ht="14.25" customHeight="1" x14ac:dyDescent="0.2">
      <c r="A93" s="577" t="s">
        <v>64</v>
      </c>
      <c r="B93" s="527" t="s">
        <v>365</v>
      </c>
      <c r="C93" s="527" t="s">
        <v>280</v>
      </c>
      <c r="D93" s="708">
        <v>95</v>
      </c>
      <c r="E93" s="709"/>
      <c r="F93" s="678"/>
      <c r="G93" s="679"/>
      <c r="H93" s="679"/>
      <c r="I93" s="679"/>
      <c r="J93" s="679"/>
      <c r="K93" s="679"/>
      <c r="L93" s="679"/>
      <c r="M93" s="679"/>
      <c r="N93" s="679"/>
      <c r="O93" s="679">
        <v>25</v>
      </c>
      <c r="P93" s="679">
        <v>25</v>
      </c>
      <c r="Q93" s="679"/>
      <c r="R93" s="679"/>
      <c r="S93" s="679"/>
      <c r="T93" s="679"/>
      <c r="U93" s="679"/>
      <c r="V93" s="679"/>
      <c r="W93" s="679"/>
      <c r="X93" s="679"/>
      <c r="Y93" s="679"/>
      <c r="Z93" s="679"/>
      <c r="AA93" s="679"/>
      <c r="AB93" s="679"/>
      <c r="AC93" s="679"/>
      <c r="AD93" s="591">
        <f>SUM(E93:AC93)</f>
        <v>50</v>
      </c>
      <c r="AE93" s="531">
        <f>AD93*D93</f>
        <v>4750</v>
      </c>
      <c r="AF93" s="494" t="str">
        <f>IF(AD93&lt;0,"buy","sell")</f>
        <v>sell</v>
      </c>
    </row>
    <row r="94" spans="1:32" s="349" customFormat="1" ht="14.25" customHeight="1" x14ac:dyDescent="0.2">
      <c r="A94" s="577" t="s">
        <v>66</v>
      </c>
      <c r="B94" s="527" t="s">
        <v>365</v>
      </c>
      <c r="C94" s="527" t="s">
        <v>152</v>
      </c>
      <c r="D94" s="708">
        <v>85</v>
      </c>
      <c r="E94" s="709"/>
      <c r="F94" s="678"/>
      <c r="G94" s="679"/>
      <c r="H94" s="679"/>
      <c r="I94" s="679"/>
      <c r="J94" s="679"/>
      <c r="K94" s="679"/>
      <c r="L94" s="679"/>
      <c r="M94" s="679"/>
      <c r="N94" s="679"/>
      <c r="O94" s="679"/>
      <c r="P94" s="679"/>
      <c r="Q94" s="679"/>
      <c r="R94" s="679"/>
      <c r="S94" s="679"/>
      <c r="T94" s="679"/>
      <c r="U94" s="679"/>
      <c r="V94" s="679"/>
      <c r="W94" s="679"/>
      <c r="X94" s="679"/>
      <c r="Y94" s="679"/>
      <c r="Z94" s="679"/>
      <c r="AA94" s="679"/>
      <c r="AB94" s="679"/>
      <c r="AC94" s="679">
        <v>100</v>
      </c>
      <c r="AD94" s="591">
        <f t="shared" si="12"/>
        <v>100</v>
      </c>
      <c r="AE94" s="531">
        <f>AD94*D94</f>
        <v>8500</v>
      </c>
      <c r="AF94" s="494" t="str">
        <f>IF(AD94&lt;0,"buy","sell")</f>
        <v>sell</v>
      </c>
    </row>
    <row r="95" spans="1:32" s="349" customFormat="1" x14ac:dyDescent="0.2">
      <c r="A95" s="577" t="s">
        <v>15</v>
      </c>
      <c r="B95" s="527"/>
      <c r="C95" s="527"/>
      <c r="D95" s="708"/>
      <c r="E95" s="709"/>
      <c r="F95" s="678"/>
      <c r="G95" s="679"/>
      <c r="H95" s="679"/>
      <c r="I95" s="679"/>
      <c r="J95" s="679"/>
      <c r="K95" s="679"/>
      <c r="L95" s="679"/>
      <c r="M95" s="679"/>
      <c r="N95" s="679"/>
      <c r="O95" s="679"/>
      <c r="P95" s="679"/>
      <c r="Q95" s="679"/>
      <c r="R95" s="679"/>
      <c r="S95" s="679"/>
      <c r="T95" s="679"/>
      <c r="U95" s="679"/>
      <c r="V95" s="679"/>
      <c r="W95" s="679"/>
      <c r="X95" s="679"/>
      <c r="Y95" s="679"/>
      <c r="Z95" s="679"/>
      <c r="AA95" s="679"/>
      <c r="AB95" s="679"/>
      <c r="AC95" s="679"/>
      <c r="AD95" s="591">
        <f t="shared" si="12"/>
        <v>0</v>
      </c>
      <c r="AE95" s="531">
        <f t="shared" ref="AE95:AE104" si="13">AD95*D95</f>
        <v>0</v>
      </c>
      <c r="AF95" s="494" t="str">
        <f t="shared" ref="AF95:AF105" si="14">IF(AD95&lt;0,"buy","sell")</f>
        <v>sell</v>
      </c>
    </row>
    <row r="96" spans="1:32" s="349" customFormat="1" ht="12" customHeight="1" x14ac:dyDescent="0.2">
      <c r="A96" s="588"/>
      <c r="B96" s="589"/>
      <c r="C96" s="589"/>
      <c r="D96" s="706"/>
      <c r="E96" s="677"/>
      <c r="F96" s="633"/>
      <c r="G96" s="677"/>
      <c r="H96" s="633"/>
      <c r="I96" s="633"/>
      <c r="J96" s="633"/>
      <c r="K96" s="633"/>
      <c r="L96" s="739"/>
      <c r="M96" s="633"/>
      <c r="N96" s="633"/>
      <c r="O96" s="633"/>
      <c r="P96" s="633"/>
      <c r="Q96" s="633"/>
      <c r="R96" s="633"/>
      <c r="S96" s="633"/>
      <c r="T96" s="633"/>
      <c r="U96" s="633"/>
      <c r="V96" s="633"/>
      <c r="W96" s="633"/>
      <c r="X96" s="633"/>
      <c r="Y96" s="633"/>
      <c r="Z96" s="633"/>
      <c r="AA96" s="633"/>
      <c r="AB96" s="633"/>
      <c r="AC96" s="633"/>
      <c r="AD96" s="541">
        <f t="shared" si="4"/>
        <v>0</v>
      </c>
      <c r="AE96" s="531">
        <f t="shared" si="13"/>
        <v>0</v>
      </c>
      <c r="AF96" s="494" t="str">
        <f t="shared" si="14"/>
        <v>sell</v>
      </c>
    </row>
    <row r="97" spans="1:32" s="349" customFormat="1" ht="12" customHeight="1" x14ac:dyDescent="0.2">
      <c r="A97" s="588" t="s">
        <v>368</v>
      </c>
      <c r="B97" s="589" t="s">
        <v>241</v>
      </c>
      <c r="C97" s="589" t="s">
        <v>152</v>
      </c>
      <c r="D97" s="734">
        <v>300</v>
      </c>
      <c r="E97" s="677"/>
      <c r="F97" s="633"/>
      <c r="G97" s="677"/>
      <c r="H97" s="633"/>
      <c r="I97" s="633"/>
      <c r="J97" s="633"/>
      <c r="K97" s="633"/>
      <c r="L97" s="739">
        <v>-25</v>
      </c>
      <c r="M97" s="633">
        <v>-25</v>
      </c>
      <c r="N97" s="633">
        <v>-25</v>
      </c>
      <c r="O97" s="633">
        <v>-25</v>
      </c>
      <c r="P97" s="633">
        <v>-25</v>
      </c>
      <c r="Q97" s="633">
        <v>-25</v>
      </c>
      <c r="R97" s="633">
        <v>-25</v>
      </c>
      <c r="S97" s="633">
        <v>-25</v>
      </c>
      <c r="T97" s="633">
        <v>-25</v>
      </c>
      <c r="U97" s="633">
        <v>-25</v>
      </c>
      <c r="V97" s="633">
        <v>-25</v>
      </c>
      <c r="W97" s="633">
        <v>-25</v>
      </c>
      <c r="X97" s="633">
        <v>-25</v>
      </c>
      <c r="Y97" s="633">
        <v>-25</v>
      </c>
      <c r="Z97" s="633">
        <v>-25</v>
      </c>
      <c r="AA97" s="633">
        <v>-25</v>
      </c>
      <c r="AB97" s="633"/>
      <c r="AC97" s="633"/>
      <c r="AD97" s="541">
        <f t="shared" ref="AD97:AD104" si="15">SUM(E97:AC97)</f>
        <v>-400</v>
      </c>
      <c r="AE97" s="531">
        <f t="shared" si="13"/>
        <v>-120000</v>
      </c>
      <c r="AF97" s="494" t="str">
        <f t="shared" si="14"/>
        <v>buy</v>
      </c>
    </row>
    <row r="98" spans="1:32" s="349" customFormat="1" ht="12" customHeight="1" x14ac:dyDescent="0.2">
      <c r="A98" s="588" t="s">
        <v>368</v>
      </c>
      <c r="B98" s="589" t="s">
        <v>241</v>
      </c>
      <c r="C98" s="589" t="s">
        <v>152</v>
      </c>
      <c r="D98" s="734">
        <v>300</v>
      </c>
      <c r="E98" s="677"/>
      <c r="F98" s="633"/>
      <c r="G98" s="677"/>
      <c r="H98" s="633"/>
      <c r="I98" s="633"/>
      <c r="J98" s="633"/>
      <c r="K98" s="633"/>
      <c r="L98" s="739">
        <v>-15</v>
      </c>
      <c r="M98" s="633">
        <v>-15</v>
      </c>
      <c r="N98" s="633">
        <v>-15</v>
      </c>
      <c r="O98" s="633">
        <v>-15</v>
      </c>
      <c r="P98" s="633">
        <v>-15</v>
      </c>
      <c r="Q98" s="633">
        <v>-15</v>
      </c>
      <c r="R98" s="633">
        <v>-15</v>
      </c>
      <c r="S98" s="633">
        <v>-15</v>
      </c>
      <c r="T98" s="633">
        <v>-15</v>
      </c>
      <c r="U98" s="633">
        <v>-15</v>
      </c>
      <c r="V98" s="633">
        <v>-15</v>
      </c>
      <c r="W98" s="633">
        <v>-15</v>
      </c>
      <c r="X98" s="633">
        <v>-15</v>
      </c>
      <c r="Y98" s="633">
        <v>-15</v>
      </c>
      <c r="Z98" s="633">
        <v>-15</v>
      </c>
      <c r="AA98" s="633">
        <v>-15</v>
      </c>
      <c r="AB98" s="633"/>
      <c r="AC98" s="633"/>
      <c r="AD98" s="541">
        <f t="shared" si="15"/>
        <v>-240</v>
      </c>
      <c r="AE98" s="531">
        <f>AD98*D98</f>
        <v>-72000</v>
      </c>
      <c r="AF98" s="494" t="str">
        <f>IF(AD98&lt;0,"buy","sell")</f>
        <v>buy</v>
      </c>
    </row>
    <row r="99" spans="1:32" s="349" customFormat="1" ht="12" customHeight="1" x14ac:dyDescent="0.2">
      <c r="A99" s="588" t="s">
        <v>368</v>
      </c>
      <c r="B99" s="589" t="s">
        <v>241</v>
      </c>
      <c r="C99" s="589" t="s">
        <v>152</v>
      </c>
      <c r="D99" s="734">
        <v>300</v>
      </c>
      <c r="E99" s="677"/>
      <c r="F99" s="633"/>
      <c r="G99" s="677"/>
      <c r="H99" s="633"/>
      <c r="I99" s="633"/>
      <c r="J99" s="633"/>
      <c r="K99" s="633"/>
      <c r="L99" s="739">
        <v>-10</v>
      </c>
      <c r="M99" s="739">
        <v>-10</v>
      </c>
      <c r="N99" s="739">
        <v>-10</v>
      </c>
      <c r="O99" s="739">
        <v>-10</v>
      </c>
      <c r="P99" s="739">
        <v>-10</v>
      </c>
      <c r="Q99" s="739">
        <v>-10</v>
      </c>
      <c r="R99" s="739">
        <v>-10</v>
      </c>
      <c r="S99" s="739">
        <v>-10</v>
      </c>
      <c r="T99" s="739">
        <v>-10</v>
      </c>
      <c r="U99" s="739">
        <v>-10</v>
      </c>
      <c r="V99" s="739">
        <v>-10</v>
      </c>
      <c r="W99" s="739">
        <v>-10</v>
      </c>
      <c r="X99" s="739">
        <v>-10</v>
      </c>
      <c r="Y99" s="739">
        <v>-10</v>
      </c>
      <c r="Z99" s="739">
        <v>-10</v>
      </c>
      <c r="AA99" s="739">
        <v>-10</v>
      </c>
      <c r="AB99" s="633"/>
      <c r="AC99" s="633"/>
      <c r="AD99" s="541">
        <f t="shared" si="15"/>
        <v>-160</v>
      </c>
      <c r="AE99" s="531">
        <f>AD99*D99</f>
        <v>-48000</v>
      </c>
      <c r="AF99" s="494" t="str">
        <f>IF(AD99&lt;0,"buy","sell")</f>
        <v>buy</v>
      </c>
    </row>
    <row r="100" spans="1:32" s="349" customFormat="1" ht="12" customHeight="1" x14ac:dyDescent="0.2">
      <c r="A100" s="588" t="s">
        <v>363</v>
      </c>
      <c r="B100" s="589" t="s">
        <v>241</v>
      </c>
      <c r="C100" s="589" t="s">
        <v>152</v>
      </c>
      <c r="D100" s="734">
        <v>294</v>
      </c>
      <c r="E100" s="677"/>
      <c r="F100" s="633"/>
      <c r="G100" s="677"/>
      <c r="H100" s="633"/>
      <c r="I100" s="633"/>
      <c r="J100" s="633"/>
      <c r="K100" s="633"/>
      <c r="L100" s="739">
        <v>-25</v>
      </c>
      <c r="M100" s="739">
        <v>-25</v>
      </c>
      <c r="N100" s="739">
        <v>-25</v>
      </c>
      <c r="O100" s="739">
        <v>-25</v>
      </c>
      <c r="P100" s="739">
        <v>-25</v>
      </c>
      <c r="Q100" s="739">
        <v>-25</v>
      </c>
      <c r="R100" s="739">
        <v>-25</v>
      </c>
      <c r="S100" s="739">
        <v>-25</v>
      </c>
      <c r="T100" s="739">
        <v>-25</v>
      </c>
      <c r="U100" s="739">
        <v>-25</v>
      </c>
      <c r="V100" s="739">
        <v>-25</v>
      </c>
      <c r="W100" s="739">
        <v>-25</v>
      </c>
      <c r="X100" s="739">
        <v>-25</v>
      </c>
      <c r="Y100" s="739">
        <v>-25</v>
      </c>
      <c r="Z100" s="739">
        <v>-25</v>
      </c>
      <c r="AA100" s="739">
        <v>-25</v>
      </c>
      <c r="AB100" s="633"/>
      <c r="AC100" s="633"/>
      <c r="AD100" s="541">
        <f t="shared" si="15"/>
        <v>-400</v>
      </c>
      <c r="AE100" s="531">
        <f>AD100*D100</f>
        <v>-117600</v>
      </c>
      <c r="AF100" s="494" t="str">
        <f>IF(AD100&lt;0,"buy","sell")</f>
        <v>buy</v>
      </c>
    </row>
    <row r="101" spans="1:32" s="349" customFormat="1" ht="12" customHeight="1" x14ac:dyDescent="0.2">
      <c r="A101" s="588" t="s">
        <v>378</v>
      </c>
      <c r="B101" s="589" t="s">
        <v>241</v>
      </c>
      <c r="C101" s="589" t="s">
        <v>152</v>
      </c>
      <c r="D101" s="734">
        <v>310</v>
      </c>
      <c r="E101" s="677"/>
      <c r="F101" s="633"/>
      <c r="G101" s="677"/>
      <c r="H101" s="633"/>
      <c r="I101" s="633"/>
      <c r="J101" s="633"/>
      <c r="K101" s="633"/>
      <c r="L101" s="739">
        <v>-25</v>
      </c>
      <c r="M101" s="739">
        <v>-25</v>
      </c>
      <c r="N101" s="739">
        <v>-25</v>
      </c>
      <c r="O101" s="739">
        <v>-25</v>
      </c>
      <c r="P101" s="739">
        <v>-25</v>
      </c>
      <c r="Q101" s="739">
        <v>-25</v>
      </c>
      <c r="R101" s="739">
        <v>-25</v>
      </c>
      <c r="S101" s="739">
        <v>-25</v>
      </c>
      <c r="T101" s="739">
        <v>-25</v>
      </c>
      <c r="U101" s="739">
        <v>-25</v>
      </c>
      <c r="V101" s="739">
        <v>-25</v>
      </c>
      <c r="W101" s="739">
        <v>-25</v>
      </c>
      <c r="X101" s="739">
        <v>-25</v>
      </c>
      <c r="Y101" s="739">
        <v>-25</v>
      </c>
      <c r="Z101" s="739">
        <v>-25</v>
      </c>
      <c r="AA101" s="739">
        <v>-25</v>
      </c>
      <c r="AB101" s="633"/>
      <c r="AC101" s="633"/>
      <c r="AD101" s="541">
        <f t="shared" si="15"/>
        <v>-400</v>
      </c>
      <c r="AE101" s="531">
        <f>AD101*D101</f>
        <v>-124000</v>
      </c>
      <c r="AF101" s="494" t="str">
        <f>IF(AD101&lt;0,"buy","sell")</f>
        <v>buy</v>
      </c>
    </row>
    <row r="102" spans="1:32" s="349" customFormat="1" ht="12" customHeight="1" x14ac:dyDescent="0.2">
      <c r="A102" s="588" t="s">
        <v>374</v>
      </c>
      <c r="B102" s="589" t="s">
        <v>241</v>
      </c>
      <c r="C102" s="589" t="s">
        <v>152</v>
      </c>
      <c r="D102" s="734">
        <v>294</v>
      </c>
      <c r="E102" s="677"/>
      <c r="F102" s="633"/>
      <c r="G102" s="677"/>
      <c r="H102" s="633"/>
      <c r="I102" s="633"/>
      <c r="J102" s="633"/>
      <c r="K102" s="633"/>
      <c r="L102" s="739">
        <v>-25</v>
      </c>
      <c r="M102" s="739">
        <v>-25</v>
      </c>
      <c r="N102" s="739">
        <v>-25</v>
      </c>
      <c r="O102" s="739">
        <v>-25</v>
      </c>
      <c r="P102" s="739">
        <v>-25</v>
      </c>
      <c r="Q102" s="739">
        <v>-25</v>
      </c>
      <c r="R102" s="739">
        <v>-25</v>
      </c>
      <c r="S102" s="739">
        <v>-25</v>
      </c>
      <c r="T102" s="739">
        <v>-25</v>
      </c>
      <c r="U102" s="739">
        <v>-25</v>
      </c>
      <c r="V102" s="739">
        <v>-25</v>
      </c>
      <c r="W102" s="739">
        <v>-25</v>
      </c>
      <c r="X102" s="739">
        <v>-25</v>
      </c>
      <c r="Y102" s="739">
        <v>-25</v>
      </c>
      <c r="Z102" s="739">
        <v>-25</v>
      </c>
      <c r="AA102" s="739">
        <v>-25</v>
      </c>
      <c r="AB102" s="633"/>
      <c r="AC102" s="633"/>
      <c r="AD102" s="541">
        <f t="shared" si="15"/>
        <v>-400</v>
      </c>
      <c r="AE102" s="531">
        <f t="shared" si="13"/>
        <v>-117600</v>
      </c>
      <c r="AF102" s="494" t="str">
        <f t="shared" si="14"/>
        <v>buy</v>
      </c>
    </row>
    <row r="103" spans="1:32" s="349" customFormat="1" ht="12" customHeight="1" x14ac:dyDescent="0.2">
      <c r="A103" s="588" t="s">
        <v>379</v>
      </c>
      <c r="B103" s="589" t="s">
        <v>241</v>
      </c>
      <c r="C103" s="589" t="s">
        <v>152</v>
      </c>
      <c r="D103" s="734">
        <v>310</v>
      </c>
      <c r="E103" s="677"/>
      <c r="F103" s="633"/>
      <c r="G103" s="677"/>
      <c r="H103" s="633"/>
      <c r="I103" s="633"/>
      <c r="J103" s="633"/>
      <c r="K103" s="633"/>
      <c r="L103" s="739">
        <v>-25</v>
      </c>
      <c r="M103" s="739">
        <v>-25</v>
      </c>
      <c r="N103" s="739">
        <v>-25</v>
      </c>
      <c r="O103" s="739">
        <v>-25</v>
      </c>
      <c r="P103" s="739">
        <v>-25</v>
      </c>
      <c r="Q103" s="739">
        <v>-25</v>
      </c>
      <c r="R103" s="739">
        <v>-25</v>
      </c>
      <c r="S103" s="739">
        <v>-25</v>
      </c>
      <c r="T103" s="739">
        <v>-25</v>
      </c>
      <c r="U103" s="739">
        <v>-25</v>
      </c>
      <c r="V103" s="739">
        <v>-25</v>
      </c>
      <c r="W103" s="739">
        <v>-25</v>
      </c>
      <c r="X103" s="739">
        <v>-25</v>
      </c>
      <c r="Y103" s="739">
        <v>-25</v>
      </c>
      <c r="Z103" s="739">
        <v>-25</v>
      </c>
      <c r="AA103" s="739">
        <v>-25</v>
      </c>
      <c r="AB103" s="633"/>
      <c r="AC103" s="633"/>
      <c r="AD103" s="541">
        <f t="shared" si="15"/>
        <v>-400</v>
      </c>
      <c r="AE103" s="531">
        <f>AD103*D103</f>
        <v>-124000</v>
      </c>
      <c r="AF103" s="494" t="str">
        <f>IF(AD103&lt;0,"buy","sell")</f>
        <v>buy</v>
      </c>
    </row>
    <row r="104" spans="1:32" s="349" customFormat="1" ht="12" customHeight="1" x14ac:dyDescent="0.2">
      <c r="A104" s="588"/>
      <c r="B104" s="589"/>
      <c r="C104" s="589"/>
      <c r="D104" s="734"/>
      <c r="E104" s="677"/>
      <c r="F104" s="633"/>
      <c r="G104" s="677"/>
      <c r="H104" s="633"/>
      <c r="I104" s="633"/>
      <c r="J104" s="633"/>
      <c r="K104" s="633"/>
      <c r="L104" s="739"/>
      <c r="M104" s="633"/>
      <c r="N104" s="633"/>
      <c r="O104" s="633"/>
      <c r="P104" s="633"/>
      <c r="Q104" s="633"/>
      <c r="R104" s="633"/>
      <c r="S104" s="633"/>
      <c r="T104" s="633"/>
      <c r="U104" s="633"/>
      <c r="V104" s="633"/>
      <c r="W104" s="633"/>
      <c r="X104" s="633"/>
      <c r="Y104" s="633"/>
      <c r="Z104" s="633"/>
      <c r="AA104" s="633"/>
      <c r="AB104" s="633"/>
      <c r="AC104" s="633"/>
      <c r="AD104" s="541">
        <f t="shared" si="15"/>
        <v>0</v>
      </c>
      <c r="AE104" s="531">
        <f t="shared" si="13"/>
        <v>0</v>
      </c>
      <c r="AF104" s="494" t="str">
        <f t="shared" si="14"/>
        <v>sell</v>
      </c>
    </row>
    <row r="105" spans="1:32" s="349" customFormat="1" ht="12.75" customHeight="1" x14ac:dyDescent="0.2">
      <c r="A105" s="588"/>
      <c r="B105" s="589"/>
      <c r="C105" s="589"/>
      <c r="D105" s="706"/>
      <c r="E105" s="677"/>
      <c r="F105" s="633"/>
      <c r="G105" s="633"/>
      <c r="H105" s="633"/>
      <c r="I105" s="633"/>
      <c r="J105" s="633"/>
      <c r="K105" s="633"/>
      <c r="L105" s="633"/>
      <c r="M105" s="633"/>
      <c r="N105" s="633"/>
      <c r="O105" s="633"/>
      <c r="P105" s="633"/>
      <c r="Q105" s="633"/>
      <c r="R105" s="633"/>
      <c r="S105" s="633"/>
      <c r="T105" s="633"/>
      <c r="U105" s="633"/>
      <c r="V105" s="633"/>
      <c r="W105" s="633"/>
      <c r="X105" s="633"/>
      <c r="Y105" s="633"/>
      <c r="Z105" s="633"/>
      <c r="AA105" s="633"/>
      <c r="AB105" s="633"/>
      <c r="AC105" s="633"/>
      <c r="AD105" s="591"/>
      <c r="AE105" s="531"/>
      <c r="AF105" s="494" t="str">
        <f t="shared" si="14"/>
        <v>sell</v>
      </c>
    </row>
    <row r="106" spans="1:32" s="349" customFormat="1" x14ac:dyDescent="0.2">
      <c r="A106" s="577"/>
      <c r="B106" s="527"/>
      <c r="C106" s="527"/>
      <c r="D106" s="708"/>
      <c r="E106" s="709"/>
      <c r="F106" s="710"/>
      <c r="G106" s="710"/>
      <c r="H106" s="710"/>
      <c r="I106" s="710"/>
      <c r="J106" s="710"/>
      <c r="K106" s="710"/>
      <c r="L106" s="710"/>
      <c r="M106" s="710"/>
      <c r="N106" s="710"/>
      <c r="O106" s="710"/>
      <c r="P106" s="710"/>
      <c r="Q106" s="710"/>
      <c r="R106" s="710"/>
      <c r="S106" s="710"/>
      <c r="T106" s="710"/>
      <c r="U106" s="710"/>
      <c r="V106" s="710"/>
      <c r="W106" s="710"/>
      <c r="X106" s="710"/>
      <c r="Y106" s="710"/>
      <c r="Z106" s="710"/>
      <c r="AA106" s="710"/>
      <c r="AB106" s="710"/>
      <c r="AC106" s="710"/>
      <c r="AD106" s="591"/>
      <c r="AE106" s="531"/>
      <c r="AF106" s="494"/>
    </row>
    <row r="107" spans="1:32" s="349" customFormat="1" x14ac:dyDescent="0.2">
      <c r="A107" s="577" t="s">
        <v>372</v>
      </c>
      <c r="B107" s="527" t="s">
        <v>383</v>
      </c>
      <c r="C107" s="527" t="s">
        <v>280</v>
      </c>
      <c r="D107" s="708">
        <v>130</v>
      </c>
      <c r="E107" s="711"/>
      <c r="F107" s="678"/>
      <c r="G107" s="679"/>
      <c r="H107" s="679"/>
      <c r="I107" s="679"/>
      <c r="J107" s="679"/>
      <c r="K107" s="679"/>
      <c r="L107" s="679"/>
      <c r="M107" s="679"/>
      <c r="N107" s="679"/>
      <c r="O107" s="679"/>
      <c r="P107" s="679"/>
      <c r="Q107" s="679"/>
      <c r="R107" s="679"/>
      <c r="S107" s="679"/>
      <c r="T107" s="679"/>
      <c r="U107" s="679"/>
      <c r="V107" s="679">
        <v>-25</v>
      </c>
      <c r="W107" s="679"/>
      <c r="X107" s="679"/>
      <c r="Y107" s="679"/>
      <c r="Z107" s="679"/>
      <c r="AA107" s="679"/>
      <c r="AB107" s="679"/>
      <c r="AC107" s="679"/>
      <c r="AD107" s="591">
        <f>SUM(E107:AC107)</f>
        <v>-25</v>
      </c>
      <c r="AE107" s="531">
        <f>AD107*D107</f>
        <v>-3250</v>
      </c>
      <c r="AF107" s="494" t="str">
        <f>IF(AD107&lt;0,"buy","sell")</f>
        <v>buy</v>
      </c>
    </row>
    <row r="108" spans="1:32" s="349" customFormat="1" x14ac:dyDescent="0.2">
      <c r="A108" s="577" t="s">
        <v>372</v>
      </c>
      <c r="B108" s="527" t="s">
        <v>383</v>
      </c>
      <c r="C108" s="527" t="s">
        <v>280</v>
      </c>
      <c r="D108" s="708">
        <v>125</v>
      </c>
      <c r="E108" s="711"/>
      <c r="F108" s="678"/>
      <c r="G108" s="679"/>
      <c r="H108" s="679"/>
      <c r="I108" s="679"/>
      <c r="J108" s="679"/>
      <c r="K108" s="679"/>
      <c r="L108" s="679"/>
      <c r="M108" s="679"/>
      <c r="N108" s="679"/>
      <c r="O108" s="679"/>
      <c r="P108" s="679"/>
      <c r="Q108" s="679"/>
      <c r="R108" s="679"/>
      <c r="S108" s="679"/>
      <c r="T108" s="679"/>
      <c r="U108" s="679"/>
      <c r="V108" s="679"/>
      <c r="W108" s="679">
        <v>-25</v>
      </c>
      <c r="X108" s="679"/>
      <c r="Y108" s="679"/>
      <c r="Z108" s="679"/>
      <c r="AA108" s="679"/>
      <c r="AB108" s="679"/>
      <c r="AC108" s="679"/>
      <c r="AD108" s="591">
        <f t="shared" ref="AD108:AD113" si="16">SUM(E108:AC108)</f>
        <v>-25</v>
      </c>
      <c r="AE108" s="531">
        <f t="shared" ref="AE108:AE113" si="17">AD108*D108</f>
        <v>-3125</v>
      </c>
      <c r="AF108" s="494" t="str">
        <f t="shared" ref="AF108:AF113" si="18">IF(AD108&lt;0,"buy","sell")</f>
        <v>buy</v>
      </c>
    </row>
    <row r="109" spans="1:32" s="349" customFormat="1" x14ac:dyDescent="0.2">
      <c r="A109" s="577" t="s">
        <v>64</v>
      </c>
      <c r="B109" s="527" t="s">
        <v>383</v>
      </c>
      <c r="C109" s="527" t="s">
        <v>152</v>
      </c>
      <c r="D109" s="708">
        <v>130</v>
      </c>
      <c r="E109" s="711"/>
      <c r="F109" s="678"/>
      <c r="G109" s="679"/>
      <c r="H109" s="679"/>
      <c r="I109" s="679"/>
      <c r="J109" s="679"/>
      <c r="K109" s="679"/>
      <c r="L109" s="679"/>
      <c r="M109" s="679"/>
      <c r="N109" s="679"/>
      <c r="O109" s="679"/>
      <c r="P109" s="679"/>
      <c r="Q109" s="679"/>
      <c r="R109" s="679"/>
      <c r="S109" s="679"/>
      <c r="T109" s="679"/>
      <c r="U109" s="679"/>
      <c r="V109" s="679">
        <v>-25</v>
      </c>
      <c r="W109" s="679"/>
      <c r="X109" s="679"/>
      <c r="Y109" s="679"/>
      <c r="Z109" s="679"/>
      <c r="AA109" s="679"/>
      <c r="AB109" s="679"/>
      <c r="AC109" s="679"/>
      <c r="AD109" s="591">
        <f t="shared" si="16"/>
        <v>-25</v>
      </c>
      <c r="AE109" s="531">
        <f t="shared" si="17"/>
        <v>-3250</v>
      </c>
      <c r="AF109" s="494" t="str">
        <f t="shared" si="18"/>
        <v>buy</v>
      </c>
    </row>
    <row r="110" spans="1:32" s="349" customFormat="1" x14ac:dyDescent="0.2">
      <c r="A110" s="577" t="s">
        <v>64</v>
      </c>
      <c r="B110" s="527" t="s">
        <v>383</v>
      </c>
      <c r="C110" s="527" t="s">
        <v>152</v>
      </c>
      <c r="D110" s="708">
        <v>140</v>
      </c>
      <c r="E110" s="711"/>
      <c r="F110" s="678"/>
      <c r="G110" s="679"/>
      <c r="H110" s="679"/>
      <c r="I110" s="679"/>
      <c r="J110" s="679"/>
      <c r="K110" s="679"/>
      <c r="L110" s="679"/>
      <c r="M110" s="679"/>
      <c r="N110" s="679"/>
      <c r="O110" s="679"/>
      <c r="P110" s="679"/>
      <c r="Q110" s="679"/>
      <c r="R110" s="679">
        <v>-25</v>
      </c>
      <c r="S110" s="679">
        <v>-25</v>
      </c>
      <c r="T110" s="679">
        <v>-25</v>
      </c>
      <c r="U110" s="679">
        <v>-25</v>
      </c>
      <c r="V110" s="679"/>
      <c r="W110" s="679"/>
      <c r="X110" s="679"/>
      <c r="Y110" s="679"/>
      <c r="Z110" s="679"/>
      <c r="AA110" s="679"/>
      <c r="AB110" s="679"/>
      <c r="AC110" s="679"/>
      <c r="AD110" s="591">
        <f t="shared" si="16"/>
        <v>-100</v>
      </c>
      <c r="AE110" s="531">
        <f t="shared" si="17"/>
        <v>-14000</v>
      </c>
      <c r="AF110" s="494" t="str">
        <f t="shared" si="18"/>
        <v>buy</v>
      </c>
    </row>
    <row r="111" spans="1:32" s="349" customFormat="1" x14ac:dyDescent="0.2">
      <c r="A111" s="577" t="s">
        <v>225</v>
      </c>
      <c r="B111" s="527" t="s">
        <v>383</v>
      </c>
      <c r="C111" s="527" t="s">
        <v>152</v>
      </c>
      <c r="D111" s="708">
        <v>150</v>
      </c>
      <c r="E111" s="711"/>
      <c r="F111" s="678"/>
      <c r="G111" s="679"/>
      <c r="H111" s="679"/>
      <c r="I111" s="679"/>
      <c r="J111" s="679"/>
      <c r="K111" s="679"/>
      <c r="L111" s="679"/>
      <c r="M111" s="679"/>
      <c r="N111" s="679"/>
      <c r="O111" s="679"/>
      <c r="P111" s="679"/>
      <c r="Q111" s="679"/>
      <c r="R111" s="679">
        <v>-25</v>
      </c>
      <c r="S111" s="679">
        <v>-25</v>
      </c>
      <c r="T111" s="679">
        <v>-25</v>
      </c>
      <c r="U111" s="679">
        <v>-25</v>
      </c>
      <c r="V111" s="679"/>
      <c r="W111" s="679"/>
      <c r="X111" s="679"/>
      <c r="Y111" s="679"/>
      <c r="Z111" s="679"/>
      <c r="AA111" s="679"/>
      <c r="AB111" s="679"/>
      <c r="AC111" s="679"/>
      <c r="AD111" s="591">
        <f t="shared" si="16"/>
        <v>-100</v>
      </c>
      <c r="AE111" s="531">
        <f t="shared" si="17"/>
        <v>-15000</v>
      </c>
      <c r="AF111" s="494" t="str">
        <f t="shared" si="18"/>
        <v>buy</v>
      </c>
    </row>
    <row r="112" spans="1:32" s="349" customFormat="1" x14ac:dyDescent="0.2">
      <c r="A112" s="577" t="s">
        <v>384</v>
      </c>
      <c r="B112" s="527" t="s">
        <v>383</v>
      </c>
      <c r="C112" s="527" t="s">
        <v>280</v>
      </c>
      <c r="D112" s="708">
        <v>200</v>
      </c>
      <c r="E112" s="711"/>
      <c r="F112" s="678"/>
      <c r="G112" s="679"/>
      <c r="H112" s="679"/>
      <c r="I112" s="679"/>
      <c r="J112" s="679"/>
      <c r="K112" s="679"/>
      <c r="L112" s="679"/>
      <c r="M112" s="679"/>
      <c r="N112" s="679"/>
      <c r="O112" s="679"/>
      <c r="P112" s="679"/>
      <c r="Q112" s="679"/>
      <c r="R112" s="679"/>
      <c r="S112" s="679"/>
      <c r="T112" s="679"/>
      <c r="U112" s="679">
        <v>-25</v>
      </c>
      <c r="V112" s="679"/>
      <c r="W112" s="679"/>
      <c r="X112" s="679"/>
      <c r="Y112" s="679"/>
      <c r="Z112" s="679"/>
      <c r="AA112" s="679"/>
      <c r="AB112" s="679"/>
      <c r="AC112" s="679"/>
      <c r="AD112" s="591">
        <f t="shared" si="16"/>
        <v>-25</v>
      </c>
      <c r="AE112" s="531">
        <f t="shared" si="17"/>
        <v>-5000</v>
      </c>
      <c r="AF112" s="494" t="str">
        <f t="shared" si="18"/>
        <v>buy</v>
      </c>
    </row>
    <row r="113" spans="1:33" s="349" customFormat="1" x14ac:dyDescent="0.2">
      <c r="A113" s="577" t="s">
        <v>384</v>
      </c>
      <c r="B113" s="527" t="s">
        <v>383</v>
      </c>
      <c r="C113" s="527" t="s">
        <v>280</v>
      </c>
      <c r="D113" s="708">
        <v>175</v>
      </c>
      <c r="E113" s="711"/>
      <c r="F113" s="678"/>
      <c r="G113" s="679"/>
      <c r="H113" s="679"/>
      <c r="I113" s="679"/>
      <c r="J113" s="679"/>
      <c r="K113" s="679"/>
      <c r="L113" s="679"/>
      <c r="M113" s="679"/>
      <c r="N113" s="679"/>
      <c r="O113" s="679"/>
      <c r="P113" s="679"/>
      <c r="Q113" s="679"/>
      <c r="R113" s="679"/>
      <c r="S113" s="679">
        <v>-25</v>
      </c>
      <c r="T113" s="679">
        <v>-25</v>
      </c>
      <c r="U113" s="679"/>
      <c r="V113" s="679"/>
      <c r="W113" s="679"/>
      <c r="X113" s="679"/>
      <c r="Y113" s="679"/>
      <c r="Z113" s="679"/>
      <c r="AA113" s="679"/>
      <c r="AB113" s="679"/>
      <c r="AC113" s="679"/>
      <c r="AD113" s="591">
        <f t="shared" si="16"/>
        <v>-50</v>
      </c>
      <c r="AE113" s="531">
        <f t="shared" si="17"/>
        <v>-8750</v>
      </c>
      <c r="AF113" s="494" t="str">
        <f t="shared" si="18"/>
        <v>buy</v>
      </c>
    </row>
    <row r="114" spans="1:33" s="349" customFormat="1" x14ac:dyDescent="0.2">
      <c r="A114" s="577" t="s">
        <v>64</v>
      </c>
      <c r="B114" s="527" t="s">
        <v>383</v>
      </c>
      <c r="C114" s="527" t="s">
        <v>152</v>
      </c>
      <c r="D114" s="708">
        <v>120</v>
      </c>
      <c r="E114" s="711"/>
      <c r="F114" s="678"/>
      <c r="G114" s="679"/>
      <c r="H114" s="679"/>
      <c r="I114" s="679"/>
      <c r="J114" s="679"/>
      <c r="K114" s="679"/>
      <c r="L114" s="679"/>
      <c r="M114" s="679"/>
      <c r="N114" s="679"/>
      <c r="O114" s="679"/>
      <c r="P114" s="679"/>
      <c r="Q114" s="679"/>
      <c r="R114" s="679"/>
      <c r="S114" s="679"/>
      <c r="T114" s="679"/>
      <c r="U114" s="679"/>
      <c r="V114" s="679"/>
      <c r="W114" s="679"/>
      <c r="X114" s="679"/>
      <c r="Y114" s="679">
        <v>-50</v>
      </c>
      <c r="Z114" s="679"/>
      <c r="AA114" s="679"/>
      <c r="AB114" s="679"/>
      <c r="AC114" s="679"/>
      <c r="AD114" s="591">
        <f>SUM(E114:AC114)</f>
        <v>-50</v>
      </c>
      <c r="AE114" s="531">
        <f>AD114*D114</f>
        <v>-6000</v>
      </c>
      <c r="AF114" s="494" t="str">
        <f>IF(AD114&lt;0,"buy","sell")</f>
        <v>buy</v>
      </c>
    </row>
    <row r="115" spans="1:33" s="349" customFormat="1" x14ac:dyDescent="0.2">
      <c r="A115" s="577" t="s">
        <v>225</v>
      </c>
      <c r="B115" s="527" t="s">
        <v>383</v>
      </c>
      <c r="C115" s="527" t="s">
        <v>152</v>
      </c>
      <c r="D115" s="708">
        <v>195</v>
      </c>
      <c r="E115" s="711"/>
      <c r="F115" s="678"/>
      <c r="G115" s="679"/>
      <c r="H115" s="679"/>
      <c r="I115" s="679"/>
      <c r="J115" s="679"/>
      <c r="K115" s="679"/>
      <c r="L115" s="679"/>
      <c r="M115" s="679"/>
      <c r="N115" s="679"/>
      <c r="O115" s="679"/>
      <c r="P115" s="679"/>
      <c r="Q115" s="679"/>
      <c r="R115" s="679"/>
      <c r="S115" s="679"/>
      <c r="T115" s="679"/>
      <c r="U115" s="679"/>
      <c r="V115" s="679"/>
      <c r="W115" s="679"/>
      <c r="X115" s="679"/>
      <c r="Y115" s="679">
        <v>-87</v>
      </c>
      <c r="Z115" s="679">
        <v>-150</v>
      </c>
      <c r="AA115" s="679"/>
      <c r="AB115" s="679">
        <v>-75</v>
      </c>
      <c r="AC115" s="679"/>
      <c r="AD115" s="591">
        <f>SUM(E115:AC115)</f>
        <v>-312</v>
      </c>
      <c r="AE115" s="531">
        <f>AD115*D115</f>
        <v>-60840</v>
      </c>
      <c r="AF115" s="494" t="str">
        <f>IF(AD115&lt;0,"buy","sell")</f>
        <v>buy</v>
      </c>
    </row>
    <row r="116" spans="1:33" s="349" customFormat="1" x14ac:dyDescent="0.2">
      <c r="A116" s="577" t="s">
        <v>66</v>
      </c>
      <c r="B116" s="527" t="s">
        <v>383</v>
      </c>
      <c r="C116" s="527" t="s">
        <v>152</v>
      </c>
      <c r="D116" s="708">
        <v>90</v>
      </c>
      <c r="E116" s="711"/>
      <c r="F116" s="678"/>
      <c r="G116" s="679"/>
      <c r="H116" s="679"/>
      <c r="I116" s="679"/>
      <c r="J116" s="679"/>
      <c r="K116" s="679"/>
      <c r="L116" s="679"/>
      <c r="M116" s="679"/>
      <c r="N116" s="679"/>
      <c r="O116" s="679"/>
      <c r="P116" s="679"/>
      <c r="Q116" s="679"/>
      <c r="R116" s="679"/>
      <c r="S116" s="679"/>
      <c r="T116" s="679"/>
      <c r="U116" s="679"/>
      <c r="V116" s="679"/>
      <c r="W116" s="679"/>
      <c r="X116" s="679"/>
      <c r="Y116" s="679"/>
      <c r="Z116" s="679"/>
      <c r="AA116" s="679">
        <v>-100</v>
      </c>
      <c r="AB116" s="679">
        <v>-100</v>
      </c>
      <c r="AC116" s="679">
        <v>-100</v>
      </c>
      <c r="AD116" s="591">
        <f>SUM(E116:AC116)</f>
        <v>-300</v>
      </c>
      <c r="AE116" s="531">
        <f>AD116*D116</f>
        <v>-27000</v>
      </c>
      <c r="AF116" s="494" t="str">
        <f>IF(AD116&lt;0,"buy","sell")</f>
        <v>buy</v>
      </c>
    </row>
    <row r="117" spans="1:33" s="349" customFormat="1" x14ac:dyDescent="0.2">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763"/>
      <c r="AC117" s="679"/>
      <c r="AD117" s="591"/>
      <c r="AE117" s="531"/>
      <c r="AF117" s="494"/>
    </row>
    <row r="118" spans="1:33" s="349" customFormat="1" x14ac:dyDescent="0.2">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682"/>
      <c r="AC118" s="508"/>
      <c r="AD118" s="591"/>
      <c r="AE118" s="531"/>
      <c r="AF118" s="494"/>
    </row>
    <row r="119" spans="1:33" s="349" customFormat="1" x14ac:dyDescent="0.2">
      <c r="A119" s="582" t="s">
        <v>68</v>
      </c>
      <c r="B119" s="511" t="s">
        <v>383</v>
      </c>
      <c r="C119" s="628" t="s">
        <v>152</v>
      </c>
      <c r="D119" s="769">
        <v>25</v>
      </c>
      <c r="E119" s="506"/>
      <c r="F119" s="762"/>
      <c r="G119" s="762"/>
      <c r="H119" s="682"/>
      <c r="I119" s="507"/>
      <c r="J119" s="507"/>
      <c r="K119" s="507"/>
      <c r="L119" s="507"/>
      <c r="M119" s="507"/>
      <c r="N119" s="507"/>
      <c r="O119" s="507"/>
      <c r="P119" s="507"/>
      <c r="Q119" s="507"/>
      <c r="R119" s="507"/>
      <c r="S119" s="507"/>
      <c r="T119" s="507"/>
      <c r="U119" s="507"/>
      <c r="V119" s="507"/>
      <c r="W119" s="507"/>
      <c r="X119" s="507"/>
      <c r="Y119" s="507"/>
      <c r="Z119" s="507"/>
      <c r="AA119" s="507"/>
      <c r="AB119" s="682">
        <v>-25</v>
      </c>
      <c r="AC119" s="682">
        <v>-25</v>
      </c>
      <c r="AD119" s="591">
        <f>SUM(E119:AC119)</f>
        <v>-50</v>
      </c>
      <c r="AE119" s="531">
        <f>AD119*D119</f>
        <v>-1250</v>
      </c>
      <c r="AF119" s="494" t="str">
        <f>IF(AD119&lt;0,"buy","sell")</f>
        <v>buy</v>
      </c>
    </row>
    <row r="120" spans="1:33" s="728" customFormat="1" x14ac:dyDescent="0.2">
      <c r="A120" s="723"/>
      <c r="B120" s="724"/>
      <c r="C120" s="724"/>
      <c r="D120" s="704"/>
      <c r="E120" s="725"/>
      <c r="F120" s="721"/>
      <c r="G120" s="721"/>
      <c r="H120" s="726"/>
      <c r="I120" s="727"/>
      <c r="J120" s="727"/>
      <c r="K120" s="727"/>
      <c r="L120" s="727"/>
      <c r="M120" s="727"/>
      <c r="N120" s="727"/>
      <c r="O120" s="727"/>
      <c r="P120" s="727"/>
      <c r="Q120" s="727"/>
      <c r="R120" s="727"/>
      <c r="S120" s="727"/>
      <c r="T120" s="727"/>
      <c r="U120" s="727"/>
      <c r="V120" s="727"/>
      <c r="W120" s="727"/>
      <c r="X120" s="727"/>
      <c r="Y120" s="727"/>
      <c r="Z120" s="727"/>
      <c r="AA120" s="727"/>
      <c r="AB120" s="726"/>
      <c r="AC120" s="722"/>
      <c r="AD120" s="729"/>
      <c r="AE120" s="730"/>
      <c r="AF120" s="695"/>
    </row>
    <row r="121" spans="1:33" s="349" customFormat="1" x14ac:dyDescent="0.2">
      <c r="A121" s="509" t="s">
        <v>207</v>
      </c>
      <c r="B121" s="461"/>
      <c r="C121" s="461"/>
      <c r="D121" s="461"/>
      <c r="E121" s="461"/>
      <c r="F121" s="621"/>
      <c r="G121" s="461"/>
      <c r="H121" s="683"/>
      <c r="I121" s="461"/>
      <c r="J121" s="461"/>
      <c r="K121" s="461"/>
      <c r="L121" s="461"/>
      <c r="M121" s="461"/>
      <c r="N121" s="461"/>
      <c r="O121" s="461"/>
      <c r="P121" s="461"/>
      <c r="Q121" s="461"/>
      <c r="R121" s="461"/>
      <c r="S121" s="461"/>
      <c r="T121" s="461"/>
      <c r="U121" s="461"/>
      <c r="V121" s="461"/>
      <c r="W121" s="461"/>
      <c r="X121" s="461"/>
      <c r="Y121" s="461"/>
      <c r="Z121" s="461"/>
      <c r="AA121" s="461"/>
      <c r="AB121" s="461"/>
      <c r="AC121" s="461"/>
      <c r="AD121" s="461"/>
      <c r="AE121" s="461"/>
      <c r="AF121" s="461"/>
    </row>
    <row r="122" spans="1:33" x14ac:dyDescent="0.2">
      <c r="A122" s="349"/>
      <c r="B122" s="360"/>
      <c r="C122" s="360"/>
      <c r="D122" s="361"/>
      <c r="E122" s="361"/>
      <c r="F122" s="13"/>
      <c r="G122" s="362"/>
      <c r="H122" s="684"/>
      <c r="I122" s="362"/>
      <c r="J122" s="362"/>
      <c r="K122" s="362"/>
      <c r="L122" s="362"/>
      <c r="M122" s="597"/>
      <c r="N122" s="597"/>
      <c r="O122" s="597"/>
      <c r="P122" s="597"/>
      <c r="Q122" s="597"/>
      <c r="R122" s="597"/>
      <c r="S122" s="597"/>
      <c r="T122" s="597"/>
      <c r="U122" s="597"/>
      <c r="V122" s="597"/>
      <c r="W122" s="597"/>
      <c r="X122" s="597"/>
      <c r="Y122" s="597"/>
      <c r="Z122" s="597"/>
      <c r="AA122" s="597"/>
      <c r="AB122" s="597"/>
      <c r="AC122" s="603"/>
      <c r="AD122" s="447"/>
      <c r="AE122" s="448"/>
      <c r="AF122" s="435"/>
      <c r="AG122" s="349"/>
    </row>
    <row r="123" spans="1:33" s="349" customFormat="1" ht="18" x14ac:dyDescent="0.25">
      <c r="A123" s="421" t="s">
        <v>242</v>
      </c>
      <c r="B123" s="422"/>
      <c r="C123" s="501"/>
      <c r="D123" s="423"/>
      <c r="E123" s="423"/>
      <c r="F123" s="13"/>
      <c r="G123" s="425"/>
      <c r="H123" s="415"/>
      <c r="I123" s="366"/>
      <c r="J123" s="366"/>
      <c r="K123" s="367"/>
      <c r="L123" s="366"/>
      <c r="M123" s="598"/>
      <c r="N123" s="598"/>
      <c r="O123" s="598"/>
      <c r="P123" s="598"/>
      <c r="Q123" s="598"/>
      <c r="R123" s="598"/>
      <c r="S123" s="598" t="s">
        <v>15</v>
      </c>
      <c r="T123" s="598"/>
      <c r="U123" s="598"/>
      <c r="V123" s="598"/>
      <c r="W123" s="598"/>
      <c r="X123" s="598"/>
      <c r="Y123" s="598"/>
      <c r="Z123" s="604"/>
      <c r="AA123" s="604"/>
      <c r="AB123" s="604"/>
      <c r="AC123" s="605"/>
      <c r="AD123" s="447"/>
      <c r="AE123" s="448"/>
      <c r="AF123" s="368"/>
    </row>
    <row r="124" spans="1:33" s="349" customFormat="1" ht="18.75" thickBot="1" x14ac:dyDescent="0.3">
      <c r="A124" s="426"/>
      <c r="B124" s="427"/>
      <c r="C124" s="427"/>
      <c r="D124" s="423"/>
      <c r="E124" s="423"/>
      <c r="F124" s="622" t="s">
        <v>272</v>
      </c>
      <c r="G124" s="425"/>
      <c r="H124" s="415"/>
      <c r="I124" s="366"/>
      <c r="J124" s="366"/>
      <c r="K124" s="369"/>
      <c r="L124" s="369"/>
      <c r="M124" s="598"/>
      <c r="N124" s="598"/>
      <c r="O124" s="598"/>
      <c r="P124" s="598"/>
      <c r="Q124" s="598"/>
      <c r="R124" s="598"/>
      <c r="S124" s="598"/>
      <c r="T124" s="598"/>
      <c r="U124" s="598"/>
      <c r="V124" s="598"/>
      <c r="W124" s="598"/>
      <c r="X124" s="598"/>
      <c r="Y124" s="598"/>
      <c r="Z124" s="604"/>
      <c r="AA124" s="604"/>
      <c r="AB124" s="604"/>
      <c r="AC124" s="605"/>
      <c r="AD124" s="447"/>
      <c r="AE124" s="448"/>
      <c r="AF124" s="368"/>
    </row>
    <row r="125" spans="1:33" s="349" customFormat="1" ht="18.75" thickBot="1" x14ac:dyDescent="0.3">
      <c r="A125" s="428" t="s">
        <v>7</v>
      </c>
      <c r="B125" s="429"/>
      <c r="C125" s="429" t="s">
        <v>266</v>
      </c>
      <c r="D125" s="430" t="s">
        <v>9</v>
      </c>
      <c r="E125" s="429"/>
      <c r="F125" s="623" t="s">
        <v>320</v>
      </c>
      <c r="G125" s="432"/>
      <c r="H125" s="415"/>
      <c r="I125" s="366"/>
      <c r="J125" s="366"/>
      <c r="K125" s="369"/>
      <c r="L125" s="367"/>
      <c r="M125" s="598"/>
      <c r="N125" s="598"/>
      <c r="O125" s="598"/>
      <c r="P125" s="598"/>
      <c r="Q125" s="598"/>
      <c r="R125" s="598"/>
      <c r="S125" s="598"/>
      <c r="T125" s="598"/>
      <c r="U125" s="598"/>
      <c r="V125" s="598"/>
      <c r="W125" s="598"/>
      <c r="X125" s="598"/>
      <c r="Y125" s="598"/>
      <c r="Z125" s="398"/>
      <c r="AA125" s="604"/>
      <c r="AB125" s="604"/>
      <c r="AC125" s="605"/>
      <c r="AD125" s="447"/>
      <c r="AE125" s="448"/>
      <c r="AF125" s="368"/>
    </row>
    <row r="126" spans="1:33" s="349" customFormat="1" ht="18" x14ac:dyDescent="0.25">
      <c r="A126" s="433" t="s">
        <v>244</v>
      </c>
      <c r="B126" s="434" t="s">
        <v>245</v>
      </c>
      <c r="C126" s="434"/>
      <c r="D126" s="529"/>
      <c r="E126" s="434"/>
      <c r="F126" s="624">
        <f>D127-0.25</f>
        <v>-0.25</v>
      </c>
      <c r="G126" s="425" t="s">
        <v>321</v>
      </c>
      <c r="H126" s="415"/>
      <c r="I126" s="366"/>
      <c r="J126" s="366"/>
      <c r="K126" s="369"/>
      <c r="L126" s="367"/>
      <c r="M126" s="598"/>
      <c r="N126" s="598"/>
      <c r="O126" s="598"/>
      <c r="P126" s="598"/>
      <c r="Q126" s="598"/>
      <c r="R126" s="598"/>
      <c r="S126" s="598"/>
      <c r="T126" s="598"/>
      <c r="U126" s="598"/>
      <c r="V126" s="598"/>
      <c r="W126" s="598"/>
      <c r="X126" s="598"/>
      <c r="Y126" s="598"/>
      <c r="Z126" s="604" t="s">
        <v>208</v>
      </c>
      <c r="AA126" s="604"/>
      <c r="AB126" s="604"/>
      <c r="AC126" s="606"/>
      <c r="AD126" s="443"/>
      <c r="AE126" s="444"/>
      <c r="AF126" s="368"/>
    </row>
    <row r="127" spans="1:33" s="349" customFormat="1" x14ac:dyDescent="0.2">
      <c r="A127" s="427">
        <v>24</v>
      </c>
      <c r="B127" s="427">
        <v>1</v>
      </c>
      <c r="C127" s="435">
        <v>1</v>
      </c>
      <c r="D127" s="532"/>
      <c r="E127" s="496"/>
      <c r="F127" s="624">
        <f t="shared" ref="F127:F150" si="19">D128-0.25</f>
        <v>-0.25</v>
      </c>
      <c r="G127" s="510">
        <f>D127+0.56</f>
        <v>0.56000000000000005</v>
      </c>
      <c r="H127" s="415"/>
      <c r="I127" s="366"/>
      <c r="J127" s="366"/>
      <c r="K127" s="369"/>
      <c r="L127" s="366"/>
      <c r="M127" s="598"/>
      <c r="N127" s="598"/>
      <c r="O127" s="598"/>
      <c r="P127" s="598"/>
      <c r="Q127" s="598"/>
      <c r="R127" s="598"/>
      <c r="S127" s="598"/>
      <c r="T127" s="598"/>
      <c r="U127" s="598"/>
      <c r="V127" s="598"/>
      <c r="W127" s="598"/>
      <c r="X127" s="598"/>
      <c r="Y127" s="598"/>
      <c r="Z127" s="604"/>
      <c r="AA127" s="598"/>
      <c r="AB127" s="598"/>
      <c r="AC127" s="606"/>
      <c r="AD127" s="398"/>
      <c r="AE127" s="398"/>
      <c r="AF127" s="497"/>
    </row>
    <row r="128" spans="1:33" s="349" customFormat="1" x14ac:dyDescent="0.2">
      <c r="A128" s="425">
        <v>1</v>
      </c>
      <c r="B128" s="425">
        <v>2</v>
      </c>
      <c r="C128" s="435">
        <v>1</v>
      </c>
      <c r="D128" s="532"/>
      <c r="E128" s="465"/>
      <c r="F128" s="624">
        <f t="shared" si="19"/>
        <v>-0.25</v>
      </c>
      <c r="G128" s="510">
        <f t="shared" ref="G128:G151" si="20">D128+0.56</f>
        <v>0.56000000000000005</v>
      </c>
      <c r="H128" s="415"/>
      <c r="I128" s="366"/>
      <c r="J128" s="366"/>
      <c r="K128" s="369"/>
      <c r="L128" s="366"/>
      <c r="M128" s="598"/>
      <c r="N128" s="598"/>
      <c r="O128" s="598"/>
      <c r="P128" s="598"/>
      <c r="Q128" s="598"/>
      <c r="R128" s="598"/>
      <c r="S128" s="598"/>
      <c r="T128" s="598"/>
      <c r="U128" s="598"/>
      <c r="V128" s="598"/>
      <c r="W128" s="598"/>
      <c r="X128" s="598"/>
      <c r="Y128" s="598"/>
      <c r="Z128" s="598" t="s">
        <v>267</v>
      </c>
      <c r="AA128" s="598"/>
      <c r="AB128" s="598"/>
      <c r="AC128" s="606"/>
      <c r="AD128" s="456">
        <f>SUM(AD22:AD96)</f>
        <v>4515</v>
      </c>
      <c r="AE128" s="456">
        <f>SUM(AE22:AE96)</f>
        <v>766075</v>
      </c>
      <c r="AF128" s="497"/>
    </row>
    <row r="129" spans="1:33" s="349" customFormat="1" x14ac:dyDescent="0.2">
      <c r="A129" s="427">
        <v>2</v>
      </c>
      <c r="B129" s="427">
        <v>3</v>
      </c>
      <c r="C129" s="435">
        <v>1</v>
      </c>
      <c r="D129" s="532"/>
      <c r="E129" s="465"/>
      <c r="F129" s="624">
        <f t="shared" si="19"/>
        <v>-0.25</v>
      </c>
      <c r="G129" s="510">
        <f t="shared" si="20"/>
        <v>0.56000000000000005</v>
      </c>
      <c r="H129" s="415"/>
      <c r="I129" s="366"/>
      <c r="J129" s="366"/>
      <c r="K129" s="369"/>
      <c r="L129" s="366"/>
      <c r="M129" s="598"/>
      <c r="N129" s="598"/>
      <c r="O129" s="598"/>
      <c r="P129" s="598"/>
      <c r="Q129" s="598"/>
      <c r="R129" s="598"/>
      <c r="S129" s="598"/>
      <c r="T129" s="598"/>
      <c r="U129" s="598"/>
      <c r="V129" s="598"/>
      <c r="W129" s="598"/>
      <c r="X129" s="598"/>
      <c r="Y129" s="598"/>
      <c r="Z129" s="598" t="s">
        <v>268</v>
      </c>
      <c r="AA129" s="598"/>
      <c r="AB129" s="598"/>
      <c r="AC129" s="607"/>
      <c r="AD129" s="451">
        <f>SUM(AD96:AD116)</f>
        <v>-3412</v>
      </c>
      <c r="AE129" s="451">
        <f>SUM(AE97:AE116)</f>
        <v>-869415</v>
      </c>
      <c r="AF129" s="497"/>
    </row>
    <row r="130" spans="1:33" s="349" customFormat="1" x14ac:dyDescent="0.2">
      <c r="A130" s="425">
        <v>3</v>
      </c>
      <c r="B130" s="425">
        <v>4</v>
      </c>
      <c r="C130" s="435">
        <v>1</v>
      </c>
      <c r="D130" s="532"/>
      <c r="E130" s="465"/>
      <c r="F130" s="624">
        <f t="shared" si="19"/>
        <v>-0.25</v>
      </c>
      <c r="G130" s="510">
        <f t="shared" si="20"/>
        <v>0.56000000000000005</v>
      </c>
      <c r="H130" s="415"/>
      <c r="I130" s="373"/>
      <c r="J130" s="373"/>
      <c r="K130" s="374"/>
      <c r="L130" s="373"/>
      <c r="M130" s="598"/>
      <c r="N130" s="598"/>
      <c r="O130" s="598"/>
      <c r="P130" s="598"/>
      <c r="Q130" s="598"/>
      <c r="R130" s="598"/>
      <c r="S130" s="598"/>
      <c r="T130" s="598"/>
      <c r="U130" s="598"/>
      <c r="V130" s="598"/>
      <c r="W130" s="598"/>
      <c r="X130" s="598"/>
      <c r="Y130" s="598"/>
      <c r="Z130" s="608"/>
      <c r="AA130" s="608"/>
      <c r="AB130" s="608"/>
      <c r="AC130" s="609"/>
      <c r="AF130" s="380"/>
    </row>
    <row r="131" spans="1:33" s="398" customFormat="1" x14ac:dyDescent="0.2">
      <c r="A131" s="427">
        <v>4</v>
      </c>
      <c r="B131" s="427">
        <v>5</v>
      </c>
      <c r="C131" s="435">
        <v>1</v>
      </c>
      <c r="D131" s="532"/>
      <c r="E131" s="465"/>
      <c r="F131" s="624">
        <f t="shared" si="19"/>
        <v>-0.25</v>
      </c>
      <c r="G131" s="510">
        <f t="shared" si="20"/>
        <v>0.56000000000000005</v>
      </c>
      <c r="H131" s="415"/>
      <c r="I131" s="349"/>
      <c r="J131" s="349"/>
      <c r="K131" s="349"/>
      <c r="L131" s="349"/>
      <c r="O131" s="598"/>
      <c r="P131" s="598"/>
      <c r="Q131" s="598"/>
      <c r="R131" s="598"/>
      <c r="S131" s="598"/>
      <c r="T131" s="598"/>
      <c r="U131" s="598"/>
      <c r="V131" s="598"/>
      <c r="W131" s="598"/>
      <c r="X131" s="598"/>
      <c r="Y131" s="598"/>
      <c r="Z131" s="610" t="s">
        <v>281</v>
      </c>
      <c r="AA131" s="610"/>
      <c r="AB131" s="610"/>
      <c r="AC131" s="611"/>
      <c r="AD131" s="585"/>
      <c r="AE131" s="586"/>
      <c r="AG131" s="349"/>
    </row>
    <row r="132" spans="1:33" s="398" customFormat="1" x14ac:dyDescent="0.2">
      <c r="A132" s="425">
        <v>5</v>
      </c>
      <c r="B132" s="425">
        <v>6</v>
      </c>
      <c r="C132" s="435">
        <v>1</v>
      </c>
      <c r="D132" s="532"/>
      <c r="E132" s="465"/>
      <c r="F132" s="624">
        <f t="shared" si="19"/>
        <v>-0.25</v>
      </c>
      <c r="G132" s="510">
        <f t="shared" si="20"/>
        <v>0.56000000000000005</v>
      </c>
      <c r="H132" s="415"/>
      <c r="I132" s="349"/>
      <c r="J132" s="349"/>
      <c r="K132" s="349"/>
      <c r="L132" s="349"/>
      <c r="O132" s="598"/>
      <c r="P132" s="598"/>
      <c r="Q132" s="598"/>
      <c r="R132" s="598"/>
      <c r="S132" s="598"/>
      <c r="T132" s="598"/>
      <c r="U132" s="598"/>
      <c r="V132" s="598"/>
      <c r="W132" s="598"/>
      <c r="X132" s="598"/>
      <c r="Y132" s="598"/>
      <c r="Z132" s="610"/>
      <c r="AA132" s="610"/>
      <c r="AB132" s="610"/>
      <c r="AC132" s="611"/>
      <c r="AD132" s="585"/>
      <c r="AE132" s="586"/>
      <c r="AG132" s="366"/>
    </row>
    <row r="133" spans="1:33" s="398" customFormat="1" x14ac:dyDescent="0.2">
      <c r="A133" s="427">
        <v>6</v>
      </c>
      <c r="B133" s="427">
        <v>7</v>
      </c>
      <c r="C133" s="435">
        <v>1</v>
      </c>
      <c r="D133" s="532"/>
      <c r="E133" s="465"/>
      <c r="F133" s="624">
        <f t="shared" si="19"/>
        <v>-0.25</v>
      </c>
      <c r="G133" s="510">
        <f t="shared" si="20"/>
        <v>0.56000000000000005</v>
      </c>
      <c r="H133" s="415"/>
      <c r="I133" s="349"/>
      <c r="J133" s="349"/>
      <c r="K133" s="349"/>
      <c r="L133" s="349"/>
      <c r="O133" s="598"/>
      <c r="P133" s="598"/>
      <c r="Q133" s="598"/>
      <c r="R133" s="598"/>
      <c r="S133" s="598"/>
      <c r="T133" s="598"/>
      <c r="U133" s="598"/>
      <c r="V133" s="598"/>
      <c r="W133" s="598"/>
      <c r="X133" s="598"/>
      <c r="Y133" s="598"/>
      <c r="Z133" s="610" t="s">
        <v>268</v>
      </c>
      <c r="AA133" s="610"/>
      <c r="AB133" s="610"/>
      <c r="AC133" s="611"/>
      <c r="AD133" s="587">
        <f>SUM(AD118:AD120)</f>
        <v>-50</v>
      </c>
      <c r="AE133" s="587">
        <f>SUM(AE118:AE120)</f>
        <v>-1250</v>
      </c>
      <c r="AG133" s="349"/>
    </row>
    <row r="134" spans="1:33" s="398" customFormat="1" x14ac:dyDescent="0.2">
      <c r="A134" s="425">
        <v>7</v>
      </c>
      <c r="B134" s="425">
        <v>8</v>
      </c>
      <c r="C134" s="435">
        <v>1</v>
      </c>
      <c r="D134" s="532"/>
      <c r="E134" s="465"/>
      <c r="F134" s="624">
        <f t="shared" si="19"/>
        <v>-0.25</v>
      </c>
      <c r="G134" s="510">
        <f t="shared" si="20"/>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
      <c r="A135" s="427">
        <v>8</v>
      </c>
      <c r="B135" s="427">
        <v>9</v>
      </c>
      <c r="C135" s="435">
        <v>1</v>
      </c>
      <c r="D135" s="532"/>
      <c r="E135" s="465"/>
      <c r="F135" s="624">
        <f t="shared" si="19"/>
        <v>-0.25</v>
      </c>
      <c r="G135" s="510">
        <f t="shared" si="20"/>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
      <c r="A136" s="425">
        <v>9</v>
      </c>
      <c r="B136" s="425">
        <v>10</v>
      </c>
      <c r="C136" s="435">
        <v>1</v>
      </c>
      <c r="D136" s="532"/>
      <c r="E136" s="465"/>
      <c r="F136" s="624">
        <f t="shared" si="19"/>
        <v>-0.25</v>
      </c>
      <c r="G136" s="510">
        <f t="shared" si="20"/>
        <v>0.56000000000000005</v>
      </c>
      <c r="H136" s="415"/>
      <c r="I136" s="349"/>
      <c r="J136" s="349"/>
      <c r="K136" s="349"/>
      <c r="L136" s="349"/>
      <c r="O136" s="598"/>
      <c r="P136" s="598"/>
      <c r="Q136" s="598"/>
      <c r="R136" s="598"/>
      <c r="S136" s="598"/>
      <c r="T136" s="598"/>
      <c r="U136" s="598"/>
      <c r="V136" s="598"/>
      <c r="W136" s="598"/>
      <c r="X136" s="598"/>
      <c r="Y136" s="598"/>
      <c r="AC136" s="454"/>
      <c r="AG136" s="349"/>
    </row>
    <row r="137" spans="1:33" s="398" customFormat="1" x14ac:dyDescent="0.2">
      <c r="A137" s="427">
        <v>10</v>
      </c>
      <c r="B137" s="427">
        <v>11</v>
      </c>
      <c r="C137" s="435">
        <v>1</v>
      </c>
      <c r="D137" s="532"/>
      <c r="E137" s="465"/>
      <c r="F137" s="624">
        <f t="shared" si="19"/>
        <v>-0.25</v>
      </c>
      <c r="G137" s="510">
        <f t="shared" si="20"/>
        <v>0.56000000000000005</v>
      </c>
      <c r="H137" s="685"/>
      <c r="I137" s="400"/>
      <c r="J137" s="400"/>
      <c r="K137" s="400"/>
      <c r="L137" s="400"/>
      <c r="O137" s="612"/>
      <c r="P137" s="612"/>
      <c r="Q137" s="612"/>
      <c r="R137" s="612"/>
      <c r="S137" s="612"/>
      <c r="T137" s="612"/>
      <c r="U137" s="612"/>
      <c r="V137" s="612"/>
      <c r="W137" s="612"/>
      <c r="X137" s="612"/>
      <c r="Y137" s="612"/>
      <c r="AC137" s="454"/>
      <c r="AG137" s="349"/>
    </row>
    <row r="138" spans="1:33" s="398" customFormat="1" x14ac:dyDescent="0.2">
      <c r="A138" s="425">
        <v>11</v>
      </c>
      <c r="B138" s="425">
        <v>12</v>
      </c>
      <c r="C138" s="435">
        <v>1</v>
      </c>
      <c r="D138" s="532"/>
      <c r="E138" s="465"/>
      <c r="F138" s="624">
        <f t="shared" si="19"/>
        <v>-0.25</v>
      </c>
      <c r="G138" s="510">
        <f t="shared" si="20"/>
        <v>0.56000000000000005</v>
      </c>
      <c r="H138" s="686"/>
      <c r="I138" s="349"/>
      <c r="J138" s="349"/>
      <c r="K138" s="349"/>
      <c r="L138" s="349"/>
      <c r="O138" s="608"/>
      <c r="P138" s="608"/>
      <c r="Q138" s="608"/>
      <c r="R138" s="608"/>
      <c r="S138" s="608"/>
      <c r="T138" s="608"/>
      <c r="U138" s="608"/>
      <c r="V138" s="608"/>
      <c r="W138" s="608"/>
      <c r="X138" s="608"/>
      <c r="Y138" s="608"/>
      <c r="AC138" s="454"/>
      <c r="AG138" s="349"/>
    </row>
    <row r="139" spans="1:33" s="398" customFormat="1" x14ac:dyDescent="0.2">
      <c r="A139" s="427">
        <v>12</v>
      </c>
      <c r="B139" s="427">
        <v>13</v>
      </c>
      <c r="C139" s="435">
        <v>1</v>
      </c>
      <c r="D139" s="532"/>
      <c r="E139" s="465"/>
      <c r="F139" s="624">
        <f t="shared" si="19"/>
        <v>-0.25</v>
      </c>
      <c r="G139" s="510">
        <f t="shared" si="20"/>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G139" s="349"/>
    </row>
    <row r="140" spans="1:33" s="398" customFormat="1" x14ac:dyDescent="0.2">
      <c r="A140" s="425">
        <v>13</v>
      </c>
      <c r="B140" s="425">
        <v>14</v>
      </c>
      <c r="C140" s="435">
        <v>1</v>
      </c>
      <c r="D140" s="532"/>
      <c r="E140" s="465"/>
      <c r="F140" s="624">
        <f t="shared" si="19"/>
        <v>-0.25</v>
      </c>
      <c r="G140" s="510">
        <f t="shared" si="20"/>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c r="AG140" s="349"/>
    </row>
    <row r="141" spans="1:33" s="398" customFormat="1" x14ac:dyDescent="0.2">
      <c r="A141" s="427">
        <v>14</v>
      </c>
      <c r="B141" s="427">
        <v>15</v>
      </c>
      <c r="C141" s="435">
        <v>1</v>
      </c>
      <c r="D141" s="532"/>
      <c r="E141" s="465"/>
      <c r="F141" s="624">
        <f t="shared" si="19"/>
        <v>-0.25</v>
      </c>
      <c r="G141" s="510">
        <f t="shared" si="20"/>
        <v>0.56000000000000005</v>
      </c>
      <c r="H141" s="686"/>
      <c r="I141" s="349"/>
      <c r="J141" s="349"/>
      <c r="K141" s="349"/>
      <c r="L141" s="349"/>
      <c r="O141" s="608"/>
      <c r="P141" s="608"/>
      <c r="Q141" s="608"/>
      <c r="R141" s="608"/>
      <c r="S141" s="608"/>
      <c r="T141" s="608"/>
      <c r="U141" s="608"/>
      <c r="V141" s="608"/>
      <c r="W141" s="608"/>
      <c r="X141" s="608"/>
      <c r="Y141" s="608"/>
      <c r="Z141" s="608"/>
      <c r="AA141" s="608"/>
      <c r="AB141" s="608"/>
      <c r="AC141" s="609"/>
      <c r="AD141" s="447"/>
      <c r="AE141" s="448"/>
      <c r="AF141" s="449"/>
    </row>
    <row r="142" spans="1:33" s="450" customFormat="1" ht="13.5" thickBot="1" x14ac:dyDescent="0.25">
      <c r="A142" s="425">
        <v>15</v>
      </c>
      <c r="B142" s="425">
        <v>16</v>
      </c>
      <c r="C142" s="435">
        <v>1</v>
      </c>
      <c r="D142" s="532"/>
      <c r="E142" s="465"/>
      <c r="F142" s="624">
        <f t="shared" si="19"/>
        <v>-0.25</v>
      </c>
      <c r="G142" s="510">
        <f t="shared" si="20"/>
        <v>0.56000000000000005</v>
      </c>
      <c r="H142" s="686"/>
      <c r="I142" s="349"/>
      <c r="J142" s="349"/>
      <c r="K142" s="349"/>
      <c r="L142" s="349"/>
      <c r="M142" s="398"/>
      <c r="N142" s="398"/>
      <c r="O142" s="608"/>
      <c r="P142" s="608"/>
      <c r="Q142" s="608"/>
      <c r="R142" s="608"/>
      <c r="S142" s="608"/>
      <c r="T142" s="608"/>
      <c r="U142" s="608"/>
      <c r="V142" s="608"/>
      <c r="W142" s="608"/>
      <c r="X142" s="608"/>
      <c r="Y142" s="608"/>
      <c r="Z142" s="608"/>
      <c r="AA142" s="608"/>
      <c r="AB142" s="608"/>
      <c r="AC142" s="609"/>
      <c r="AD142" s="447"/>
      <c r="AE142" s="448"/>
      <c r="AF142" s="449"/>
      <c r="AG142" s="398"/>
    </row>
    <row r="143" spans="1:33" s="398" customFormat="1" x14ac:dyDescent="0.2">
      <c r="A143" s="427">
        <v>16</v>
      </c>
      <c r="B143" s="427">
        <v>17</v>
      </c>
      <c r="C143" s="435">
        <v>1</v>
      </c>
      <c r="D143" s="532"/>
      <c r="E143" s="465"/>
      <c r="F143" s="624">
        <f t="shared" si="19"/>
        <v>-0.25</v>
      </c>
      <c r="G143" s="510">
        <f t="shared" si="20"/>
        <v>0.56000000000000005</v>
      </c>
      <c r="H143" s="686"/>
      <c r="I143" s="349"/>
      <c r="J143" s="349"/>
      <c r="K143" s="349"/>
      <c r="L143" s="349"/>
      <c r="O143" s="608"/>
      <c r="P143" s="608"/>
      <c r="Q143" s="608"/>
      <c r="R143" s="608"/>
      <c r="S143" s="608"/>
      <c r="T143" s="608"/>
      <c r="U143" s="608"/>
      <c r="V143" s="608"/>
      <c r="W143" s="608"/>
      <c r="X143" s="608"/>
      <c r="Y143" s="608"/>
      <c r="Z143" s="608"/>
      <c r="AA143" s="608"/>
      <c r="AB143" s="608"/>
      <c r="AC143" s="609"/>
      <c r="AD143" s="447"/>
      <c r="AE143" s="448"/>
      <c r="AF143" s="449"/>
    </row>
    <row r="144" spans="1:33" s="349" customFormat="1" x14ac:dyDescent="0.2">
      <c r="A144" s="425">
        <v>17</v>
      </c>
      <c r="B144" s="425">
        <v>18</v>
      </c>
      <c r="C144" s="435">
        <v>1</v>
      </c>
      <c r="D144" s="532"/>
      <c r="E144" s="465"/>
      <c r="F144" s="624">
        <f t="shared" si="19"/>
        <v>-0.25</v>
      </c>
      <c r="G144" s="510">
        <f t="shared" si="20"/>
        <v>0.56000000000000005</v>
      </c>
      <c r="H144" s="686"/>
      <c r="M144" s="398"/>
      <c r="N144" s="398"/>
      <c r="O144" s="608"/>
      <c r="P144" s="608"/>
      <c r="Q144" s="608"/>
      <c r="R144" s="608"/>
      <c r="S144" s="608"/>
      <c r="T144" s="608"/>
      <c r="U144" s="608"/>
      <c r="V144" s="608"/>
      <c r="W144" s="608"/>
      <c r="X144" s="608"/>
      <c r="Y144" s="608"/>
      <c r="Z144" s="608"/>
      <c r="AA144" s="608"/>
      <c r="AB144" s="608"/>
      <c r="AC144" s="609"/>
      <c r="AD144" s="447"/>
      <c r="AE144" s="498"/>
      <c r="AF144" s="398"/>
      <c r="AG144" s="398"/>
    </row>
    <row r="145" spans="1:33" s="349" customFormat="1" x14ac:dyDescent="0.2">
      <c r="A145" s="427">
        <v>18</v>
      </c>
      <c r="B145" s="427">
        <v>19</v>
      </c>
      <c r="C145" s="435">
        <v>1</v>
      </c>
      <c r="D145" s="532"/>
      <c r="E145" s="465"/>
      <c r="F145" s="624">
        <f t="shared" si="19"/>
        <v>-0.25</v>
      </c>
      <c r="G145" s="510">
        <f t="shared" si="20"/>
        <v>0.56000000000000005</v>
      </c>
      <c r="H145" s="687"/>
      <c r="M145" s="398"/>
      <c r="N145" s="398"/>
      <c r="O145" s="613"/>
      <c r="P145" s="613"/>
      <c r="Q145" s="613"/>
      <c r="R145" s="613"/>
      <c r="S145" s="613"/>
      <c r="T145" s="613"/>
      <c r="U145" s="613"/>
      <c r="V145" s="613"/>
      <c r="W145" s="613"/>
      <c r="X145" s="613"/>
      <c r="Y145" s="613"/>
      <c r="Z145" s="613"/>
      <c r="AA145" s="613"/>
      <c r="AB145" s="613"/>
      <c r="AC145" s="614"/>
      <c r="AD145" s="398"/>
      <c r="AE145" s="398"/>
      <c r="AF145" s="398"/>
      <c r="AG145" s="398"/>
    </row>
    <row r="146" spans="1:33" s="349" customFormat="1" x14ac:dyDescent="0.2">
      <c r="A146" s="425">
        <v>19</v>
      </c>
      <c r="B146" s="425">
        <v>20</v>
      </c>
      <c r="C146" s="435">
        <v>1</v>
      </c>
      <c r="D146" s="532"/>
      <c r="E146" s="465"/>
      <c r="F146" s="624">
        <f t="shared" si="19"/>
        <v>-0.25</v>
      </c>
      <c r="G146" s="510">
        <f t="shared" si="20"/>
        <v>0.56000000000000005</v>
      </c>
      <c r="H146" s="688"/>
      <c r="M146" s="398"/>
      <c r="N146" s="398"/>
      <c r="O146" s="615"/>
      <c r="P146" s="615"/>
      <c r="Q146" s="615"/>
      <c r="R146" s="615"/>
      <c r="S146" s="615"/>
      <c r="T146" s="615"/>
      <c r="U146" s="615"/>
      <c r="V146" s="615"/>
      <c r="W146" s="615"/>
      <c r="X146" s="615"/>
      <c r="Y146" s="615"/>
      <c r="Z146" s="615"/>
      <c r="AA146" s="615"/>
      <c r="AB146" s="615"/>
      <c r="AC146" s="616"/>
      <c r="AD146" s="499"/>
      <c r="AE146" s="451"/>
      <c r="AF146" s="398"/>
      <c r="AG146" s="398"/>
    </row>
    <row r="147" spans="1:33" s="398" customFormat="1" x14ac:dyDescent="0.2">
      <c r="A147" s="427">
        <v>20</v>
      </c>
      <c r="B147" s="427">
        <v>21</v>
      </c>
      <c r="C147" s="435">
        <v>1</v>
      </c>
      <c r="D147" s="532"/>
      <c r="E147" s="465"/>
      <c r="F147" s="624">
        <f t="shared" si="19"/>
        <v>-0.25</v>
      </c>
      <c r="G147" s="510">
        <f t="shared" si="20"/>
        <v>0.56000000000000005</v>
      </c>
      <c r="H147" s="688"/>
      <c r="I147" s="349"/>
      <c r="J147" s="349"/>
      <c r="K147" s="349"/>
      <c r="L147" s="349"/>
      <c r="O147" s="615"/>
      <c r="P147" s="615"/>
      <c r="Q147" s="615"/>
      <c r="R147" s="615"/>
      <c r="S147" s="615"/>
      <c r="T147" s="615"/>
      <c r="U147" s="615"/>
      <c r="V147" s="615"/>
      <c r="W147" s="615"/>
      <c r="X147" s="615"/>
      <c r="Y147" s="615"/>
      <c r="Z147" s="615"/>
      <c r="AA147" s="615"/>
      <c r="AB147" s="615"/>
      <c r="AC147" s="616"/>
      <c r="AD147" s="451"/>
      <c r="AE147" s="451"/>
    </row>
    <row r="148" spans="1:33" s="398" customFormat="1" x14ac:dyDescent="0.2">
      <c r="A148" s="425">
        <v>21</v>
      </c>
      <c r="B148" s="425">
        <v>22</v>
      </c>
      <c r="C148" s="435">
        <v>1</v>
      </c>
      <c r="D148" s="532"/>
      <c r="E148" s="465"/>
      <c r="F148" s="624">
        <f t="shared" si="19"/>
        <v>-0.25</v>
      </c>
      <c r="G148" s="510">
        <f t="shared" si="20"/>
        <v>0.56000000000000005</v>
      </c>
      <c r="H148" s="688"/>
      <c r="I148" s="349"/>
      <c r="J148" s="418"/>
      <c r="K148" s="349"/>
      <c r="L148" s="349"/>
      <c r="O148" s="615"/>
      <c r="P148" s="615"/>
      <c r="Q148" s="615"/>
      <c r="R148" s="615"/>
      <c r="S148" s="615"/>
      <c r="T148" s="615"/>
      <c r="U148" s="615"/>
      <c r="V148" s="615"/>
      <c r="W148" s="615"/>
      <c r="X148" s="615"/>
      <c r="Y148" s="615"/>
      <c r="Z148" s="615"/>
      <c r="AA148" s="615"/>
      <c r="AB148" s="615"/>
      <c r="AC148" s="616"/>
      <c r="AD148" s="349"/>
      <c r="AE148" s="349"/>
    </row>
    <row r="149" spans="1:33" s="398" customFormat="1" x14ac:dyDescent="0.2">
      <c r="A149" s="427">
        <v>22</v>
      </c>
      <c r="B149" s="427">
        <v>23</v>
      </c>
      <c r="C149" s="435">
        <v>1</v>
      </c>
      <c r="D149" s="532"/>
      <c r="E149" s="465"/>
      <c r="F149" s="624">
        <f t="shared" si="19"/>
        <v>-0.25</v>
      </c>
      <c r="G149" s="510">
        <f t="shared" si="20"/>
        <v>0.56000000000000005</v>
      </c>
      <c r="H149" s="688"/>
      <c r="I149" s="349"/>
      <c r="J149" s="349"/>
      <c r="K149" s="349"/>
      <c r="L149" s="349"/>
      <c r="O149" s="615"/>
      <c r="P149" s="615"/>
      <c r="Q149" s="615"/>
      <c r="R149" s="615"/>
      <c r="S149" s="615"/>
      <c r="T149" s="615"/>
      <c r="U149" s="615"/>
      <c r="V149" s="615"/>
      <c r="W149" s="615"/>
      <c r="X149" s="615"/>
      <c r="Y149" s="615"/>
      <c r="Z149" s="615"/>
      <c r="AA149" s="615"/>
      <c r="AB149" s="615"/>
      <c r="AC149" s="616"/>
      <c r="AD149" s="447"/>
      <c r="AE149" s="498"/>
      <c r="AF149" s="500"/>
    </row>
    <row r="150" spans="1:33" s="398" customFormat="1" x14ac:dyDescent="0.2">
      <c r="A150" s="427">
        <v>23</v>
      </c>
      <c r="B150" s="425">
        <v>24</v>
      </c>
      <c r="C150" s="435">
        <v>1</v>
      </c>
      <c r="D150" s="532"/>
      <c r="E150" s="496"/>
      <c r="F150" s="624">
        <f t="shared" si="19"/>
        <v>-0.25</v>
      </c>
      <c r="G150" s="510">
        <f t="shared" si="20"/>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47"/>
      <c r="AE150" s="498"/>
      <c r="AF150" s="500"/>
    </row>
    <row r="151" spans="1:33" s="398" customFormat="1" x14ac:dyDescent="0.2">
      <c r="A151" s="528">
        <v>24</v>
      </c>
      <c r="B151" s="427">
        <v>1</v>
      </c>
      <c r="C151" s="435">
        <v>1</v>
      </c>
      <c r="D151" s="534"/>
      <c r="E151" s="462"/>
      <c r="G151" s="510">
        <f t="shared" si="20"/>
        <v>0.56000000000000005</v>
      </c>
      <c r="H151" s="689"/>
      <c r="I151" s="349"/>
      <c r="J151" s="349"/>
      <c r="K151" s="349"/>
      <c r="L151" s="349"/>
      <c r="O151" s="617"/>
      <c r="P151" s="617"/>
      <c r="Q151" s="617"/>
      <c r="R151" s="617"/>
      <c r="S151" s="617"/>
      <c r="T151" s="617"/>
      <c r="U151" s="617"/>
      <c r="V151" s="617"/>
      <c r="W151" s="617"/>
      <c r="X151" s="617"/>
      <c r="Y151" s="617"/>
      <c r="Z151" s="615"/>
      <c r="AA151" s="615"/>
      <c r="AB151" s="615"/>
      <c r="AC151" s="616"/>
      <c r="AD151" s="451"/>
      <c r="AE151" s="451"/>
      <c r="AF151" s="500"/>
    </row>
    <row r="152" spans="1:33" s="398" customFormat="1" ht="13.5" thickBot="1" x14ac:dyDescent="0.25">
      <c r="A152" s="349"/>
      <c r="B152" s="349"/>
      <c r="C152" s="349"/>
      <c r="D152" s="532"/>
      <c r="E152" s="349"/>
      <c r="F152" s="13"/>
      <c r="G152" s="425"/>
      <c r="H152" s="689"/>
      <c r="I152" s="349"/>
      <c r="J152" s="349"/>
      <c r="K152" s="349"/>
      <c r="L152" s="349"/>
      <c r="O152" s="617"/>
      <c r="P152" s="617"/>
      <c r="Q152" s="617"/>
      <c r="R152" s="617"/>
      <c r="S152" s="617"/>
      <c r="T152" s="617"/>
      <c r="U152" s="617"/>
      <c r="V152" s="617"/>
      <c r="W152" s="617"/>
      <c r="X152" s="617"/>
      <c r="Y152" s="617"/>
      <c r="Z152" s="615"/>
      <c r="AA152" s="615"/>
      <c r="AB152" s="615"/>
      <c r="AC152" s="616"/>
      <c r="AF152" s="445"/>
      <c r="AG152" s="450"/>
    </row>
    <row r="153" spans="1:33" s="398" customFormat="1" ht="18" x14ac:dyDescent="0.25">
      <c r="A153" s="424"/>
      <c r="B153" s="436" t="s">
        <v>243</v>
      </c>
      <c r="C153" s="437"/>
      <c r="D153" s="535"/>
      <c r="E153" s="437"/>
      <c r="F153" s="625"/>
      <c r="G153" s="425"/>
      <c r="H153" s="690"/>
      <c r="I153" s="349"/>
      <c r="J153" s="349"/>
      <c r="K153" s="349"/>
      <c r="L153" s="349"/>
      <c r="O153" s="13"/>
      <c r="P153" s="13"/>
      <c r="Q153" s="13"/>
      <c r="R153" s="13"/>
      <c r="S153" s="13"/>
      <c r="T153" s="13"/>
      <c r="U153" s="13"/>
      <c r="V153" s="13"/>
      <c r="W153" s="13"/>
      <c r="X153" s="13"/>
      <c r="Y153" s="617"/>
      <c r="Z153" s="615"/>
      <c r="AA153" s="615"/>
      <c r="AB153" s="615"/>
      <c r="AC153" s="616"/>
      <c r="AF153" s="445"/>
    </row>
    <row r="154" spans="1:33" s="398" customFormat="1" ht="18.75" thickBot="1" x14ac:dyDescent="0.3">
      <c r="A154" s="425"/>
      <c r="B154" s="425"/>
      <c r="C154" s="425"/>
      <c r="D154" s="536"/>
      <c r="E154" s="425"/>
      <c r="F154" s="626" t="s">
        <v>272</v>
      </c>
      <c r="G154" s="425"/>
      <c r="H154" s="690"/>
      <c r="I154" s="349"/>
      <c r="J154" s="349"/>
      <c r="K154" s="349"/>
      <c r="L154" s="349"/>
      <c r="O154" s="13"/>
      <c r="P154" s="13"/>
      <c r="Q154" s="13"/>
      <c r="R154" s="13"/>
      <c r="S154" s="13"/>
      <c r="T154" s="13"/>
      <c r="U154" s="13"/>
      <c r="V154" s="13"/>
      <c r="W154" s="13"/>
      <c r="X154" s="13"/>
      <c r="Y154" s="617"/>
      <c r="Z154" s="615"/>
      <c r="AA154" s="615"/>
      <c r="AB154" s="615"/>
      <c r="AC154" s="616"/>
      <c r="AF154" s="349"/>
      <c r="AG154" s="349"/>
    </row>
    <row r="155" spans="1:33" s="398" customFormat="1" ht="18.75" thickBot="1" x14ac:dyDescent="0.3">
      <c r="A155" s="428" t="s">
        <v>7</v>
      </c>
      <c r="B155" s="429"/>
      <c r="C155" s="429" t="s">
        <v>266</v>
      </c>
      <c r="D155" s="533"/>
      <c r="E155" s="429"/>
      <c r="F155" s="627" t="s">
        <v>320</v>
      </c>
      <c r="G155" s="430"/>
      <c r="H155" s="690" t="s">
        <v>273</v>
      </c>
      <c r="I155" s="349"/>
      <c r="J155" s="349"/>
      <c r="K155" s="349"/>
      <c r="L155" s="349"/>
      <c r="O155" s="13"/>
      <c r="P155" s="13"/>
      <c r="Q155" s="13"/>
      <c r="R155" s="13"/>
      <c r="S155" s="13"/>
      <c r="T155" s="13"/>
      <c r="U155" s="13"/>
      <c r="V155" s="13"/>
      <c r="W155" s="13"/>
      <c r="X155" s="13"/>
      <c r="Y155" s="617"/>
      <c r="Z155" s="617"/>
      <c r="AA155" s="617"/>
      <c r="AB155" s="617"/>
      <c r="AC155" s="618"/>
      <c r="AF155" s="349"/>
      <c r="AG155" s="349"/>
    </row>
    <row r="156" spans="1:33" s="398" customFormat="1" ht="18" x14ac:dyDescent="0.25">
      <c r="A156" s="433" t="s">
        <v>244</v>
      </c>
      <c r="B156" s="434" t="s">
        <v>245</v>
      </c>
      <c r="C156" s="434"/>
      <c r="D156" s="537"/>
      <c r="E156" s="431"/>
      <c r="F156" s="624">
        <f t="shared" ref="F156:F180" si="21">D157-0.25</f>
        <v>-0.25</v>
      </c>
      <c r="G156" s="425" t="s">
        <v>321</v>
      </c>
      <c r="H156" s="691">
        <v>4.3999999999999997E-2</v>
      </c>
      <c r="I156" s="438" t="s">
        <v>275</v>
      </c>
      <c r="J156" s="349"/>
      <c r="K156" s="349"/>
      <c r="L156" s="349"/>
      <c r="M156" s="599" t="s">
        <v>276</v>
      </c>
      <c r="N156" s="619"/>
      <c r="O156" s="13"/>
      <c r="P156" s="13"/>
      <c r="Q156" s="13"/>
      <c r="R156" s="13"/>
      <c r="S156" s="13"/>
      <c r="T156" s="13"/>
      <c r="U156" s="13"/>
      <c r="V156" s="13"/>
      <c r="W156" s="13"/>
      <c r="X156" s="13"/>
      <c r="Y156" s="617"/>
      <c r="Z156" s="617"/>
      <c r="AA156" s="617"/>
      <c r="AB156" s="617"/>
      <c r="AC156" s="618"/>
      <c r="AF156" s="349"/>
      <c r="AG156" s="349"/>
    </row>
    <row r="157" spans="1:33" s="398" customFormat="1" x14ac:dyDescent="0.2">
      <c r="A157" s="427">
        <v>24</v>
      </c>
      <c r="B157" s="425">
        <v>1</v>
      </c>
      <c r="C157" s="435">
        <v>1</v>
      </c>
      <c r="D157" s="532"/>
      <c r="E157" s="496"/>
      <c r="F157" s="624">
        <f t="shared" si="21"/>
        <v>-0.25</v>
      </c>
      <c r="G157" s="510">
        <f>D157+0.56</f>
        <v>0.56000000000000005</v>
      </c>
      <c r="H157" s="400"/>
      <c r="I157" s="439" t="s">
        <v>274</v>
      </c>
      <c r="J157" s="440"/>
      <c r="K157" s="349"/>
      <c r="L157" s="349"/>
      <c r="O157" s="13"/>
      <c r="P157" s="13"/>
      <c r="Q157" s="13"/>
      <c r="R157" s="13"/>
      <c r="S157" s="13"/>
      <c r="T157" s="13"/>
      <c r="U157" s="13"/>
      <c r="V157" s="13"/>
      <c r="W157" s="13"/>
      <c r="X157" s="13"/>
      <c r="Y157" s="617"/>
      <c r="Z157" s="617"/>
      <c r="AA157" s="620"/>
      <c r="AB157" s="617"/>
      <c r="AC157" s="618"/>
      <c r="AD157" s="349"/>
      <c r="AE157" s="349"/>
      <c r="AF157" s="349"/>
    </row>
    <row r="158" spans="1:33" s="398" customFormat="1" x14ac:dyDescent="0.2">
      <c r="A158" s="425">
        <v>1</v>
      </c>
      <c r="B158" s="425">
        <v>2</v>
      </c>
      <c r="C158" s="435">
        <v>1</v>
      </c>
      <c r="D158" s="538"/>
      <c r="E158" s="465"/>
      <c r="F158" s="624">
        <f t="shared" si="21"/>
        <v>-0.25</v>
      </c>
      <c r="G158" s="510">
        <f t="shared" ref="G158:G180" si="22">D158+0.56</f>
        <v>0.56000000000000005</v>
      </c>
      <c r="H158" s="400"/>
      <c r="I158" s="439"/>
      <c r="J158" s="440"/>
      <c r="K158" s="349"/>
      <c r="L158" s="349"/>
      <c r="O158" s="13"/>
      <c r="P158" s="13"/>
      <c r="Q158" s="13"/>
      <c r="R158" s="13"/>
      <c r="S158" s="13"/>
      <c r="T158" s="13"/>
      <c r="U158" s="13"/>
      <c r="V158" s="13"/>
      <c r="W158" s="13"/>
      <c r="X158" s="13"/>
      <c r="Y158" s="617"/>
      <c r="Z158" s="617"/>
      <c r="AA158" s="620"/>
      <c r="AB158" s="617"/>
      <c r="AC158" s="618"/>
      <c r="AD158" s="399"/>
      <c r="AE158" s="349"/>
      <c r="AF158" s="349"/>
    </row>
    <row r="159" spans="1:33" s="398" customFormat="1" x14ac:dyDescent="0.2">
      <c r="A159" s="427">
        <v>2</v>
      </c>
      <c r="B159" s="425">
        <v>3</v>
      </c>
      <c r="C159" s="435">
        <v>1</v>
      </c>
      <c r="D159" s="534"/>
      <c r="E159" s="465"/>
      <c r="F159" s="624">
        <f t="shared" si="21"/>
        <v>-0.25</v>
      </c>
      <c r="G159" s="510">
        <f t="shared" si="22"/>
        <v>0.56000000000000005</v>
      </c>
      <c r="H159" s="400"/>
      <c r="I159" s="439"/>
      <c r="J159" s="440"/>
      <c r="K159" s="372"/>
      <c r="L159" s="372"/>
      <c r="M159" s="600"/>
      <c r="N159" s="600"/>
      <c r="O159" s="13"/>
      <c r="P159" s="13"/>
      <c r="Q159" s="13"/>
      <c r="R159" s="13"/>
      <c r="S159" s="13"/>
      <c r="T159" s="13"/>
      <c r="U159" s="13"/>
      <c r="V159" s="13"/>
      <c r="W159" s="13"/>
      <c r="X159" s="13"/>
      <c r="Y159" s="617"/>
      <c r="Z159" s="617"/>
      <c r="AA159" s="620"/>
      <c r="AB159" s="617"/>
      <c r="AC159" s="618"/>
      <c r="AF159" s="349"/>
    </row>
    <row r="160" spans="1:33" s="398" customFormat="1" x14ac:dyDescent="0.2">
      <c r="A160" s="425">
        <v>3</v>
      </c>
      <c r="B160" s="425">
        <v>4</v>
      </c>
      <c r="C160" s="435">
        <v>1</v>
      </c>
      <c r="D160" s="534"/>
      <c r="E160" s="465"/>
      <c r="F160" s="624">
        <f t="shared" si="21"/>
        <v>-0.25</v>
      </c>
      <c r="G160" s="510">
        <f t="shared" si="22"/>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419"/>
      <c r="AE160" s="420"/>
      <c r="AF160" s="349"/>
    </row>
    <row r="161" spans="1:32" s="398" customFormat="1" x14ac:dyDescent="0.2">
      <c r="A161" s="427">
        <v>4</v>
      </c>
      <c r="B161" s="425">
        <v>5</v>
      </c>
      <c r="C161" s="435">
        <v>1</v>
      </c>
      <c r="D161" s="534"/>
      <c r="E161" s="465"/>
      <c r="F161" s="624">
        <f t="shared" si="21"/>
        <v>-0.25</v>
      </c>
      <c r="G161" s="510">
        <f t="shared" si="22"/>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
      <c r="A162" s="425">
        <v>5</v>
      </c>
      <c r="B162" s="425">
        <v>6</v>
      </c>
      <c r="C162" s="435">
        <v>1</v>
      </c>
      <c r="D162" s="534"/>
      <c r="E162" s="465"/>
      <c r="F162" s="624">
        <f t="shared" si="21"/>
        <v>-0.25</v>
      </c>
      <c r="G162" s="510">
        <f t="shared" si="22"/>
        <v>0.56000000000000005</v>
      </c>
      <c r="H162" s="400"/>
      <c r="I162" s="441"/>
      <c r="J162" s="440"/>
      <c r="K162" s="425"/>
      <c r="L162" s="425"/>
      <c r="M162" s="13"/>
      <c r="N162" s="13"/>
      <c r="O162" s="13"/>
      <c r="P162" s="13"/>
      <c r="Q162" s="13"/>
      <c r="R162" s="13"/>
      <c r="S162" s="13"/>
      <c r="T162" s="13"/>
      <c r="U162" s="13"/>
      <c r="V162" s="13"/>
      <c r="W162" s="13"/>
      <c r="X162" s="13"/>
      <c r="Y162" s="617"/>
      <c r="Z162" s="617"/>
      <c r="AA162" s="620"/>
      <c r="AB162" s="617"/>
      <c r="AC162" s="618"/>
      <c r="AD162" s="399"/>
      <c r="AE162" s="349"/>
      <c r="AF162" s="349"/>
    </row>
    <row r="163" spans="1:32" s="398" customFormat="1" x14ac:dyDescent="0.2">
      <c r="A163" s="427">
        <v>6</v>
      </c>
      <c r="B163" s="425">
        <v>7</v>
      </c>
      <c r="C163" s="435">
        <v>1</v>
      </c>
      <c r="D163" s="534"/>
      <c r="E163" s="465"/>
      <c r="F163" s="624">
        <f t="shared" si="21"/>
        <v>-0.25</v>
      </c>
      <c r="G163" s="510">
        <f t="shared" si="22"/>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
      <c r="A164" s="425">
        <v>7</v>
      </c>
      <c r="B164" s="425">
        <v>8</v>
      </c>
      <c r="C164" s="435">
        <v>1</v>
      </c>
      <c r="D164" s="534"/>
      <c r="E164" s="465"/>
      <c r="F164" s="624">
        <f t="shared" si="21"/>
        <v>-0.25</v>
      </c>
      <c r="G164" s="510">
        <f t="shared" si="22"/>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9"/>
      <c r="AE164" s="349"/>
      <c r="AF164" s="349"/>
    </row>
    <row r="165" spans="1:32" s="398" customFormat="1" x14ac:dyDescent="0.2">
      <c r="A165" s="427">
        <v>8</v>
      </c>
      <c r="B165" s="425">
        <v>9</v>
      </c>
      <c r="C165" s="435">
        <v>1</v>
      </c>
      <c r="D165" s="534"/>
      <c r="E165" s="465"/>
      <c r="F165" s="624">
        <f t="shared" si="21"/>
        <v>-0.25</v>
      </c>
      <c r="G165" s="510">
        <f t="shared" si="22"/>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1"/>
      <c r="AE165" s="392"/>
      <c r="AF165" s="399"/>
    </row>
    <row r="166" spans="1:32" s="398" customFormat="1" x14ac:dyDescent="0.2">
      <c r="A166" s="425">
        <v>9</v>
      </c>
      <c r="B166" s="425">
        <v>10</v>
      </c>
      <c r="C166" s="435">
        <v>1</v>
      </c>
      <c r="D166" s="534"/>
      <c r="E166" s="465"/>
      <c r="F166" s="624">
        <f t="shared" si="21"/>
        <v>-0.25</v>
      </c>
      <c r="G166" s="510">
        <f t="shared" si="22"/>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3"/>
      <c r="AE166" s="393"/>
      <c r="AF166" s="399"/>
    </row>
    <row r="167" spans="1:32" s="398" customFormat="1" x14ac:dyDescent="0.2">
      <c r="A167" s="427">
        <v>10</v>
      </c>
      <c r="B167" s="425">
        <v>11</v>
      </c>
      <c r="C167" s="435">
        <v>1</v>
      </c>
      <c r="D167" s="534"/>
      <c r="E167" s="465"/>
      <c r="F167" s="624">
        <f t="shared" si="21"/>
        <v>-0.25</v>
      </c>
      <c r="G167" s="510">
        <f t="shared" si="22"/>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1"/>
      <c r="AE167" s="392"/>
      <c r="AF167" s="399"/>
    </row>
    <row r="168" spans="1:32" s="398" customFormat="1" x14ac:dyDescent="0.2">
      <c r="A168" s="425">
        <v>11</v>
      </c>
      <c r="B168" s="425">
        <v>12</v>
      </c>
      <c r="C168" s="435">
        <v>1</v>
      </c>
      <c r="D168" s="534"/>
      <c r="E168" s="465"/>
      <c r="F168" s="624">
        <f t="shared" si="21"/>
        <v>-0.25</v>
      </c>
      <c r="G168" s="510">
        <f t="shared" si="22"/>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
      <c r="A169" s="427">
        <v>12</v>
      </c>
      <c r="B169" s="425">
        <v>13</v>
      </c>
      <c r="C169" s="435">
        <v>1</v>
      </c>
      <c r="D169" s="534"/>
      <c r="E169" s="465"/>
      <c r="F169" s="624">
        <f t="shared" si="21"/>
        <v>-0.25</v>
      </c>
      <c r="G169" s="510">
        <f t="shared" si="22"/>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394"/>
      <c r="AF169" s="399"/>
    </row>
    <row r="170" spans="1:32" s="398" customFormat="1" x14ac:dyDescent="0.2">
      <c r="A170" s="425">
        <v>13</v>
      </c>
      <c r="B170" s="425">
        <v>14</v>
      </c>
      <c r="C170" s="435">
        <v>1</v>
      </c>
      <c r="D170" s="534"/>
      <c r="E170" s="465"/>
      <c r="F170" s="624">
        <f t="shared" si="21"/>
        <v>-0.25</v>
      </c>
      <c r="G170" s="510">
        <f t="shared" si="22"/>
        <v>0.56000000000000005</v>
      </c>
      <c r="H170" s="400"/>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7"/>
      <c r="AF170" s="399"/>
    </row>
    <row r="171" spans="1:32" s="398" customFormat="1" x14ac:dyDescent="0.2">
      <c r="A171" s="427">
        <v>14</v>
      </c>
      <c r="B171" s="425">
        <v>15</v>
      </c>
      <c r="C171" s="435">
        <v>1</v>
      </c>
      <c r="D171" s="534"/>
      <c r="E171" s="465"/>
      <c r="F171" s="624">
        <f t="shared" si="21"/>
        <v>-0.25</v>
      </c>
      <c r="G171" s="510">
        <f t="shared" si="22"/>
        <v>0.56000000000000005</v>
      </c>
      <c r="H171" s="400" t="s">
        <v>170</v>
      </c>
      <c r="I171" s="441"/>
      <c r="J171" s="440"/>
      <c r="K171" s="425"/>
      <c r="L171" s="425"/>
      <c r="M171" s="13"/>
      <c r="N171" s="13"/>
      <c r="O171" s="13"/>
      <c r="P171" s="13"/>
      <c r="Q171" s="13"/>
      <c r="R171" s="13"/>
      <c r="S171" s="13"/>
      <c r="T171" s="13"/>
      <c r="U171" s="13"/>
      <c r="V171" s="13"/>
      <c r="W171" s="13"/>
      <c r="X171" s="13"/>
      <c r="Y171" s="617"/>
      <c r="Z171" s="598"/>
      <c r="AA171" s="620"/>
      <c r="AB171" s="598"/>
      <c r="AC171" s="606"/>
      <c r="AD171" s="396"/>
      <c r="AE171" s="408"/>
      <c r="AF171" s="349"/>
    </row>
    <row r="172" spans="1:32" s="398" customFormat="1" x14ac:dyDescent="0.2">
      <c r="A172" s="425">
        <v>15</v>
      </c>
      <c r="B172" s="425">
        <v>16</v>
      </c>
      <c r="C172" s="435">
        <v>1</v>
      </c>
      <c r="D172" s="534"/>
      <c r="E172" s="465"/>
      <c r="F172" s="624">
        <f t="shared" si="21"/>
        <v>-0.25</v>
      </c>
      <c r="G172" s="510">
        <f t="shared" si="22"/>
        <v>0.56000000000000005</v>
      </c>
      <c r="H172" s="400"/>
      <c r="I172" s="441"/>
      <c r="J172" s="440"/>
      <c r="K172" s="425"/>
      <c r="L172" s="425"/>
      <c r="M172" s="13"/>
      <c r="N172" s="13"/>
      <c r="O172" s="13"/>
      <c r="P172" s="13"/>
      <c r="Q172" s="13"/>
      <c r="R172" s="13"/>
      <c r="S172" s="13"/>
      <c r="T172" s="13"/>
      <c r="U172" s="13"/>
      <c r="V172" s="13"/>
      <c r="W172" s="13"/>
      <c r="X172" s="13"/>
      <c r="Y172" s="617"/>
      <c r="Z172" s="598"/>
      <c r="AA172" s="620"/>
      <c r="AB172" s="598"/>
      <c r="AC172" s="606"/>
      <c r="AD172" s="391"/>
      <c r="AE172" s="392"/>
      <c r="AF172" s="349"/>
    </row>
    <row r="173" spans="1:32" s="398" customFormat="1" x14ac:dyDescent="0.2">
      <c r="A173" s="427">
        <v>16</v>
      </c>
      <c r="B173" s="425">
        <v>17</v>
      </c>
      <c r="C173" s="435">
        <v>1</v>
      </c>
      <c r="D173" s="534"/>
      <c r="E173" s="465"/>
      <c r="F173" s="624">
        <f t="shared" si="21"/>
        <v>-0.25</v>
      </c>
      <c r="G173" s="510">
        <f t="shared" si="22"/>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91"/>
      <c r="AE173" s="392"/>
      <c r="AF173" s="393"/>
    </row>
    <row r="174" spans="1:32" s="398" customFormat="1" x14ac:dyDescent="0.2">
      <c r="A174" s="425">
        <v>17</v>
      </c>
      <c r="B174" s="425">
        <v>18</v>
      </c>
      <c r="C174" s="435">
        <v>1</v>
      </c>
      <c r="D174" s="534"/>
      <c r="E174" s="465"/>
      <c r="F174" s="624">
        <f t="shared" si="21"/>
        <v>-0.25</v>
      </c>
      <c r="G174" s="510">
        <f t="shared" si="22"/>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77"/>
      <c r="AE174" s="377"/>
      <c r="AF174" s="391"/>
    </row>
    <row r="175" spans="1:32" s="398" customFormat="1" x14ac:dyDescent="0.2">
      <c r="A175" s="427">
        <v>18</v>
      </c>
      <c r="B175" s="425">
        <v>19</v>
      </c>
      <c r="C175" s="435">
        <v>1</v>
      </c>
      <c r="D175" s="534"/>
      <c r="E175" s="465"/>
      <c r="F175" s="624">
        <f t="shared" si="21"/>
        <v>-0.25</v>
      </c>
      <c r="G175" s="510">
        <f t="shared" si="22"/>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66"/>
      <c r="AE175" s="366"/>
      <c r="AF175" s="391"/>
    </row>
    <row r="176" spans="1:32" s="398" customFormat="1" x14ac:dyDescent="0.2">
      <c r="A176" s="425">
        <v>19</v>
      </c>
      <c r="B176" s="425">
        <v>20</v>
      </c>
      <c r="C176" s="435">
        <v>1</v>
      </c>
      <c r="D176" s="534"/>
      <c r="E176" s="465"/>
      <c r="F176" s="624">
        <f t="shared" si="21"/>
        <v>-0.25</v>
      </c>
      <c r="G176" s="510">
        <f t="shared" si="22"/>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89"/>
    </row>
    <row r="177" spans="1:32" s="398" customFormat="1" x14ac:dyDescent="0.2">
      <c r="A177" s="427">
        <v>20</v>
      </c>
      <c r="B177" s="425">
        <v>21</v>
      </c>
      <c r="C177" s="435">
        <v>1</v>
      </c>
      <c r="D177" s="534"/>
      <c r="E177" s="465"/>
      <c r="F177" s="624">
        <f t="shared" si="21"/>
        <v>-0.25</v>
      </c>
      <c r="G177" s="510">
        <f t="shared" si="22"/>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78"/>
      <c r="AE177" s="378"/>
      <c r="AF177" s="363"/>
    </row>
    <row r="178" spans="1:32" s="398" customFormat="1" x14ac:dyDescent="0.2">
      <c r="A178" s="425">
        <v>21</v>
      </c>
      <c r="B178" s="425">
        <v>22</v>
      </c>
      <c r="C178" s="435">
        <v>1</v>
      </c>
      <c r="D178" s="534"/>
      <c r="E178" s="465"/>
      <c r="F178" s="624">
        <f t="shared" si="21"/>
        <v>-0.25</v>
      </c>
      <c r="G178" s="510">
        <f t="shared" si="22"/>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
      <c r="A179" s="427">
        <v>22</v>
      </c>
      <c r="B179" s="425">
        <v>23</v>
      </c>
      <c r="C179" s="435">
        <v>1</v>
      </c>
      <c r="D179" s="534"/>
      <c r="E179" s="465"/>
      <c r="F179" s="624">
        <f t="shared" si="21"/>
        <v>-0.25</v>
      </c>
      <c r="G179" s="510">
        <f t="shared" si="22"/>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66"/>
      <c r="AE179" s="366"/>
      <c r="AF179" s="363"/>
    </row>
    <row r="180" spans="1:32" s="398" customFormat="1" x14ac:dyDescent="0.2">
      <c r="A180" s="427">
        <v>23</v>
      </c>
      <c r="B180" s="425">
        <v>24</v>
      </c>
      <c r="C180" s="435">
        <v>1</v>
      </c>
      <c r="D180" s="534"/>
      <c r="E180" s="496"/>
      <c r="F180" s="624">
        <f t="shared" si="21"/>
        <v>-0.25</v>
      </c>
      <c r="G180" s="510">
        <f t="shared" si="22"/>
        <v>0.56000000000000005</v>
      </c>
      <c r="H180" s="400"/>
      <c r="I180" s="441"/>
      <c r="J180" s="440"/>
      <c r="K180" s="425"/>
      <c r="L180" s="425"/>
      <c r="M180" s="13"/>
      <c r="N180" s="13"/>
      <c r="O180" s="13"/>
      <c r="R180" s="13"/>
      <c r="S180" s="13"/>
      <c r="T180" s="13"/>
      <c r="U180" s="13"/>
      <c r="V180" s="13"/>
      <c r="W180" s="13"/>
      <c r="X180" s="13"/>
      <c r="Y180" s="617"/>
      <c r="Z180" s="598"/>
      <c r="AA180" s="620"/>
      <c r="AB180" s="598"/>
      <c r="AC180" s="606"/>
      <c r="AD180" s="379"/>
      <c r="AE180" s="379"/>
      <c r="AF180" s="370"/>
    </row>
    <row r="181" spans="1:32" s="398" customFormat="1" x14ac:dyDescent="0.2">
      <c r="A181" s="366">
        <v>24</v>
      </c>
      <c r="B181" s="425">
        <v>1</v>
      </c>
      <c r="C181" s="435">
        <v>1</v>
      </c>
      <c r="D181" s="534"/>
      <c r="E181" s="462"/>
      <c r="F181" s="598"/>
      <c r="G181" s="510">
        <f>D181+0.56</f>
        <v>0.56000000000000005</v>
      </c>
      <c r="H181" s="692"/>
      <c r="I181" s="441"/>
      <c r="J181" s="440"/>
      <c r="K181" s="425"/>
      <c r="L181" s="425"/>
      <c r="M181" s="13"/>
      <c r="N181" s="13"/>
      <c r="O181" s="13"/>
      <c r="R181" s="13"/>
      <c r="S181" s="13"/>
      <c r="T181" s="13"/>
      <c r="U181" s="13"/>
      <c r="V181" s="13"/>
      <c r="W181" s="13"/>
      <c r="X181" s="13"/>
      <c r="Y181" s="598"/>
      <c r="Z181" s="598"/>
      <c r="AA181" s="598"/>
      <c r="AB181" s="598"/>
      <c r="AC181" s="606"/>
      <c r="AD181" s="380"/>
      <c r="AE181" s="380"/>
      <c r="AF181" s="370"/>
    </row>
    <row r="182" spans="1:32" s="398" customFormat="1" x14ac:dyDescent="0.2">
      <c r="A182" s="366"/>
      <c r="B182" s="366"/>
      <c r="C182" s="366"/>
      <c r="D182" s="530"/>
      <c r="E182" s="464"/>
      <c r="F182" s="598"/>
      <c r="G182" s="366"/>
      <c r="H182" s="693"/>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0"/>
    </row>
    <row r="183" spans="1:32" s="398" customFormat="1" x14ac:dyDescent="0.2">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5"/>
    </row>
    <row r="184" spans="1:32" s="398" customFormat="1" x14ac:dyDescent="0.2">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77"/>
    </row>
    <row r="185" spans="1:32" s="398" customFormat="1" x14ac:dyDescent="0.2">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66"/>
    </row>
    <row r="186" spans="1:32" s="398" customFormat="1" x14ac:dyDescent="0.2">
      <c r="A186" s="366"/>
      <c r="B186" s="366"/>
      <c r="C186" s="366"/>
      <c r="D186" s="366"/>
      <c r="E186" s="366"/>
      <c r="F186" s="598"/>
      <c r="G186" s="366"/>
      <c r="H186" s="415"/>
      <c r="I186" s="366"/>
      <c r="J186" s="366"/>
      <c r="K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0"/>
      <c r="AE187" s="380"/>
      <c r="AF187" s="378"/>
    </row>
    <row r="188" spans="1:32" s="398" customFormat="1" x14ac:dyDescent="0.2">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3"/>
      <c r="AE188" s="383"/>
      <c r="AF188" s="366"/>
    </row>
    <row r="189" spans="1:32" s="398" customFormat="1" x14ac:dyDescent="0.2">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79"/>
    </row>
    <row r="190" spans="1:32" s="398" customFormat="1" x14ac:dyDescent="0.2">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4"/>
      <c r="AF192" s="380"/>
    </row>
    <row r="193" spans="1:32" s="398" customFormat="1" x14ac:dyDescent="0.2">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
      <c r="A196" s="366"/>
      <c r="B196" s="366"/>
      <c r="C196" s="366"/>
      <c r="D196" s="366"/>
      <c r="E196" s="366"/>
      <c r="F196" s="598"/>
      <c r="G196" s="366"/>
      <c r="H196" s="415"/>
      <c r="I196" s="366"/>
      <c r="L196" s="366"/>
      <c r="M196" s="598"/>
      <c r="N196" s="598"/>
      <c r="O196" s="598"/>
      <c r="R196" s="598"/>
      <c r="S196" s="598"/>
      <c r="T196" s="598"/>
      <c r="U196" s="598"/>
      <c r="V196" s="598"/>
      <c r="W196" s="598"/>
      <c r="X196" s="598"/>
      <c r="Y196" s="598"/>
      <c r="Z196" s="598"/>
      <c r="AA196" s="598"/>
      <c r="AB196" s="598"/>
      <c r="AC196" s="606"/>
      <c r="AD196" s="384"/>
      <c r="AE196" s="387"/>
      <c r="AF196" s="380"/>
    </row>
    <row r="197" spans="1:32" s="398" customFormat="1" x14ac:dyDescent="0.2">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4"/>
      <c r="AE197" s="387"/>
      <c r="AF197" s="382"/>
    </row>
    <row r="198" spans="1:32" s="398" customFormat="1" x14ac:dyDescent="0.2">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4"/>
    </row>
    <row r="202" spans="1:32" s="398" customFormat="1" x14ac:dyDescent="0.2">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7"/>
      <c r="AE202" s="387"/>
      <c r="AF202" s="385"/>
    </row>
    <row r="203" spans="1:32" s="398" customFormat="1" x14ac:dyDescent="0.2">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6"/>
      <c r="AF203" s="380"/>
    </row>
    <row r="204" spans="1:32" s="398" customFormat="1" x14ac:dyDescent="0.2">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5"/>
      <c r="AF204" s="382"/>
    </row>
    <row r="205" spans="1:32" s="398" customFormat="1" x14ac:dyDescent="0.2">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8"/>
      <c r="AF205" s="384"/>
    </row>
    <row r="206" spans="1:32" s="398" customFormat="1" x14ac:dyDescent="0.2">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x14ac:dyDescent="0.2">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6"/>
      <c r="AF208" s="384"/>
    </row>
    <row r="209" spans="1:32" s="398" customFormat="1" ht="12.75" customHeight="1" x14ac:dyDescent="0.2">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5"/>
      <c r="AF209" s="384"/>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5"/>
      <c r="AE210" s="388"/>
      <c r="AF210" s="384"/>
    </row>
    <row r="211" spans="1:32" s="398" customForma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5"/>
      <c r="AE211" s="386"/>
      <c r="AF211" s="384"/>
    </row>
    <row r="212" spans="1:32" s="398" customForma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4"/>
    </row>
    <row r="214" spans="1:32" s="398" customForma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87"/>
      <c r="AE214" s="385"/>
      <c r="AF214" s="387"/>
    </row>
    <row r="215" spans="1:32" s="398" customForma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87"/>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8"/>
    </row>
    <row r="249" spans="1:33"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H266" s="393"/>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3"/>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5"/>
    </row>
    <row r="269" spans="1:34"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3"/>
    </row>
    <row r="270" spans="1:34" s="349" customFormat="1" ht="14.2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99"/>
      <c r="AH270" s="392"/>
    </row>
    <row r="271" spans="1:34"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H271" s="392"/>
    </row>
    <row r="272" spans="1:34" s="400" customFormat="1" ht="12" customHeigh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49"/>
      <c r="AH272" s="393"/>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ht="17.25" customHeigh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93"/>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H275" s="384"/>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2"/>
      <c r="AH277" s="365"/>
    </row>
    <row r="278" spans="1:34" s="349" customFormat="1" ht="13.5" customHeigh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90"/>
      <c r="AH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64"/>
      <c r="AH281" s="366"/>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3"/>
    </row>
    <row r="283" spans="1:34" s="349" customFormat="1" ht="15.7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77"/>
    </row>
    <row r="284" spans="1:34" s="349" customFormat="1" ht="15.75" customHeigh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1"/>
      <c r="AH284" s="366"/>
    </row>
    <row r="285" spans="1:34" s="349" customFormat="1" ht="12.75"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6"/>
      <c r="AH285" s="378"/>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7"/>
      <c r="AH286" s="378"/>
    </row>
    <row r="287" spans="1:34" s="349"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66"/>
      <c r="AH287" s="366"/>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79"/>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c r="AH289" s="380"/>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66"/>
      <c r="AH290" s="380"/>
    </row>
    <row r="291" spans="1:34" s="349" customFormat="1" ht="14.2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9"/>
      <c r="AH291" s="380"/>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c r="AH294" s="380"/>
    </row>
    <row r="295" spans="1:34" s="372" customFormat="1" ht="12" customHeigh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2"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3" customFormat="1" ht="11.2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s="377" customForma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0"/>
    </row>
    <row r="299" spans="1:34" x14ac:dyDescent="0.2">
      <c r="AG299" s="382"/>
    </row>
    <row r="300" spans="1:34" s="378"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s="378"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4"/>
    </row>
    <row r="302" spans="1:34" x14ac:dyDescent="0.2">
      <c r="AG302" s="384"/>
    </row>
    <row r="303" spans="1:34" x14ac:dyDescent="0.2">
      <c r="AG303" s="384"/>
    </row>
    <row r="304" spans="1:34" s="381"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6"/>
    </row>
    <row r="305" spans="1:33" s="381"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2"/>
    </row>
    <row r="307" spans="1:33" s="381"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3"/>
    </row>
    <row r="308" spans="1:33" s="381" customForma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77"/>
    </row>
    <row r="309" spans="1:33" s="381"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66"/>
    </row>
    <row r="310" spans="1:33" s="381"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1" spans="1:33" s="381"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78"/>
    </row>
    <row r="313" spans="1:33" s="379"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66"/>
    </row>
    <row r="314" spans="1:33" s="380"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0"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3"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1"/>
    </row>
    <row r="322" spans="1:33" s="384" customFormat="1" ht="12.75" customHeigh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4" customFormat="1" ht="12.75" customHeigh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9"/>
    </row>
    <row r="324" spans="1:33" s="384" customFormat="1" ht="12.75" customHeigh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4" customFormat="1" ht="12.75" customHeigh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0"/>
    </row>
    <row r="331" spans="1:33" s="387"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3"/>
    </row>
    <row r="332" spans="1:33" s="387"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s="387" customForma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4"/>
    </row>
    <row r="339" spans="1:33" x14ac:dyDescent="0.2">
      <c r="AG339" s="384"/>
    </row>
    <row r="340" spans="1:33" x14ac:dyDescent="0.2">
      <c r="AG340" s="384"/>
    </row>
    <row r="341" spans="1:33" x14ac:dyDescent="0.2">
      <c r="AG341" s="387"/>
    </row>
    <row r="342" spans="1:33" x14ac:dyDescent="0.2">
      <c r="AG342" s="387"/>
    </row>
    <row r="343" spans="1:33" x14ac:dyDescent="0.2">
      <c r="AG343" s="387"/>
    </row>
    <row r="344" spans="1:33" x14ac:dyDescent="0.2">
      <c r="AG344" s="387"/>
    </row>
    <row r="345" spans="1:33" x14ac:dyDescent="0.2">
      <c r="AG345" s="387"/>
    </row>
    <row r="346" spans="1:33" x14ac:dyDescent="0.2">
      <c r="AG346" s="387"/>
    </row>
    <row r="347" spans="1:33" x14ac:dyDescent="0.2">
      <c r="AG347" s="387"/>
    </row>
    <row r="348" spans="1:33" x14ac:dyDescent="0.2">
      <c r="AG348"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122</xdr:row>
                    <xdr:rowOff>171450</xdr:rowOff>
                  </from>
                  <to>
                    <xdr:col>12</xdr:col>
                    <xdr:colOff>95250</xdr:colOff>
                    <xdr:row>123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f ca="1">-INDEX(Economics!$A$34:$D$45,MATCH(B12,Economics!$A$34:$A$45,0),4)/F12</f>
        <v>0</v>
      </c>
      <c r="F12" s="33">
        <f>(D12*$C$6)+(C12*$C$7)</f>
        <v>2.09</v>
      </c>
      <c r="G12" s="32">
        <f ca="1">E12*F12</f>
        <v>0</v>
      </c>
      <c r="H12" s="33"/>
    </row>
    <row r="13" spans="1:8" x14ac:dyDescent="0.2">
      <c r="B13" s="227" t="s">
        <v>56</v>
      </c>
      <c r="C13" s="228">
        <v>1</v>
      </c>
      <c r="D13" s="228">
        <v>0</v>
      </c>
      <c r="E13" s="32">
        <f ca="1">-INDEX(Economics!$A$34:$D$45,MATCH(Fuel!B13,Economics!$A$34:$A$45,0),4)/Fuel!F13</f>
        <v>9791.0903857655503</v>
      </c>
      <c r="F13" s="33">
        <f>(D13*$C$6)+(C13*$C$7)</f>
        <v>2.09</v>
      </c>
      <c r="G13" s="32">
        <f ca="1">E13*F13</f>
        <v>20463.37890625</v>
      </c>
      <c r="H13" s="33"/>
    </row>
    <row r="14" spans="1:8" x14ac:dyDescent="0.2">
      <c r="B14" s="227" t="s">
        <v>55</v>
      </c>
      <c r="C14" s="228">
        <v>1</v>
      </c>
      <c r="D14" s="228">
        <v>0</v>
      </c>
      <c r="E14" s="32">
        <f ca="1">-INDEX(Economics!$A$34:$D$45,MATCH(Fuel!B14,Economics!$A$34:$A$45,0),4)/Fuel!F14</f>
        <v>12120.431182715312</v>
      </c>
      <c r="F14" s="33">
        <f>(D14*$C$6)+(C14*$C$7)</f>
        <v>2.09</v>
      </c>
      <c r="G14" s="32">
        <f ca="1">E14*F14</f>
        <v>25331.701171875</v>
      </c>
      <c r="H14" s="33"/>
    </row>
    <row r="15" spans="1:8" x14ac:dyDescent="0.2">
      <c r="B15" s="229" t="s">
        <v>18</v>
      </c>
      <c r="E15" s="34">
        <f ca="1">SUM(E12:E14)</f>
        <v>21911.521568480865</v>
      </c>
      <c r="F15" s="35"/>
      <c r="G15" s="34">
        <f ca="1">SUM(G12:G14)</f>
        <v>45795.080078125</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f ca="1">-INDEX(Economics!$A$34:$D$45,MATCH(Fuel!B18,Economics!$A$34:$A$45,0),4)/Fuel!F18</f>
        <v>12689.35546875</v>
      </c>
      <c r="F18" s="35">
        <f>C18*G7+D18*G6</f>
        <v>1.96</v>
      </c>
      <c r="G18" s="34">
        <f ca="1">F18*E18</f>
        <v>24871.13671875</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f ca="1">-INDEX(Economics!$A$34:$D$45,MATCH(Fuel!B22,Economics!$A$34:$A$45,0),4)/Fuel!F22</f>
        <v>1460.621113679847</v>
      </c>
      <c r="F22" s="33">
        <f>IF($I$22=1,C22*$C$8,C22*$G$7)+IF($J$22=1,D22*$C$6,D22*$G$6)</f>
        <v>1.96</v>
      </c>
      <c r="G22" s="32">
        <f t="shared" ref="G22:G29" ca="1" si="0">F22*E22</f>
        <v>2862.8173828125</v>
      </c>
      <c r="I22" s="236">
        <f>IF(C8&lt;G7,1,0)</f>
        <v>0</v>
      </c>
      <c r="J22" s="236">
        <f>IF(C6&lt;G6,1,0)</f>
        <v>1</v>
      </c>
      <c r="K22" s="237"/>
      <c r="L22" s="238"/>
    </row>
    <row r="23" spans="1:12" x14ac:dyDescent="0.2">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
      <c r="B24" s="227" t="s">
        <v>52</v>
      </c>
      <c r="C24" s="228">
        <v>1</v>
      </c>
      <c r="D24" s="228">
        <v>0</v>
      </c>
      <c r="E24" s="32">
        <f ca="1">-INDEX(Economics!$A$34:$D$45,MATCH(Fuel!B24,Economics!$A$34:$A$45,0),4)/Fuel!F24</f>
        <v>0</v>
      </c>
      <c r="F24" s="33">
        <f t="shared" si="1"/>
        <v>1.96</v>
      </c>
      <c r="G24" s="32">
        <f t="shared" ca="1" si="0"/>
        <v>0</v>
      </c>
      <c r="I24" s="31"/>
      <c r="J24" s="31"/>
      <c r="K24" s="31"/>
    </row>
    <row r="25" spans="1:12" x14ac:dyDescent="0.2">
      <c r="B25" s="227" t="s">
        <v>48</v>
      </c>
      <c r="C25" s="228">
        <v>1</v>
      </c>
      <c r="D25" s="228">
        <v>0</v>
      </c>
      <c r="E25" s="32">
        <f ca="1">-INDEX(Economics!$A$34:$D$45,MATCH(Fuel!B25,Economics!$A$34:$A$45,0),4)/Fuel!F25</f>
        <v>17470.687181122448</v>
      </c>
      <c r="F25" s="33">
        <f t="shared" si="1"/>
        <v>1.96</v>
      </c>
      <c r="G25" s="32">
        <f t="shared" ca="1" si="0"/>
        <v>34242.546875</v>
      </c>
      <c r="I25" s="31"/>
      <c r="J25" s="31"/>
      <c r="K25" s="31"/>
    </row>
    <row r="26" spans="1:12" x14ac:dyDescent="0.2">
      <c r="B26" s="227" t="s">
        <v>47</v>
      </c>
      <c r="C26" s="228">
        <v>1</v>
      </c>
      <c r="D26" s="228">
        <v>0</v>
      </c>
      <c r="E26" s="32">
        <f ca="1">-INDEX(Economics!$A$34:$D$45,MATCH(Fuel!B26,Economics!$A$34:$A$45,0),4)/Fuel!F26</f>
        <v>13853.997927295919</v>
      </c>
      <c r="F26" s="33">
        <f t="shared" si="1"/>
        <v>1.96</v>
      </c>
      <c r="G26" s="32">
        <f t="shared" ca="1" si="0"/>
        <v>27153.8359375</v>
      </c>
      <c r="I26" s="31"/>
      <c r="J26" s="31"/>
      <c r="K26" s="31"/>
    </row>
    <row r="27" spans="1:12" x14ac:dyDescent="0.2">
      <c r="B27" s="239" t="s">
        <v>46</v>
      </c>
      <c r="C27" s="228">
        <v>1</v>
      </c>
      <c r="D27" s="228">
        <v>0</v>
      </c>
      <c r="E27" s="32">
        <f ca="1">-INDEX(Economics!$A$34:$D$45,MATCH(Fuel!B27,Economics!$A$34:$A$45,0),4)/Fuel!F27</f>
        <v>15287.75709502551</v>
      </c>
      <c r="F27" s="33">
        <f t="shared" si="1"/>
        <v>1.96</v>
      </c>
      <c r="G27" s="32">
        <f t="shared" ca="1" si="0"/>
        <v>29964.00390625</v>
      </c>
      <c r="I27" s="31"/>
      <c r="J27" s="31"/>
      <c r="K27" s="31"/>
    </row>
    <row r="28" spans="1:12" x14ac:dyDescent="0.2">
      <c r="B28" s="227" t="s">
        <v>49</v>
      </c>
      <c r="C28" s="228">
        <v>1</v>
      </c>
      <c r="D28" s="228">
        <v>0</v>
      </c>
      <c r="E28" s="32">
        <f ca="1">-INDEX(Economics!$A$34:$D$45,MATCH(Fuel!B28,Economics!$A$34:$A$45,0),4)/Fuel!F28</f>
        <v>8677.8609295280621</v>
      </c>
      <c r="F28" s="33">
        <f t="shared" si="1"/>
        <v>1.96</v>
      </c>
      <c r="G28" s="32">
        <f t="shared" ca="1" si="0"/>
        <v>17008.607421875</v>
      </c>
      <c r="I28" s="31"/>
      <c r="J28" s="31"/>
      <c r="K28" s="31"/>
    </row>
    <row r="29" spans="1:12" x14ac:dyDescent="0.2">
      <c r="B29" s="227" t="s">
        <v>50</v>
      </c>
      <c r="C29" s="228">
        <v>1</v>
      </c>
      <c r="D29" s="228">
        <v>0</v>
      </c>
      <c r="E29" s="32">
        <f ca="1">-INDEX(Economics!$A$34:$D$45,MATCH(Fuel!B29,Economics!$A$34:$A$45,0),4)/Fuel!F29</f>
        <v>8786.6509885204086</v>
      </c>
      <c r="F29" s="33">
        <f t="shared" si="1"/>
        <v>1.96</v>
      </c>
      <c r="G29" s="32">
        <f t="shared" ca="1" si="0"/>
        <v>17221.8359375</v>
      </c>
      <c r="I29" s="31"/>
      <c r="J29" s="31"/>
      <c r="K29" s="31"/>
    </row>
    <row r="30" spans="1:12" x14ac:dyDescent="0.2">
      <c r="B30" s="229"/>
      <c r="C30" s="36"/>
      <c r="D30" s="36"/>
      <c r="E30" s="34">
        <f ca="1">SUM(E22:E29)</f>
        <v>65537.575235172204</v>
      </c>
      <c r="F30" s="35"/>
      <c r="G30" s="34">
        <f ca="1">SUM(G22:G29)</f>
        <v>128453.6474609375</v>
      </c>
      <c r="I30" s="31"/>
      <c r="J30" s="31"/>
      <c r="K30" s="31"/>
    </row>
    <row r="31" spans="1:12" x14ac:dyDescent="0.2">
      <c r="B31" s="229"/>
      <c r="I31" s="31"/>
      <c r="J31" s="31"/>
      <c r="K31" s="31"/>
    </row>
    <row r="32" spans="1:12" ht="13.5" thickBot="1" x14ac:dyDescent="0.25">
      <c r="B32" s="229" t="s">
        <v>18</v>
      </c>
      <c r="E32" s="7">
        <f ca="1">E15+E18+E30</f>
        <v>100138.45227240307</v>
      </c>
      <c r="F32" s="8"/>
      <c r="G32" s="7">
        <f ca="1">G15+G18+G30</f>
        <v>199119.8642578125</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623918.69999999995</v>
      </c>
      <c r="C3" s="117">
        <f ca="1">6.8*0.75*E3</f>
        <v>153719.09999999998</v>
      </c>
      <c r="D3" s="117">
        <f ca="1">C3+B3</f>
        <v>777637.79999999993</v>
      </c>
      <c r="E3" s="118">
        <f ca="1">SUM(Preschedule!B59:Y59)</f>
        <v>30141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-937</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3680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310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-28058.692480000005</v>
      </c>
      <c r="C28" s="120"/>
      <c r="D28" s="120">
        <f ca="1">C28+B28</f>
        <v>-28058.692480000005</v>
      </c>
      <c r="E28" s="114">
        <f>SUM(Preschedule!B56:Y56)</f>
        <v>2146</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-26157.936000000002</v>
      </c>
      <c r="C30" s="120"/>
      <c r="D30" s="120">
        <f>C30+B30</f>
        <v>-26157.936000000002</v>
      </c>
      <c r="E30" s="114">
        <f>SUM(Preschedule!B53:Y53)</f>
        <v>4291</v>
      </c>
      <c r="F30" s="120">
        <f>H30*I30</f>
        <v>6.0960000000000001</v>
      </c>
      <c r="G30" s="79">
        <f>-IF(E30=0,0,D30/E30)</f>
        <v>6.0960000000000001</v>
      </c>
      <c r="H30" s="134">
        <v>10.16</v>
      </c>
      <c r="I30" s="135">
        <v>0.6</v>
      </c>
    </row>
    <row r="31" spans="1:9" x14ac:dyDescent="0.2">
      <c r="A31" s="83" t="s">
        <v>44</v>
      </c>
      <c r="B31" s="120">
        <f>-F31*E31</f>
        <v>-26157.936000000002</v>
      </c>
      <c r="C31" s="120"/>
      <c r="D31" s="120">
        <f>C31+B31</f>
        <v>-26157.936000000002</v>
      </c>
      <c r="E31" s="114">
        <f>SUM(Preschedule!B54:Y54)</f>
        <v>4291</v>
      </c>
      <c r="F31" s="120">
        <f>H31*I31</f>
        <v>6.0960000000000001</v>
      </c>
      <c r="G31" s="79">
        <f>-IF(E31=0,0,D31/E31)</f>
        <v>6.0960000000000001</v>
      </c>
      <c r="H31" s="134">
        <v>10.16</v>
      </c>
      <c r="I31" s="135">
        <v>0.6</v>
      </c>
    </row>
    <row r="32" spans="1:9" x14ac:dyDescent="0.2">
      <c r="A32" s="83" t="s">
        <v>45</v>
      </c>
      <c r="B32" s="120">
        <f>-F32*E32</f>
        <v>-26194.511999999999</v>
      </c>
      <c r="C32" s="120"/>
      <c r="D32" s="120">
        <f>C32+B32</f>
        <v>-26194.511999999999</v>
      </c>
      <c r="E32" s="114">
        <f>SUM(Preschedule!B55:Y55)</f>
        <v>4297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-29964.00390625</v>
      </c>
      <c r="C34" s="120"/>
      <c r="D34" s="120">
        <f ca="1">IF(ISTEXT(B34),0,C34+B34)</f>
        <v>-29964.00390625</v>
      </c>
      <c r="E34" s="114">
        <f>SUM(Preschedule!B41:Y41)</f>
        <v>1332</v>
      </c>
      <c r="F34" s="120">
        <f ca="1">-IF(OR(ISTEXT(B34),E34=0),0,B34/E34)</f>
        <v>22.495498428115617</v>
      </c>
      <c r="G34" s="79">
        <f t="shared" ref="G34:G45" ca="1" si="6">-IF(E34=0,0,D34/E34)</f>
        <v>22.495498428115617</v>
      </c>
      <c r="H34" s="136"/>
      <c r="I34" s="135">
        <f>INDEX(FuelPriceTable,MATCH(A34,FuelNames,0),5)</f>
        <v>1.96</v>
      </c>
    </row>
    <row r="35" spans="1:9" x14ac:dyDescent="0.2">
      <c r="A35" s="83" t="s">
        <v>47</v>
      </c>
      <c r="B35" s="120">
        <f ca="1">Gencost(Preschedule!B42:Y42,OFFSET(HeatRateStart,1,MATCH(A35,HeatRateNames,0)-1,250,1),I35)</f>
        <v>-27153.8359375</v>
      </c>
      <c r="C35" s="120"/>
      <c r="D35" s="120">
        <f t="shared" ref="D35:D45" ca="1" si="7">IF(ISTEXT(B35),0,C35+B35)</f>
        <v>-27153.8359375</v>
      </c>
      <c r="E35" s="114">
        <f>SUM(Preschedule!B42:Y42)</f>
        <v>1320</v>
      </c>
      <c r="F35" s="120">
        <f t="shared" ref="F35:F45" ca="1" si="8">-IF(OR(ISTEXT(B35),E35=0),0,B35/E35)</f>
        <v>20.571087831439392</v>
      </c>
      <c r="G35" s="79">
        <f t="shared" ca="1" si="6"/>
        <v>20.571087831439392</v>
      </c>
      <c r="H35" s="136"/>
      <c r="I35" s="135">
        <f t="shared" ref="I35:I45" si="9">INDEX(FuelPriceTable,MATCH(A35,FuelNames,0),5)</f>
        <v>1.96</v>
      </c>
    </row>
    <row r="36" spans="1:9" x14ac:dyDescent="0.2">
      <c r="A36" s="83" t="s">
        <v>48</v>
      </c>
      <c r="B36" s="120">
        <f ca="1">Gencost(Preschedule!B43:Y43,OFFSET(HeatRateStart,1,MATCH(A36,HeatRateNames,0)-1,250,1),I36)</f>
        <v>-34242.546875</v>
      </c>
      <c r="C36" s="120"/>
      <c r="D36" s="120">
        <f t="shared" ca="1" si="7"/>
        <v>-34242.546875</v>
      </c>
      <c r="E36" s="114">
        <f>SUM(Preschedule!B43:Y43)</f>
        <v>1711</v>
      </c>
      <c r="F36" s="120">
        <f t="shared" ca="1" si="8"/>
        <v>20.013177600818235</v>
      </c>
      <c r="G36" s="79">
        <f t="shared" ca="1" si="6"/>
        <v>20.013177600818235</v>
      </c>
      <c r="H36" s="136"/>
      <c r="I36" s="135">
        <f>INDEX(FuelPriceTable,MATCH(A36,FuelNames,0),5)</f>
        <v>1.96</v>
      </c>
    </row>
    <row r="37" spans="1:9" x14ac:dyDescent="0.2">
      <c r="A37" s="83" t="s">
        <v>49</v>
      </c>
      <c r="B37" s="120">
        <f ca="1">Gencost(Preschedule!B44:Y44,OFFSET(HeatRateStart,1,MATCH(A37,HeatRateNames,0)-1,250,1),I37)</f>
        <v>-17008.607421875</v>
      </c>
      <c r="C37" s="120"/>
      <c r="D37" s="120">
        <f t="shared" ca="1" si="7"/>
        <v>-17008.607421875</v>
      </c>
      <c r="E37" s="114">
        <f>SUM(Preschedule!B44:Y44)</f>
        <v>561</v>
      </c>
      <c r="F37" s="120">
        <f t="shared" ca="1" si="8"/>
        <v>30.318373301024955</v>
      </c>
      <c r="G37" s="79">
        <f t="shared" ca="1" si="6"/>
        <v>30.318373301024955</v>
      </c>
      <c r="H37" s="136"/>
      <c r="I37" s="135">
        <f t="shared" si="9"/>
        <v>1.96</v>
      </c>
    </row>
    <row r="38" spans="1:9" x14ac:dyDescent="0.2">
      <c r="A38" s="83" t="s">
        <v>50</v>
      </c>
      <c r="B38" s="120">
        <f ca="1">Gencost(Preschedule!B45:Y45,OFFSET(HeatRateStart,1,MATCH(A38,HeatRateNames,0)-1,250,1),I38)</f>
        <v>-17221.8359375</v>
      </c>
      <c r="C38" s="120"/>
      <c r="D38" s="120">
        <f t="shared" ca="1" si="7"/>
        <v>-17221.8359375</v>
      </c>
      <c r="E38" s="114">
        <f>SUM(Preschedule!B45:Y45)</f>
        <v>558</v>
      </c>
      <c r="F38" s="120">
        <f t="shared" ca="1" si="8"/>
        <v>30.863505264336919</v>
      </c>
      <c r="G38" s="79">
        <f t="shared" ca="1" si="6"/>
        <v>30.863505264336919</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-2862.8173828125</v>
      </c>
      <c r="C41" s="120"/>
      <c r="D41" s="120">
        <f t="shared" ca="1" si="7"/>
        <v>-2862.8173828125</v>
      </c>
      <c r="E41" s="114">
        <f>SUM(Preschedule!B48:Y48)</f>
        <v>152</v>
      </c>
      <c r="F41" s="120">
        <f t="shared" ca="1" si="8"/>
        <v>18.834324886924342</v>
      </c>
      <c r="G41" s="79">
        <f t="shared" ca="1" si="6"/>
        <v>18.834324886924342</v>
      </c>
      <c r="H41" s="136"/>
      <c r="I41" s="135">
        <v>1.96</v>
      </c>
    </row>
    <row r="42" spans="1:9" x14ac:dyDescent="0.2">
      <c r="A42" s="83" t="s">
        <v>54</v>
      </c>
      <c r="B42" s="120">
        <f ca="1">Gencost(Preschedule!B49:Y49,OFFSET(HeatRateStart,1,MATCH(A42,HeatRateNames,0)-1,250,1),I42)</f>
        <v>-24871.13671875</v>
      </c>
      <c r="C42" s="120"/>
      <c r="D42" s="120">
        <f t="shared" ca="1" si="7"/>
        <v>-24871.13671875</v>
      </c>
      <c r="E42" s="114">
        <f>SUM(Preschedule!B49:Y49)</f>
        <v>782</v>
      </c>
      <c r="F42" s="120">
        <f t="shared" ca="1" si="8"/>
        <v>31.804522658248082</v>
      </c>
      <c r="G42" s="79">
        <f t="shared" ca="1" si="6"/>
        <v>31.804522658248082</v>
      </c>
      <c r="H42" s="136"/>
      <c r="I42" s="135">
        <f t="shared" si="9"/>
        <v>1.96</v>
      </c>
    </row>
    <row r="43" spans="1:9" x14ac:dyDescent="0.2">
      <c r="A43" s="83" t="s">
        <v>55</v>
      </c>
      <c r="B43" s="120">
        <f ca="1">Gencost(Preschedule!B50:Y50,OFFSET(HeatRateStart,1,MATCH(A43,HeatRateNames,0)-1,250,1),I43)</f>
        <v>-25331.701171875</v>
      </c>
      <c r="C43" s="120"/>
      <c r="D43" s="120">
        <f t="shared" ca="1" si="7"/>
        <v>-25331.701171875</v>
      </c>
      <c r="E43" s="114">
        <f>SUM(Preschedule!B50:Y50)</f>
        <v>991</v>
      </c>
      <c r="F43" s="120">
        <f t="shared" ca="1" si="8"/>
        <v>25.561756984737638</v>
      </c>
      <c r="G43" s="79">
        <f t="shared" ca="1" si="6"/>
        <v>25.561756984737638</v>
      </c>
      <c r="H43" s="136"/>
      <c r="I43" s="135">
        <f t="shared" si="9"/>
        <v>2.09</v>
      </c>
    </row>
    <row r="44" spans="1:9" x14ac:dyDescent="0.2">
      <c r="A44" s="83" t="s">
        <v>56</v>
      </c>
      <c r="B44" s="120">
        <f ca="1">Gencost(Preschedule!B51:Y51,OFFSET(HeatRateStart,1,MATCH(A44,HeatRateNames,0)-1,250,1),I44)</f>
        <v>-20463.37890625</v>
      </c>
      <c r="C44" s="120"/>
      <c r="D44" s="120">
        <f t="shared" ca="1" si="7"/>
        <v>-20463.37890625</v>
      </c>
      <c r="E44" s="114">
        <f>SUM(Preschedule!B51:Y51)</f>
        <v>912</v>
      </c>
      <c r="F44" s="120">
        <f t="shared" ca="1" si="8"/>
        <v>22.437915467379387</v>
      </c>
      <c r="G44" s="79">
        <f t="shared" ca="1" si="6"/>
        <v>22.437915467379387</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37123.960416666669</v>
      </c>
    </row>
    <row r="32" spans="2:2" x14ac:dyDescent="0.2">
      <c r="B32" t="s">
        <v>389</v>
      </c>
    </row>
    <row r="33" spans="2:2" x14ac:dyDescent="0.2">
      <c r="B33" t="s">
        <v>388</v>
      </c>
    </row>
    <row r="34" spans="2:2" x14ac:dyDescent="0.2">
      <c r="B34" t="s">
        <v>390</v>
      </c>
    </row>
    <row r="35" spans="2:2" x14ac:dyDescent="0.2">
      <c r="B35" t="s">
        <v>391</v>
      </c>
    </row>
    <row r="36" spans="2:2" x14ac:dyDescent="0.2">
      <c r="B36" t="s">
        <v>392</v>
      </c>
    </row>
    <row r="37" spans="2:2" x14ac:dyDescent="0.2">
      <c r="B37" t="s">
        <v>369</v>
      </c>
    </row>
    <row r="38" spans="2:2" x14ac:dyDescent="0.2">
      <c r="B38" t="s">
        <v>362</v>
      </c>
    </row>
    <row r="39" spans="2:2" x14ac:dyDescent="0.2">
      <c r="B39" t="s">
        <v>380</v>
      </c>
    </row>
    <row r="40" spans="2:2" x14ac:dyDescent="0.2">
      <c r="B40" t="s">
        <v>393</v>
      </c>
    </row>
    <row r="41" spans="2:2" x14ac:dyDescent="0.2">
      <c r="B41" t="s">
        <v>394</v>
      </c>
    </row>
    <row r="42" spans="2:2" x14ac:dyDescent="0.2">
      <c r="B42" t="s">
        <v>382</v>
      </c>
    </row>
    <row r="43" spans="2:2" x14ac:dyDescent="0.2">
      <c r="B43" t="s">
        <v>385</v>
      </c>
    </row>
    <row r="44" spans="2:2" x14ac:dyDescent="0.2">
      <c r="B44" t="s">
        <v>371</v>
      </c>
    </row>
    <row r="45" spans="2:2" x14ac:dyDescent="0.2">
      <c r="B45" t="s">
        <v>386</v>
      </c>
    </row>
    <row r="46" spans="2:2" x14ac:dyDescent="0.2">
      <c r="B46" t="s">
        <v>395</v>
      </c>
    </row>
    <row r="47" spans="2:2" x14ac:dyDescent="0.2">
      <c r="B47" t="s">
        <v>387</v>
      </c>
    </row>
    <row r="48" spans="2:2" x14ac:dyDescent="0.2">
      <c r="B48" t="s">
        <v>396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2001-05-17T08:48:36Z</cp:lastPrinted>
  <dcterms:created xsi:type="dcterms:W3CDTF">1998-02-07T06:53:21Z</dcterms:created>
  <dcterms:modified xsi:type="dcterms:W3CDTF">2023-09-09T19:13:16Z</dcterms:modified>
</cp:coreProperties>
</file>