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D12CDF08-CCAA-455C-A25D-A34853FAEB0D}" xr6:coauthVersionLast="47" xr6:coauthVersionMax="47" xr10:uidLastSave="{00000000-0000-0000-0000-000000000000}"/>
  <bookViews>
    <workbookView xWindow="-120" yWindow="-120" windowWidth="38640" windowHeight="1572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Deals!$D$96</definedName>
    <definedName name="CISOEndDate">Deals!$D$97</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Deals!$C$95</definedName>
    <definedName name="EndofDType">Deals!$B$95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4" i="2"/>
  <c r="AE74" i="2"/>
  <c r="AF74" i="2"/>
  <c r="AD75" i="2"/>
  <c r="AE75" i="2"/>
  <c r="AF75" i="2"/>
  <c r="AD76" i="2"/>
  <c r="AE76" i="2"/>
  <c r="AF76" i="2"/>
  <c r="AD77" i="2"/>
  <c r="AE77" i="2"/>
  <c r="AF77" i="2"/>
  <c r="AD78" i="2"/>
  <c r="AE78" i="2"/>
  <c r="AF78" i="2"/>
  <c r="AD79" i="2"/>
  <c r="AE79" i="2"/>
  <c r="AF79" i="2"/>
  <c r="AD80" i="2"/>
  <c r="AE80" i="2"/>
  <c r="AF80" i="2"/>
  <c r="AD81" i="2"/>
  <c r="AE81" i="2"/>
  <c r="AF81" i="2"/>
  <c r="AD82" i="2"/>
  <c r="AE82" i="2"/>
  <c r="AF82" i="2"/>
  <c r="AD84" i="2"/>
  <c r="AE84" i="2"/>
  <c r="AF84" i="2"/>
  <c r="AD85" i="2"/>
  <c r="AE85" i="2"/>
  <c r="AF85" i="2"/>
  <c r="AD87" i="2"/>
  <c r="AE87" i="2"/>
  <c r="AD88" i="2"/>
  <c r="AE88" i="2"/>
  <c r="AD90" i="2"/>
  <c r="AE90" i="2"/>
  <c r="AF90" i="2"/>
  <c r="AD91" i="2"/>
  <c r="AE91" i="2"/>
  <c r="AF91" i="2"/>
  <c r="AD92" i="2"/>
  <c r="AE92" i="2"/>
  <c r="AF92" i="2"/>
  <c r="AD93" i="2"/>
  <c r="AE93" i="2"/>
  <c r="AF93" i="2"/>
  <c r="AD101" i="2"/>
  <c r="AE101" i="2"/>
  <c r="AD102" i="2"/>
  <c r="AE102" i="2"/>
  <c r="AD106" i="2"/>
  <c r="AE106"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F33" i="1" a="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s_mcrouch</author>
  </authors>
  <commentList>
    <comment ref="C15" authorId="0" shapeId="0">
      <text>
        <r>
          <rPr>
            <sz val="10"/>
            <color indexed="81"/>
            <rFont val="Tahoma"/>
            <family val="2"/>
          </rPr>
          <t>NOTE TO SELF.
The CALPX lines are hidden.  They are rows 14-61.</t>
        </r>
      </text>
    </comment>
    <comment ref="A68" authorId="1" shapeId="0">
      <text>
        <r>
          <rPr>
            <sz val="10"/>
            <color indexed="81"/>
            <rFont val="Tahoma"/>
            <family val="2"/>
          </rPr>
          <t>Anderson:  Schedule from HE8-23 taken to zero by SPS.  Resupplied by them.</t>
        </r>
      </text>
    </comment>
    <comment ref="A69" authorId="1" shapeId="0">
      <text>
        <r>
          <rPr>
            <sz val="10"/>
            <color indexed="81"/>
            <rFont val="Tahoma"/>
            <family val="2"/>
          </rPr>
          <t>Anderson:  Schedule from HE8-23 taken to zero by SPS.  Resupplied by them.</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<sst xmlns="http://schemas.openxmlformats.org/spreadsheetml/2006/main" count="761" uniqueCount="401">
  <si>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</si>
  <si>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</si>
  <si>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</si>
  <si>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</si>
  <si>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</si>
  <si>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</si>
  <si>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</si>
  <si>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</si>
  <si>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</si>
  <si>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</si>
  <si>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</si>
  <si>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</si>
  <si>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</si>
  <si>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</si>
  <si>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</si>
  <si>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</si>
  <si>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</si>
  <si>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</si>
  <si>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</si>
  <si>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</si>
  <si>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</si>
  <si>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</si>
  <si>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</si>
  <si>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</si>
  <si>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</si>
  <si>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</si>
  <si>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</si>
  <si>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</si>
  <si>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</si>
  <si>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</si>
  <si>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</si>
  <si>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</si>
  <si>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</si>
  <si>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</si>
  <si>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</si>
  <si>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</si>
  <si>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</si>
  <si>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</si>
  <si>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</si>
  <si>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</si>
  <si>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</si>
  <si>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</si>
  <si>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</si>
  <si>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</si>
  <si>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</si>
  <si>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</si>
  <si>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</si>
  <si>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</si>
  <si>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</si>
  <si>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</si>
  <si>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</si>
  <si>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</si>
  <si>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</si>
  <si>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</si>
  <si>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</si>
  <si>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</si>
  <si>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</si>
  <si>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</si>
  <si>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</si>
  <si>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</si>
  <si>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</si>
  <si>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</si>
  <si>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</si>
  <si>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</si>
  <si>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</si>
  <si>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</si>
  <si>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</si>
  <si>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</si>
  <si>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</si>
  <si>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</si>
  <si>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</si>
  <si>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</si>
  <si>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</si>
  <si>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</si>
  <si>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</si>
  <si>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</si>
  <si>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</si>
  <si>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</si>
  <si>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</si>
  <si>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</si>
  <si>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</si>
  <si>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</si>
  <si>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</si>
  <si>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</si>
  <si>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</si>
  <si>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</si>
  <si>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</si>
  <si>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</si>
  <si>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</si>
  <si>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</si>
  <si>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</si>
  <si>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</si>
  <si>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</si>
  <si>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</si>
  <si>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</si>
  <si>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</si>
  <si>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</si>
  <si>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</si>
  <si>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</si>
  <si>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</si>
  <si>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</si>
  <si>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</si>
  <si>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</si>
  <si>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</si>
  <si>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</si>
  <si>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</si>
  <si>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</si>
  <si>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</si>
  <si>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</si>
  <si>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</si>
  <si>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</si>
  <si>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</si>
  <si>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</si>
  <si>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</si>
  <si>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</si>
  <si>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</si>
  <si>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</si>
  <si>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</si>
  <si>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</si>
  <si>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</si>
  <si>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</si>
  <si>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</si>
  <si>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</si>
  <si>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</si>
  <si>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</si>
  <si>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</si>
  <si>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</si>
  <si>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</si>
  <si>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</si>
  <si>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</si>
  <si>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</si>
  <si>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</si>
  <si>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</si>
  <si>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</si>
  <si>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</si>
  <si>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</si>
  <si>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</si>
  <si>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</si>
  <si>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</si>
  <si>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</si>
  <si>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</si>
  <si>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</si>
  <si>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</si>
  <si>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</si>
  <si>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</si>
  <si>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</si>
  <si>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</si>
  <si>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</si>
  <si>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</si>
  <si>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</si>
  <si>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</si>
  <si>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</si>
  <si>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</si>
  <si>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</si>
  <si>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</si>
  <si>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</si>
  <si>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</si>
  <si>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</si>
  <si>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</si>
  <si>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</si>
  <si>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</si>
  <si>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</si>
  <si>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</si>
  <si>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</si>
  <si>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</si>
  <si>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</si>
  <si>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</si>
  <si>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</si>
  <si>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</si>
  <si>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</si>
  <si>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</si>
  <si>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</si>
  <si>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</si>
  <si>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</si>
  <si>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</si>
  <si>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</si>
  <si>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</si>
  <si>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</si>
  <si>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</si>
  <si>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</si>
  <si>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</si>
  <si>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</si>
  <si>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</si>
  <si>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</si>
  <si>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</si>
  <si>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</si>
  <si>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</si>
  <si>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</si>
  <si>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</si>
  <si>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</si>
  <si>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</si>
  <si>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</si>
  <si>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</si>
  <si>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</si>
  <si>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</si>
  <si>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</si>
  <si>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</si>
  <si>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</si>
  <si>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</si>
  <si>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</si>
  <si>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</si>
  <si>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</si>
  <si>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</si>
  <si>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</si>
  <si>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</si>
  <si>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</si>
  <si>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</si>
  <si>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</si>
  <si>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</si>
  <si>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</si>
  <si>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</si>
  <si>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</si>
  <si>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</si>
  <si>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</si>
  <si>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</si>
  <si>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</si>
  <si>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</si>
  <si>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</si>
  <si>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</si>
  <si>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</si>
  <si>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</si>
  <si>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</si>
  <si>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</si>
  <si>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</si>
  <si>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</si>
  <si>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</si>
  <si>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</si>
  <si>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</si>
  <si>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</si>
  <si>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</si>
  <si>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</si>
  <si>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</si>
  <si>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</si>
  <si>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</si>
  <si>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</si>
  <si>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</si>
  <si>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</si>
  <si>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</si>
  <si>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</si>
  <si>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</si>
  <si>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</si>
  <si>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</si>
  <si>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</si>
  <si>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</si>
  <si>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</si>
  <si>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</si>
  <si>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</si>
  <si>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</si>
  <si>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</si>
  <si>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</si>
  <si>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</si>
  <si>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</si>
  <si>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</si>
  <si>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</si>
  <si>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</si>
  <si>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</si>
  <si>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</si>
  <si>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</si>
  <si>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</si>
  <si>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</si>
  <si>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</si>
  <si>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</si>
  <si>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</si>
  <si>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</si>
  <si>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</si>
  <si>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</si>
  <si>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</si>
  <si>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</si>
  <si>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</si>
  <si>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</si>
  <si>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</si>
  <si>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</si>
  <si>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</si>
  <si>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</si>
  <si>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</si>
  <si>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</si>
  <si>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</si>
  <si>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</si>
  <si>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</si>
  <si>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</si>
  <si>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</si>
  <si>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</si>
  <si>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</si>
  <si>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</si>
  <si>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</si>
  <si>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</si>
  <si>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</si>
  <si>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</si>
  <si>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</si>
  <si>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</si>
  <si>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</si>
  <si>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</si>
  <si>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</si>
  <si>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</si>
  <si>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</si>
  <si>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</si>
  <si>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</si>
  <si>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</si>
  <si>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</si>
  <si>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</si>
  <si>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</si>
  <si>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</si>
  <si>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</si>
  <si>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</si>
  <si>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</si>
  <si>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</si>
  <si>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</si>
  <si>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</si>
  <si>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</si>
  <si>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</si>
  <si>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</si>
  <si>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</si>
  <si>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</si>
  <si>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</si>
  <si>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</si>
  <si>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</si>
  <si>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</si>
  <si>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</si>
  <si>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</si>
  <si>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</si>
  <si>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</si>
  <si>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</si>
  <si>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</si>
  <si>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</si>
  <si>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</si>
  <si>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</si>
  <si>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</si>
  <si>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</si>
  <si>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</si>
  <si>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</si>
  <si>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</si>
  <si>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</si>
  <si>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</si>
  <si>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</si>
  <si>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</si>
  <si>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</si>
  <si>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</si>
  <si>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</si>
  <si>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</si>
  <si>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</si>
  <si>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</si>
  <si>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</si>
  <si>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</si>
  <si>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</si>
  <si>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</si>
  <si>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</si>
  <si>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</si>
  <si>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</si>
  <si>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</si>
  <si>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</si>
  <si>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</si>
  <si>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</si>
  <si>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</si>
  <si>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</si>
  <si>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</si>
  <si>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</si>
  <si>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</si>
  <si>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</si>
  <si>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</si>
  <si>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</si>
  <si>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</si>
  <si>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</si>
  <si>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</si>
  <si>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</si>
  <si>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</si>
  <si>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</si>
  <si>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</si>
  <si>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</si>
  <si>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</si>
  <si>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</si>
  <si>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</si>
  <si>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</si>
  <si>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</si>
  <si>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</si>
  <si>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</si>
  <si>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</si>
  <si>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</si>
  <si>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</si>
  <si>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</si>
  <si>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</si>
  <si>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</si>
  <si>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FOURCRNRS,MANL, 52  , 52  , 52  ,104  ,  0  ,1</t>
  </si>
  <si>
    <t>ISO</t>
  </si>
  <si>
    <t>NEWMAN 1 ,UNAV,  0  , 75  , 39  , 83  ,  0  ,1</t>
  </si>
  <si>
    <t>RIOGRAN 8,UNAV,  0  ,120  , 36  ,151  ,  0  ,1</t>
  </si>
  <si>
    <t>Econ</t>
  </si>
  <si>
    <t>PNM     ,FIRM    ,FC,  ,  30,  30</t>
  </si>
  <si>
    <t>NEWMN/GT2,MANL, 20  , 60  , 18  , 60  ,  0  ,1</t>
  </si>
  <si>
    <t>NEWMAN 4 ,UNAV,  0  ,215  , 86  ,214  ,  0  ,1</t>
  </si>
  <si>
    <t>APS     ,FIRM    ,FC,  ,  25,  25</t>
  </si>
  <si>
    <t>APS     ,FIRM    ,PV,  ,  50,  50</t>
  </si>
  <si>
    <t>IID     ,FIRM    ,PV,  ,  75,  75</t>
  </si>
  <si>
    <t>LDWP    ,FIRM    ,PV,  ,  25,  25</t>
  </si>
  <si>
    <t>PGT     ,LOSS    ,LC,  ,  -2,  -1</t>
  </si>
  <si>
    <t>NEWMN/GT1,MANL, 20  , 60  , 18  , 60  ,  0  ,1</t>
  </si>
  <si>
    <t>NEWMAN 2 ,ECON, 35  , 70  , 34  , 83  , 35  ,1</t>
  </si>
  <si>
    <t>NEWMAN 3 ,ECON, 64  ,100  , 35  ,103  , 36  ,1</t>
  </si>
  <si>
    <t xml:space="preserve">NEWMAN   ,, 139 ,  290,  105, 306 ,  71 , </t>
  </si>
  <si>
    <t>PALOVERDE,MANL,607  ,600  ,600  ,600  ,  0  ,1</t>
  </si>
  <si>
    <t>LAMBDA, 24.93,  620,  620,  153,    1,    0, 9548,21</t>
  </si>
  <si>
    <t>PNM     ,ECON    ,FC,  ,  20,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</si>
</sst>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22" fillId="12" borderId="45" xfId="0" applyFont="1" applyFill="1" applyBorder="1" applyAlignment="1">
      <alignment wrapText="1"/>
    </xf>
    <xf numFmtId="0" fontId="22" fillId="12" borderId="58" xfId="0" applyFont="1" applyFill="1" applyBorder="1" applyAlignment="1">
      <alignment wrapText="1"/>
    </xf>
    <xf numFmtId="0" fontId="22" fillId="4" borderId="58" xfId="0" applyFont="1" applyFill="1" applyBorder="1" applyAlignment="1">
      <alignment wrapText="1"/>
    </xf>
    <xf numFmtId="0" fontId="4" fillId="4" borderId="3" xfId="0" applyNumberFormat="1"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BD4FC0F5-46DC-31AC-E8A3-8C37AF3C846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873BE110-B27D-EC07-D250-9BD1D432EE2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36FB608B-A0E2-BD4D-4847-2B7D605034E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81D0D265-4700-7F7D-9386-52C60A8B5FC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78FE197E-6D3D-D44B-C815-6686396FB5F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96</xdr:row>
      <xdr:rowOff>76200</xdr:rowOff>
    </xdr:from>
    <xdr:to>
      <xdr:col>22</xdr:col>
      <xdr:colOff>123825</xdr:colOff>
      <xdr:row>107</xdr:row>
      <xdr:rowOff>0</xdr:rowOff>
    </xdr:to>
    <xdr:sp macro="" textlink="">
      <xdr:nvSpPr>
        <xdr:cNvPr id="2303" name="Text Box 255">
          <a:extLst>
            <a:ext uri="{FF2B5EF4-FFF2-40B4-BE49-F238E27FC236}">
              <a16:creationId xmlns:a16="http://schemas.microsoft.com/office/drawing/2014/main" id="{3DBE89F6-01C3-1583-A6E1-AC42A808DC2D}"/>
            </a:ext>
          </a:extLst>
        </xdr:cNvPr>
        <xdr:cNvSpPr txBox="1">
          <a:spLocks noChangeArrowheads="1"/>
        </xdr:cNvSpPr>
      </xdr:nvSpPr>
      <xdr:spPr bwMode="auto">
        <a:xfrm>
          <a:off x="171450" y="807720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300"/>
            </a:lnSpc>
            <a:defRPr sz="1000"/>
          </a:pPr>
          <a:r>
            <a:rPr lang="en-US" sz="1400" b="0" i="0" u="none" strike="noStrike" baseline="0">
              <a:solidFill>
                <a:srgbClr val="000000"/>
              </a:solidFill>
              <a:latin typeface="Arial"/>
              <a:cs typeface="Arial"/>
            </a:rPr>
            <a:t>ENRON / EPE DISPATCHERS - SPS is to provide us with 100 MW for the heavy load hours at PV.  If they fail to do such, we need to cut 100 MW from the following sales:</a:t>
          </a:r>
        </a:p>
        <a:p>
          <a:pPr algn="l" rtl="0">
            <a:lnSpc>
              <a:spcPts val="1300"/>
            </a:lnSpc>
            <a:defRPr sz="1000"/>
          </a:pPr>
          <a:endParaRPr lang="en-US" sz="1400" b="0" i="0" u="none" strike="noStrike" baseline="0">
            <a:solidFill>
              <a:srgbClr val="000000"/>
            </a:solidFill>
            <a:latin typeface="Arial"/>
            <a:cs typeface="Arial"/>
          </a:endParaRPr>
        </a:p>
        <a:p>
          <a:pPr algn="l" rtl="0">
            <a:lnSpc>
              <a:spcPts val="1300"/>
            </a:lnSpc>
            <a:defRPr sz="1000"/>
          </a:pPr>
          <a:r>
            <a:rPr lang="en-US" sz="1400" b="0" i="0" u="none" strike="noStrike" baseline="0">
              <a:solidFill>
                <a:srgbClr val="000000"/>
              </a:solidFill>
              <a:latin typeface="Arial"/>
              <a:cs typeface="Arial"/>
            </a:rPr>
            <a:t>MIR TAG# 12846   -   IDA TAG# B573E00   -   CORAL TAG# 6924   -   PSCO TAG# 43749</a:t>
          </a:r>
        </a:p>
        <a:p>
          <a:pPr algn="l" rtl="0">
            <a:lnSpc>
              <a:spcPts val="1300"/>
            </a:lnSpc>
            <a:defRPr sz="1000"/>
          </a:pPr>
          <a:endParaRPr lang="en-US" sz="1400" b="0" i="0" u="none" strike="noStrike" baseline="0">
            <a:solidFill>
              <a:srgbClr val="000000"/>
            </a:solidFill>
            <a:latin typeface="Arial"/>
            <a:cs typeface="Arial"/>
          </a:endParaRPr>
        </a:p>
        <a:p>
          <a:pPr algn="l" rtl="0">
            <a:lnSpc>
              <a:spcPts val="1300"/>
            </a:lnSpc>
            <a:defRPr sz="1000"/>
          </a:pPr>
          <a:r>
            <a:rPr lang="en-US" sz="1400" b="0" i="0" u="none" strike="noStrike" baseline="0">
              <a:solidFill>
                <a:srgbClr val="000000"/>
              </a:solidFill>
              <a:latin typeface="Arial"/>
              <a:cs typeface="Arial"/>
            </a:rPr>
            <a:t>Call me if there is a problem.  Also, Steamer is scheduled to come on HE10-23.</a:t>
          </a:r>
        </a:p>
        <a:p>
          <a:pPr algn="l" rtl="0">
            <a:lnSpc>
              <a:spcPts val="1300"/>
            </a:lnSpc>
            <a:defRPr sz="1000"/>
          </a:pPr>
          <a:r>
            <a:rPr lang="en-US" sz="1400" b="0" i="0" u="none" strike="noStrike" baseline="0">
              <a:solidFill>
                <a:srgbClr val="000000"/>
              </a:solidFill>
              <a:latin typeface="Arial"/>
              <a:cs typeface="Arial"/>
            </a:rPr>
            <a:t>915-204-1201 Steve</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112</xdr:row>
      <xdr:rowOff>0</xdr:rowOff>
    </xdr:from>
    <xdr:to>
      <xdr:col>22</xdr:col>
      <xdr:colOff>66675</xdr:colOff>
      <xdr:row>118</xdr:row>
      <xdr:rowOff>47625</xdr:rowOff>
    </xdr:to>
    <xdr:sp macro="" textlink="">
      <xdr:nvSpPr>
        <xdr:cNvPr id="10463" name="Text Box 1247">
          <a:extLst>
            <a:ext uri="{FF2B5EF4-FFF2-40B4-BE49-F238E27FC236}">
              <a16:creationId xmlns:a16="http://schemas.microsoft.com/office/drawing/2014/main" id="{B3519BB3-ECE1-830D-10A0-EBBFDAC3FD9B}"/>
            </a:ext>
          </a:extLst>
        </xdr:cNvPr>
        <xdr:cNvSpPr txBox="1">
          <a:spLocks noChangeArrowheads="1"/>
        </xdr:cNvSpPr>
      </xdr:nvSpPr>
      <xdr:spPr bwMode="auto">
        <a:xfrm>
          <a:off x="209550" y="1079182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A44090E8-FD15-CF6E-7EE1-9197466E15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activeCell="O4" sqref="O4:AC4"/>
      <selection pane="bottomLeft" activeCell="C10" sqref="C10"/>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37276</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5"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4" t="s">
        <v>294</v>
      </c>
      <c r="B4" s="518">
        <v>588</v>
      </c>
      <c r="C4" s="518">
        <v>570</v>
      </c>
      <c r="D4" s="518">
        <v>559</v>
      </c>
      <c r="E4" s="518">
        <v>552</v>
      </c>
      <c r="F4" s="518">
        <v>556</v>
      </c>
      <c r="G4" s="518">
        <v>571</v>
      </c>
      <c r="H4" s="518">
        <v>599</v>
      </c>
      <c r="I4" s="518">
        <v>600</v>
      </c>
      <c r="J4" s="518">
        <v>611</v>
      </c>
      <c r="K4" s="518">
        <v>632</v>
      </c>
      <c r="L4" s="518">
        <v>640</v>
      </c>
      <c r="M4" s="518">
        <v>640</v>
      </c>
      <c r="N4" s="518">
        <v>635</v>
      </c>
      <c r="O4" s="518">
        <v>627</v>
      </c>
      <c r="P4" s="518">
        <v>615</v>
      </c>
      <c r="Q4" s="518">
        <v>609</v>
      </c>
      <c r="R4" s="518">
        <v>608</v>
      </c>
      <c r="S4" s="518">
        <v>676</v>
      </c>
      <c r="T4" s="518">
        <v>746</v>
      </c>
      <c r="U4" s="518">
        <v>745</v>
      </c>
      <c r="V4" s="518">
        <v>733</v>
      </c>
      <c r="W4" s="518">
        <v>714</v>
      </c>
      <c r="X4" s="519">
        <v>662</v>
      </c>
      <c r="Y4" s="519">
        <v>624</v>
      </c>
      <c r="Z4" s="354"/>
      <c r="AA4" s="354"/>
      <c r="AB4" s="354"/>
      <c r="AC4" s="354"/>
      <c r="AD4" s="354"/>
    </row>
    <row r="5" spans="1:213" s="161" customFormat="1" thickBot="1" x14ac:dyDescent="0.25">
      <c r="A5" s="706" t="s">
        <v>64</v>
      </c>
      <c r="B5" s="707">
        <f>Deals!F4</f>
        <v>60</v>
      </c>
      <c r="C5" s="707">
        <f>Deals!G4</f>
        <v>55</v>
      </c>
      <c r="D5" s="707">
        <f>Deals!H4</f>
        <v>55</v>
      </c>
      <c r="E5" s="707">
        <f>Deals!I4</f>
        <v>55</v>
      </c>
      <c r="F5" s="707">
        <f>Deals!J4</f>
        <v>55</v>
      </c>
      <c r="G5" s="707">
        <f>Deals!K4</f>
        <v>55</v>
      </c>
      <c r="H5" s="707">
        <f>Deals!L4</f>
        <v>60</v>
      </c>
      <c r="I5" s="707">
        <f>Deals!M4</f>
        <v>65</v>
      </c>
      <c r="J5" s="707">
        <f>Deals!N4</f>
        <v>70</v>
      </c>
      <c r="K5" s="707">
        <f>Deals!O4</f>
        <v>70</v>
      </c>
      <c r="L5" s="707">
        <f>Deals!P4</f>
        <v>70</v>
      </c>
      <c r="M5" s="707">
        <f>Deals!Q4</f>
        <v>65</v>
      </c>
      <c r="N5" s="707">
        <f>Deals!R4</f>
        <v>65</v>
      </c>
      <c r="O5" s="707">
        <f>Deals!S4</f>
        <v>65</v>
      </c>
      <c r="P5" s="707">
        <f>Deals!T4</f>
        <v>65</v>
      </c>
      <c r="Q5" s="707">
        <f>Deals!U4</f>
        <v>65</v>
      </c>
      <c r="R5" s="707">
        <f>Deals!V4</f>
        <v>65</v>
      </c>
      <c r="S5" s="707">
        <f>Deals!W4</f>
        <v>65</v>
      </c>
      <c r="T5" s="707">
        <f>Deals!X4</f>
        <v>65</v>
      </c>
      <c r="U5" s="707">
        <f>Deals!Y4</f>
        <v>75</v>
      </c>
      <c r="V5" s="707">
        <f>Deals!Z4</f>
        <v>75</v>
      </c>
      <c r="W5" s="707">
        <f>Deals!AA4</f>
        <v>70</v>
      </c>
      <c r="X5" s="707">
        <f>Deals!AB4</f>
        <v>65</v>
      </c>
      <c r="Y5" s="708">
        <f>Deals!AC4</f>
        <v>60</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-130</v>
      </c>
      <c r="C18" s="483">
        <f>Deals!G7</f>
        <v>-130</v>
      </c>
      <c r="D18" s="483">
        <f>Deals!H7</f>
        <v>-130</v>
      </c>
      <c r="E18" s="483">
        <f>Deals!I7</f>
        <v>-130</v>
      </c>
      <c r="F18" s="483">
        <f>Deals!J7</f>
        <v>-130</v>
      </c>
      <c r="G18" s="483">
        <f>Deals!K7</f>
        <v>-130</v>
      </c>
      <c r="H18" s="483">
        <f>Deals!L7</f>
        <v>-130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-100</v>
      </c>
      <c r="Y18" s="486">
        <f>Deals!AC7</f>
        <v>-100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75</v>
      </c>
      <c r="C22" s="418">
        <f>Deals!G3</f>
        <v>75</v>
      </c>
      <c r="D22" s="418">
        <f>Deals!H3</f>
        <v>75</v>
      </c>
      <c r="E22" s="418">
        <f>Deals!I3</f>
        <v>75</v>
      </c>
      <c r="F22" s="418">
        <f>Deals!J3</f>
        <v>75</v>
      </c>
      <c r="G22" s="418">
        <f>Deals!K3</f>
        <v>75</v>
      </c>
      <c r="H22" s="418">
        <f>Deals!L3</f>
        <v>75</v>
      </c>
      <c r="I22" s="418">
        <f>Deals!M3</f>
        <v>90</v>
      </c>
      <c r="J22" s="418">
        <f>Deals!N3</f>
        <v>100</v>
      </c>
      <c r="K22" s="418">
        <f>Deals!O3</f>
        <v>100</v>
      </c>
      <c r="L22" s="418">
        <f>Deals!P3</f>
        <v>100</v>
      </c>
      <c r="M22" s="418">
        <f>Deals!Q3</f>
        <v>100</v>
      </c>
      <c r="N22" s="418">
        <f>Deals!R3</f>
        <v>80</v>
      </c>
      <c r="O22" s="418">
        <f>Deals!S3</f>
        <v>80</v>
      </c>
      <c r="P22" s="418">
        <f>Deals!T3</f>
        <v>80</v>
      </c>
      <c r="Q22" s="418">
        <f>Deals!U3</f>
        <v>80</v>
      </c>
      <c r="R22" s="418">
        <f>Deals!V3</f>
        <v>70</v>
      </c>
      <c r="S22" s="418">
        <f>Deals!W3</f>
        <v>70</v>
      </c>
      <c r="T22" s="418">
        <f>Deals!X3</f>
        <v>100</v>
      </c>
      <c r="U22" s="418">
        <f>Deals!Y3</f>
        <v>110</v>
      </c>
      <c r="V22" s="418">
        <f>Deals!Z3</f>
        <v>110</v>
      </c>
      <c r="W22" s="418">
        <f>Deals!AA3</f>
        <v>110</v>
      </c>
      <c r="X22" s="418">
        <f>Deals!AB3</f>
        <v>110</v>
      </c>
      <c r="Y22" s="507">
        <f>Deals!AC3</f>
        <v>100</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55</v>
      </c>
      <c r="C25" s="658">
        <f t="array" aca="1" ref="C25" ca="1">SUM(IF((DelPoint= "4C")*(DType = "pre")*(OFFSET(DelPoint,0,C3+2)&gt;0),OFFSET(DelPoint,0,C3+2),0))</f>
        <v>55</v>
      </c>
      <c r="D25" s="658">
        <f t="array" aca="1" ref="D25" ca="1">SUM(IF((DelPoint= "4C")*(DType = "pre")*(OFFSET(DelPoint,0,D3+2)&gt;0),OFFSET(DelPoint,0,D3+2),0))</f>
        <v>55</v>
      </c>
      <c r="E25" s="658">
        <f t="array" aca="1" ref="E25" ca="1">SUM(IF((DelPoint= "4C")*(DType = "pre")*(OFFSET(DelPoint,0,E3+2)&gt;0),OFFSET(DelPoint,0,E3+2),0))</f>
        <v>55</v>
      </c>
      <c r="F25" s="658">
        <f t="array" aca="1" ref="F25" ca="1">SUM(IF((DelPoint= "4C")*(DType = "pre")*(OFFSET(DelPoint,0,F3+2)&gt;0),OFFSET(DelPoint,0,F3+2),0))</f>
        <v>55</v>
      </c>
      <c r="G25" s="658">
        <f t="array" aca="1" ref="G25" ca="1">SUM(IF((DelPoint= "4C")*(DType = "pre")*(OFFSET(DelPoint,0,G3+2)&gt;0),OFFSET(DelPoint,0,G3+2),0))</f>
        <v>55</v>
      </c>
      <c r="H25" s="658">
        <f t="array" aca="1" ref="H25" ca="1">SUM(IF((DelPoint= "4C")*(DType = "pre")*(OFFSET(DelPoint,0,H3+2)&gt;0),OFFSET(DelPoint,0,H3+2),0))</f>
        <v>55</v>
      </c>
      <c r="I25" s="658">
        <f t="array" aca="1" ref="I25" ca="1">SUM(IF((DelPoint= "4C")*(DType = "pre")*(OFFSET(DelPoint,0,I3+2)&gt;0),OFFSET(DelPoint,0,I3+2),0))</f>
        <v>55</v>
      </c>
      <c r="J25" s="658">
        <f t="array" aca="1" ref="J25" ca="1">SUM(IF((DelPoint= "4C")*(DType = "pre")*(OFFSET(DelPoint,0,J3+2)&gt;0),OFFSET(DelPoint,0,J3+2),0))</f>
        <v>55</v>
      </c>
      <c r="K25" s="658">
        <f t="array" aca="1" ref="K25" ca="1">SUM(IF((DelPoint= "4C")*(DType = "pre")*(OFFSET(DelPoint,0,K3+2)&gt;0),OFFSET(DelPoint,0,K3+2),0))</f>
        <v>55</v>
      </c>
      <c r="L25" s="658">
        <f t="array" aca="1" ref="L25" ca="1">SUM(IF((DelPoint= "4C")*(DType = "pre")*(OFFSET(DelPoint,0,L3+2)&gt;0),OFFSET(DelPoint,0,L3+2),0))</f>
        <v>55</v>
      </c>
      <c r="M25" s="658">
        <f t="array" aca="1" ref="M25" ca="1">SUM(IF((DelPoint= "4C")*(DType = "pre")*(OFFSET(DelPoint,0,M3+2)&gt;0),OFFSET(DelPoint,0,M3+2),0))</f>
        <v>55</v>
      </c>
      <c r="N25" s="658">
        <f t="array" aca="1" ref="N25" ca="1">SUM(IF((DelPoint= "4C")*(DType = "pre")*(OFFSET(DelPoint,0,N3+2)&gt;0),OFFSET(DelPoint,0,N3+2),0))</f>
        <v>55</v>
      </c>
      <c r="O25" s="658">
        <f t="array" aca="1" ref="O25" ca="1">SUM(IF((DelPoint= "4C")*(DType = "pre")*(OFFSET(DelPoint,0,O3+2)&gt;0),OFFSET(DelPoint,0,O3+2),0))</f>
        <v>55</v>
      </c>
      <c r="P25" s="658">
        <f t="array" aca="1" ref="P25" ca="1">SUM(IF((DelPoint= "4C")*(DType = "pre")*(OFFSET(DelPoint,0,P3+2)&gt;0),OFFSET(DelPoint,0,P3+2),0))</f>
        <v>55</v>
      </c>
      <c r="Q25" s="658">
        <f t="array" aca="1" ref="Q25" ca="1">SUM(IF((DelPoint= "4C")*(DType = "pre")*(OFFSET(DelPoint,0,Q3+2)&gt;0),OFFSET(DelPoint,0,Q3+2),0))</f>
        <v>55</v>
      </c>
      <c r="R25" s="658">
        <f t="array" aca="1" ref="R25" ca="1">SUM(IF((DelPoint= "4C")*(DType = "pre")*(OFFSET(DelPoint,0,R3+2)&gt;0),OFFSET(DelPoint,0,R3+2),0))</f>
        <v>55</v>
      </c>
      <c r="S25" s="658">
        <f t="array" aca="1" ref="S25" ca="1">SUM(IF((DelPoint= "4C")*(DType = "pre")*(OFFSET(DelPoint,0,S3+2)&gt;0),OFFSET(DelPoint,0,S3+2),0))</f>
        <v>55</v>
      </c>
      <c r="T25" s="658">
        <f t="array" aca="1" ref="T25" ca="1">SUM(IF((DelPoint= "4C")*(DType = "pre")*(OFFSET(DelPoint,0,T3+2)&gt;0),OFFSET(DelPoint,0,T3+2),0))</f>
        <v>55</v>
      </c>
      <c r="U25" s="658">
        <f t="array" aca="1" ref="U25" ca="1">SUM(IF((DelPoint= "4C")*(DType = "pre")*(OFFSET(DelPoint,0,U3+2)&gt;0),OFFSET(DelPoint,0,U3+2),0))</f>
        <v>55</v>
      </c>
      <c r="V25" s="658">
        <f t="array" aca="1" ref="V25" ca="1">SUM(IF((DelPoint= "4C")*(DType = "pre")*(OFFSET(DelPoint,0,V3+2)&gt;0),OFFSET(DelPoint,0,V3+2),0))</f>
        <v>55</v>
      </c>
      <c r="W25" s="658">
        <f t="array" aca="1" ref="W25" ca="1">SUM(IF((DelPoint= "4C")*(DType = "pre")*(OFFSET(DelPoint,0,W3+2)&gt;0),OFFSET(DelPoint,0,W3+2),0))</f>
        <v>55</v>
      </c>
      <c r="X25" s="658">
        <f t="array" aca="1" ref="X25" ca="1">SUM(IF((DelPoint= "4C")*(DType = "pre")*(OFFSET(DelPoint,0,X3+2)&gt;0),OFFSET(DelPoint,0,X3+2),0))</f>
        <v>55</v>
      </c>
      <c r="Y25" s="669">
        <f t="array" aca="1" ref="Y25" ca="1">SUM(IF((DelPoint= "4C")*(DType = "pre")*(OFFSET(DelPoint,0,Y3+2)&gt;0),OFFSET(DelPoint,0,Y3+2),0))</f>
        <v>55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25</v>
      </c>
      <c r="C28" s="205">
        <f t="array" aca="1" ref="C28" ca="1">SUM(IF((DelPoint= "4C")*IF((DType = "firm")+(DType = "econ")&gt;0,1,0)*(OFFSET(DelPoint,0,C3+2)&gt;0),OFFSET(DelPoint,0,C3+2),0))</f>
        <v>25</v>
      </c>
      <c r="D28" s="205">
        <f t="array" aca="1" ref="D28" ca="1">SUM(IF((DelPoint= "4C")*IF((DType = "firm")+(DType = "econ")&gt;0,1,0)*(OFFSET(DelPoint,0,D3+2)&gt;0),OFFSET(DelPoint,0,D3+2),0))</f>
        <v>25</v>
      </c>
      <c r="E28" s="205">
        <f t="array" aca="1" ref="E28" ca="1">SUM(IF((DelPoint= "4C")*IF((DType = "firm")+(DType = "econ")&gt;0,1,0)*(OFFSET(DelPoint,0,E3+2)&gt;0),OFFSET(DelPoint,0,E3+2),0))</f>
        <v>25</v>
      </c>
      <c r="F28" s="205">
        <f t="array" aca="1" ref="F28" ca="1">SUM(IF((DelPoint= "4C")*IF((DType = "firm")+(DType = "econ")&gt;0,1,0)*(OFFSET(DelPoint,0,F3+2)&gt;0),OFFSET(DelPoint,0,F3+2),0))</f>
        <v>25</v>
      </c>
      <c r="G28" s="205">
        <f t="array" aca="1" ref="G28" ca="1">SUM(IF((DelPoint= "4C")*IF((DType = "firm")+(DType = "econ")&gt;0,1,0)*(OFFSET(DelPoint,0,G3+2)&gt;0),OFFSET(DelPoint,0,G3+2),0))</f>
        <v>25</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100</v>
      </c>
      <c r="C29" s="637">
        <f t="array" aca="1" ref="C29" ca="1">SUM(IF((DelPoint= "pv")*(DType = "pre")*(OFFSET(DelPoint,0,C3+2)&gt;0),OFFSET(DelPoint,0,C3+2),0))</f>
        <v>100</v>
      </c>
      <c r="D29" s="637">
        <f t="array" aca="1" ref="D29" ca="1">SUM(IF((DelPoint= "pv")*(DType = "pre")*(OFFSET(DelPoint,0,D3+2)&gt;0),OFFSET(DelPoint,0,D3+2),0))</f>
        <v>100</v>
      </c>
      <c r="E29" s="637">
        <f t="array" aca="1" ref="E29" ca="1">SUM(IF((DelPoint= "pv")*(DType = "pre")*(OFFSET(DelPoint,0,E3+2)&gt;0),OFFSET(DelPoint,0,E3+2),0))</f>
        <v>100</v>
      </c>
      <c r="F29" s="637">
        <f t="array" aca="1" ref="F29" ca="1">SUM(IF((DelPoint= "pv")*(DType = "pre")*(OFFSET(DelPoint,0,F3+2)&gt;0),OFFSET(DelPoint,0,F3+2),0))</f>
        <v>100</v>
      </c>
      <c r="G29" s="637">
        <f t="array" aca="1" ref="G29" ca="1">SUM(IF((DelPoint= "pv")*(DType = "pre")*(OFFSET(DelPoint,0,G3+2)&gt;0),OFFSET(DelPoint,0,G3+2),0))</f>
        <v>100</v>
      </c>
      <c r="H29" s="637">
        <f t="array" aca="1" ref="H29" ca="1">SUM(IF((DelPoint= "pv")*(DType = "pre")*(OFFSET(DelPoint,0,H3+2)&gt;0),OFFSET(DelPoint,0,H3+2),0))</f>
        <v>100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100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25</v>
      </c>
      <c r="O32" s="582">
        <f t="array" aca="1" ref="O32" ca="1">SUM(IF((DelPoint= "PV")*IF((DType = "firm")+(DType = "econ")&gt;0,1,0)*(OFFSET(DelPoint,0,O3+2)&gt;0),OFFSET(DelPoint,0,O3+2),0))</f>
        <v>50</v>
      </c>
      <c r="P32" s="582">
        <f t="array" aca="1" ref="P32" ca="1">SUM(IF((DelPoint= "PV")*IF((DType = "firm")+(DType = "econ")&gt;0,1,0)*(OFFSET(DelPoint,0,P3+2)&gt;0),OFFSET(DelPoint,0,P3+2),0))</f>
        <v>50</v>
      </c>
      <c r="Q32" s="582">
        <f t="array" aca="1" ref="Q32" ca="1">SUM(IF((DelPoint= "PV")*IF((DType = "firm")+(DType = "econ")&gt;0,1,0)*(OFFSET(DelPoint,0,Q3+2)&gt;0),OFFSET(DelPoint,0,Q3+2),0))</f>
        <v>50</v>
      </c>
      <c r="R32" s="582">
        <f t="array" aca="1" ref="R32" ca="1">SUM(IF((DelPoint= "PV")*IF((DType = "firm")+(DType = "econ")&gt;0,1,0)*(OFFSET(DelPoint,0,R3+2)&gt;0),OFFSET(DelPoint,0,R3+2),0))</f>
        <v>25</v>
      </c>
      <c r="S32" s="582">
        <f t="array" aca="1" ref="S32" ca="1">SUM(IF((DelPoint= "PV")*IF((DType = "firm")+(DType = "econ")&gt;0,1,0)*(OFFSET(DelPoint,0,S3+2)&gt;0),OFFSET(DelPoint,0,S3+2),0))</f>
        <v>55</v>
      </c>
      <c r="T32" s="582">
        <f t="array" aca="1" ref="T32" ca="1">SUM(IF((DelPoint= "PV")*IF((DType = "firm")+(DType = "econ")&gt;0,1,0)*(OFFSET(DelPoint,0,T3+2)&gt;0),OFFSET(DelPoint,0,T3+2),0))</f>
        <v>55</v>
      </c>
      <c r="U32" s="582">
        <f t="array" aca="1" ref="U32" ca="1">SUM(IF((DelPoint= "PV")*IF((DType = "firm")+(DType = "econ")&gt;0,1,0)*(OFFSET(DelPoint,0,U3+2)&gt;0),OFFSET(DelPoint,0,U3+2),0))</f>
        <v>55</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903</v>
      </c>
      <c r="C38" s="674">
        <f t="shared" ca="1" si="4"/>
        <v>880</v>
      </c>
      <c r="D38" s="674">
        <f t="shared" ca="1" si="4"/>
        <v>869</v>
      </c>
      <c r="E38" s="674">
        <f t="shared" ca="1" si="4"/>
        <v>862</v>
      </c>
      <c r="F38" s="674">
        <f t="shared" ca="1" si="4"/>
        <v>866</v>
      </c>
      <c r="G38" s="674">
        <f t="shared" ca="1" si="4"/>
        <v>881</v>
      </c>
      <c r="H38" s="674">
        <f t="shared" ca="1" si="4"/>
        <v>889</v>
      </c>
      <c r="I38" s="674">
        <f t="shared" ca="1" si="4"/>
        <v>860</v>
      </c>
      <c r="J38" s="674">
        <f t="shared" ca="1" si="4"/>
        <v>886</v>
      </c>
      <c r="K38" s="674">
        <f t="shared" ca="1" si="4"/>
        <v>907</v>
      </c>
      <c r="L38" s="674">
        <f t="shared" ca="1" si="4"/>
        <v>915</v>
      </c>
      <c r="M38" s="674">
        <f t="shared" ca="1" si="4"/>
        <v>910</v>
      </c>
      <c r="N38" s="674">
        <f t="shared" ca="1" si="4"/>
        <v>910</v>
      </c>
      <c r="O38" s="674">
        <f t="shared" ca="1" si="4"/>
        <v>927</v>
      </c>
      <c r="P38" s="674">
        <f t="shared" ca="1" si="4"/>
        <v>915</v>
      </c>
      <c r="Q38" s="674">
        <f t="shared" ca="1" si="4"/>
        <v>909</v>
      </c>
      <c r="R38" s="674">
        <f t="shared" ca="1" si="4"/>
        <v>873</v>
      </c>
      <c r="S38" s="674">
        <f t="shared" ca="1" si="4"/>
        <v>971</v>
      </c>
      <c r="T38" s="674">
        <f t="shared" ca="1" si="4"/>
        <v>1071</v>
      </c>
      <c r="U38" s="674">
        <f t="shared" ca="1" si="4"/>
        <v>1090</v>
      </c>
      <c r="V38" s="674">
        <f t="shared" ca="1" si="4"/>
        <v>1023</v>
      </c>
      <c r="W38" s="674">
        <f t="shared" ca="1" si="4"/>
        <v>999</v>
      </c>
      <c r="X38" s="674">
        <f t="shared" ca="1" si="4"/>
        <v>942</v>
      </c>
      <c r="Y38" s="675">
        <f t="shared" ca="1" si="4"/>
        <v>939</v>
      </c>
      <c r="Z38" s="348"/>
      <c r="AA38" s="162"/>
    </row>
    <row r="39" spans="1:33" s="161" customFormat="1" ht="16.5" thickBot="1" x14ac:dyDescent="0.25">
      <c r="A39" s="699" t="s">
        <v>260</v>
      </c>
      <c r="B39" s="700"/>
      <c r="C39" s="701"/>
      <c r="D39" s="701"/>
      <c r="E39" s="702"/>
      <c r="F39" s="701"/>
      <c r="G39" s="701"/>
      <c r="H39" s="701"/>
      <c r="I39" s="701"/>
      <c r="J39" s="701"/>
      <c r="K39" s="701"/>
      <c r="L39" s="701"/>
      <c r="M39" s="701"/>
      <c r="N39" s="701"/>
      <c r="O39" s="701"/>
      <c r="P39" s="701"/>
      <c r="Q39" s="701"/>
      <c r="R39" s="701"/>
      <c r="S39" s="701"/>
      <c r="T39" s="701"/>
      <c r="U39" s="701"/>
      <c r="V39" s="701"/>
      <c r="W39" s="701"/>
      <c r="X39" s="701"/>
      <c r="Y39" s="703"/>
      <c r="Z39" s="160"/>
      <c r="AA39" s="162"/>
    </row>
    <row r="40" spans="1:33" s="161" customFormat="1" ht="13.5" thickTop="1" thickBot="1" x14ac:dyDescent="0.25">
      <c r="A40" s="709"/>
      <c r="B40" s="710"/>
      <c r="C40" s="711"/>
      <c r="D40" s="711"/>
      <c r="E40" s="712"/>
      <c r="F40" s="711"/>
      <c r="G40" s="711"/>
      <c r="H40" s="711"/>
      <c r="I40" s="711"/>
      <c r="J40" s="711"/>
      <c r="K40" s="711"/>
      <c r="L40" s="711"/>
      <c r="M40" s="711"/>
      <c r="N40" s="711"/>
      <c r="O40" s="711"/>
      <c r="P40" s="711"/>
      <c r="Q40" s="711"/>
      <c r="R40" s="711"/>
      <c r="S40" s="711"/>
      <c r="T40" s="711"/>
      <c r="U40" s="711"/>
      <c r="V40" s="711"/>
      <c r="W40" s="711"/>
      <c r="X40" s="711"/>
      <c r="Y40" s="713"/>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37</v>
      </c>
      <c r="C42" s="592">
        <v>34</v>
      </c>
      <c r="D42" s="592">
        <v>35</v>
      </c>
      <c r="E42" s="593">
        <v>35</v>
      </c>
      <c r="F42" s="592">
        <v>35</v>
      </c>
      <c r="G42" s="592">
        <v>34</v>
      </c>
      <c r="H42" s="592">
        <v>34</v>
      </c>
      <c r="I42" s="592">
        <v>34</v>
      </c>
      <c r="J42" s="592">
        <v>34</v>
      </c>
      <c r="K42" s="592">
        <v>34</v>
      </c>
      <c r="L42" s="592">
        <v>34</v>
      </c>
      <c r="M42" s="592">
        <v>35</v>
      </c>
      <c r="N42" s="592">
        <v>35</v>
      </c>
      <c r="O42" s="592">
        <v>36</v>
      </c>
      <c r="P42" s="592">
        <v>34</v>
      </c>
      <c r="Q42" s="592">
        <v>34</v>
      </c>
      <c r="R42" s="592">
        <v>31</v>
      </c>
      <c r="S42" s="592">
        <v>32</v>
      </c>
      <c r="T42" s="592">
        <v>34</v>
      </c>
      <c r="U42" s="592">
        <v>34</v>
      </c>
      <c r="V42" s="592">
        <v>38</v>
      </c>
      <c r="W42" s="592">
        <v>38</v>
      </c>
      <c r="X42" s="592">
        <v>38</v>
      </c>
      <c r="Y42" s="592">
        <v>42</v>
      </c>
      <c r="Z42" s="350">
        <v>78</v>
      </c>
      <c r="AA42" s="210">
        <f ca="1">-Economics!D35/Economics!I35</f>
        <v>9132.5105628188776</v>
      </c>
    </row>
    <row r="43" spans="1:33" s="161" customFormat="1" ht="12.75" customHeight="1" x14ac:dyDescent="0.2">
      <c r="A43" s="591" t="s">
        <v>131</v>
      </c>
      <c r="B43" s="595">
        <v>43</v>
      </c>
      <c r="C43" s="595">
        <v>65</v>
      </c>
      <c r="D43" s="595">
        <v>58</v>
      </c>
      <c r="E43" s="596">
        <v>50</v>
      </c>
      <c r="F43" s="595">
        <v>53</v>
      </c>
      <c r="G43" s="595">
        <v>70</v>
      </c>
      <c r="H43" s="595">
        <v>37</v>
      </c>
      <c r="I43" s="595">
        <v>46</v>
      </c>
      <c r="J43" s="595">
        <v>68</v>
      </c>
      <c r="K43" s="595">
        <v>90</v>
      </c>
      <c r="L43" s="595">
        <v>37</v>
      </c>
      <c r="M43" s="595">
        <v>38</v>
      </c>
      <c r="N43" s="595">
        <v>38</v>
      </c>
      <c r="O43" s="595">
        <v>38</v>
      </c>
      <c r="P43" s="595">
        <v>38</v>
      </c>
      <c r="Q43" s="595">
        <v>37</v>
      </c>
      <c r="R43" s="595">
        <v>36</v>
      </c>
      <c r="S43" s="595">
        <v>36</v>
      </c>
      <c r="T43" s="595">
        <v>36</v>
      </c>
      <c r="U43" s="595">
        <v>36</v>
      </c>
      <c r="V43" s="595">
        <v>36</v>
      </c>
      <c r="W43" s="595">
        <v>36</v>
      </c>
      <c r="X43" s="595">
        <v>36</v>
      </c>
      <c r="Y43" s="595">
        <v>48</v>
      </c>
      <c r="Z43" s="352">
        <v>103</v>
      </c>
      <c r="AA43" s="211">
        <f ca="1">-Economics!D36/Economics!I36</f>
        <v>11745.454998405612</v>
      </c>
    </row>
    <row r="44" spans="1:33" s="161" customFormat="1" ht="12.75" customHeight="1" x14ac:dyDescent="0.2">
      <c r="A44" s="590" t="s">
        <v>49</v>
      </c>
      <c r="B44" s="592">
        <v>21</v>
      </c>
      <c r="C44" s="592">
        <v>21</v>
      </c>
      <c r="D44" s="592">
        <v>21</v>
      </c>
      <c r="E44" s="592">
        <v>20</v>
      </c>
      <c r="F44" s="592">
        <v>21</v>
      </c>
      <c r="G44" s="592">
        <v>21</v>
      </c>
      <c r="H44" s="592">
        <v>20</v>
      </c>
      <c r="I44" s="592">
        <v>20</v>
      </c>
      <c r="J44" s="592">
        <v>20</v>
      </c>
      <c r="K44" s="592">
        <v>20</v>
      </c>
      <c r="L44" s="592"/>
      <c r="M44" s="592"/>
      <c r="N44" s="592"/>
      <c r="O44" s="592"/>
      <c r="P44" s="592"/>
      <c r="Q44" s="592"/>
      <c r="R44" s="592"/>
      <c r="S44" s="592"/>
      <c r="T44" s="592"/>
      <c r="U44" s="592"/>
      <c r="V44" s="592">
        <v>0</v>
      </c>
      <c r="W44" s="592">
        <v>0</v>
      </c>
      <c r="X44" s="592">
        <v>0</v>
      </c>
      <c r="Y44" s="594">
        <v>25</v>
      </c>
      <c r="Z44" s="350">
        <v>40</v>
      </c>
      <c r="AA44" s="210">
        <f ca="1">-Economics!D37/Economics!I37</f>
        <v>3912.0304029815052</v>
      </c>
    </row>
    <row r="45" spans="1:33" s="161" customFormat="1" ht="12.75" customHeight="1" x14ac:dyDescent="0.2">
      <c r="A45" s="590" t="s">
        <v>50</v>
      </c>
      <c r="B45" s="592">
        <v>20</v>
      </c>
      <c r="C45" s="592">
        <v>20</v>
      </c>
      <c r="D45" s="592">
        <v>20</v>
      </c>
      <c r="E45" s="592">
        <v>20</v>
      </c>
      <c r="F45" s="592">
        <v>20</v>
      </c>
      <c r="G45" s="592">
        <v>20</v>
      </c>
      <c r="H45" s="592">
        <v>20</v>
      </c>
      <c r="I45" s="592">
        <v>20</v>
      </c>
      <c r="J45" s="592">
        <v>20</v>
      </c>
      <c r="K45" s="592">
        <v>20</v>
      </c>
      <c r="L45" s="592"/>
      <c r="M45" s="592"/>
      <c r="N45" s="592"/>
      <c r="O45" s="592"/>
      <c r="P45" s="592"/>
      <c r="Q45" s="592"/>
      <c r="R45" s="592"/>
      <c r="S45" s="592"/>
      <c r="T45" s="592"/>
      <c r="U45" s="592"/>
      <c r="V45" s="592">
        <v>0</v>
      </c>
      <c r="W45" s="592">
        <v>0</v>
      </c>
      <c r="X45" s="592">
        <v>0</v>
      </c>
      <c r="Y45" s="594">
        <v>25</v>
      </c>
      <c r="Z45" s="350">
        <v>40</v>
      </c>
      <c r="AA45" s="210">
        <f ca="1">-Economics!D38/Economics!I38</f>
        <v>3860.4771205357142</v>
      </c>
    </row>
    <row r="46" spans="1:33" s="161" customFormat="1" ht="12.75" customHeight="1" x14ac:dyDescent="0.2">
      <c r="A46" s="694" t="s">
        <v>348</v>
      </c>
      <c r="B46" s="695">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0</v>
      </c>
      <c r="C48" s="595">
        <v>0</v>
      </c>
      <c r="D48" s="595">
        <v>0</v>
      </c>
      <c r="E48" s="595">
        <v>0</v>
      </c>
      <c r="F48" s="595">
        <v>0</v>
      </c>
      <c r="G48" s="595"/>
      <c r="H48" s="595"/>
      <c r="I48" s="595"/>
      <c r="J48" s="595"/>
      <c r="K48" s="595"/>
      <c r="L48" s="595">
        <v>107</v>
      </c>
      <c r="M48" s="595">
        <v>101</v>
      </c>
      <c r="N48" s="595">
        <v>127</v>
      </c>
      <c r="O48" s="595">
        <v>139</v>
      </c>
      <c r="P48" s="595">
        <v>130</v>
      </c>
      <c r="Q48" s="595">
        <v>120</v>
      </c>
      <c r="R48" s="595">
        <v>94</v>
      </c>
      <c r="S48" s="595">
        <v>126</v>
      </c>
      <c r="T48" s="595">
        <v>215</v>
      </c>
      <c r="U48" s="595">
        <v>215</v>
      </c>
      <c r="V48" s="595">
        <v>160</v>
      </c>
      <c r="W48" s="595">
        <v>120</v>
      </c>
      <c r="X48" s="595">
        <v>120</v>
      </c>
      <c r="Y48" s="595"/>
      <c r="Z48" s="352">
        <v>212</v>
      </c>
      <c r="AA48" s="211">
        <f ca="1">-Economics!D41/Economics!I41</f>
        <v>17597.472895408162</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201</v>
      </c>
      <c r="C53" s="592">
        <v>201</v>
      </c>
      <c r="D53" s="592">
        <v>201</v>
      </c>
      <c r="E53" s="592">
        <v>201</v>
      </c>
      <c r="F53" s="592">
        <v>201</v>
      </c>
      <c r="G53" s="592">
        <v>202</v>
      </c>
      <c r="H53" s="592">
        <v>201</v>
      </c>
      <c r="I53" s="592">
        <v>201</v>
      </c>
      <c r="J53" s="592">
        <v>201</v>
      </c>
      <c r="K53" s="592">
        <v>201</v>
      </c>
      <c r="L53" s="592">
        <v>201</v>
      </c>
      <c r="M53" s="592">
        <v>201</v>
      </c>
      <c r="N53" s="592">
        <v>201</v>
      </c>
      <c r="O53" s="592">
        <v>201</v>
      </c>
      <c r="P53" s="592">
        <v>201</v>
      </c>
      <c r="Q53" s="592">
        <v>201</v>
      </c>
      <c r="R53" s="592">
        <v>201</v>
      </c>
      <c r="S53" s="592">
        <v>201</v>
      </c>
      <c r="T53" s="592">
        <v>201</v>
      </c>
      <c r="U53" s="592">
        <v>201</v>
      </c>
      <c r="V53" s="592">
        <v>201</v>
      </c>
      <c r="W53" s="592">
        <v>201</v>
      </c>
      <c r="X53" s="592">
        <v>201</v>
      </c>
      <c r="Y53" s="594">
        <v>201</v>
      </c>
      <c r="Z53" s="350">
        <v>198</v>
      </c>
      <c r="AA53" s="208"/>
    </row>
    <row r="54" spans="1:27" s="161" customFormat="1" ht="12.75" customHeight="1" x14ac:dyDescent="0.2">
      <c r="A54" s="590" t="s">
        <v>127</v>
      </c>
      <c r="B54" s="592">
        <v>202</v>
      </c>
      <c r="C54" s="592">
        <v>202</v>
      </c>
      <c r="D54" s="592">
        <v>202</v>
      </c>
      <c r="E54" s="592">
        <v>202</v>
      </c>
      <c r="F54" s="592">
        <v>202</v>
      </c>
      <c r="G54" s="592">
        <v>202</v>
      </c>
      <c r="H54" s="592">
        <v>202</v>
      </c>
      <c r="I54" s="592">
        <v>202</v>
      </c>
      <c r="J54" s="592">
        <v>202</v>
      </c>
      <c r="K54" s="592">
        <v>202</v>
      </c>
      <c r="L54" s="592">
        <v>202</v>
      </c>
      <c r="M54" s="592">
        <v>202</v>
      </c>
      <c r="N54" s="592">
        <v>202</v>
      </c>
      <c r="O54" s="592">
        <v>202</v>
      </c>
      <c r="P54" s="592">
        <v>202</v>
      </c>
      <c r="Q54" s="592">
        <v>202</v>
      </c>
      <c r="R54" s="592">
        <v>202</v>
      </c>
      <c r="S54" s="592">
        <v>202</v>
      </c>
      <c r="T54" s="592">
        <v>202</v>
      </c>
      <c r="U54" s="592">
        <v>202</v>
      </c>
      <c r="V54" s="592">
        <v>202</v>
      </c>
      <c r="W54" s="592">
        <v>202</v>
      </c>
      <c r="X54" s="592">
        <v>202</v>
      </c>
      <c r="Y54" s="592">
        <v>202</v>
      </c>
      <c r="Z54" s="350">
        <v>198</v>
      </c>
      <c r="AA54" s="208"/>
    </row>
    <row r="55" spans="1:27" s="161" customFormat="1" ht="12.75" customHeight="1" x14ac:dyDescent="0.2">
      <c r="A55" s="590" t="s">
        <v>128</v>
      </c>
      <c r="B55" s="592">
        <v>202</v>
      </c>
      <c r="C55" s="592">
        <v>202</v>
      </c>
      <c r="D55" s="592">
        <v>202</v>
      </c>
      <c r="E55" s="592">
        <v>202</v>
      </c>
      <c r="F55" s="592">
        <v>202</v>
      </c>
      <c r="G55" s="592">
        <v>202</v>
      </c>
      <c r="H55" s="592">
        <v>202</v>
      </c>
      <c r="I55" s="592">
        <v>202</v>
      </c>
      <c r="J55" s="592">
        <v>202</v>
      </c>
      <c r="K55" s="592">
        <v>202</v>
      </c>
      <c r="L55" s="592">
        <v>202</v>
      </c>
      <c r="M55" s="592">
        <v>202</v>
      </c>
      <c r="N55" s="592">
        <v>202</v>
      </c>
      <c r="O55" s="592">
        <v>202</v>
      </c>
      <c r="P55" s="592">
        <v>202</v>
      </c>
      <c r="Q55" s="592">
        <v>202</v>
      </c>
      <c r="R55" s="592">
        <v>202</v>
      </c>
      <c r="S55" s="592">
        <v>202</v>
      </c>
      <c r="T55" s="592">
        <v>202</v>
      </c>
      <c r="U55" s="592">
        <v>202</v>
      </c>
      <c r="V55" s="592">
        <v>202</v>
      </c>
      <c r="W55" s="592">
        <v>202</v>
      </c>
      <c r="X55" s="592">
        <v>202</v>
      </c>
      <c r="Y55" s="592">
        <v>202</v>
      </c>
      <c r="Z55" s="350">
        <v>198</v>
      </c>
      <c r="AA55" s="208"/>
    </row>
    <row r="56" spans="1:27" s="161" customFormat="1" ht="12" customHeight="1" x14ac:dyDescent="0.2">
      <c r="A56" s="590" t="s">
        <v>124</v>
      </c>
      <c r="B56" s="592">
        <v>52</v>
      </c>
      <c r="C56" s="592">
        <v>2</v>
      </c>
      <c r="D56" s="592">
        <v>2</v>
      </c>
      <c r="E56" s="592">
        <v>2</v>
      </c>
      <c r="F56" s="592">
        <v>2</v>
      </c>
      <c r="G56" s="592">
        <v>2</v>
      </c>
      <c r="H56" s="592">
        <v>52</v>
      </c>
      <c r="I56" s="592">
        <v>52</v>
      </c>
      <c r="J56" s="592">
        <v>52</v>
      </c>
      <c r="K56" s="592">
        <v>52</v>
      </c>
      <c r="L56" s="592">
        <v>52</v>
      </c>
      <c r="M56" s="592">
        <v>52</v>
      </c>
      <c r="N56" s="592">
        <v>27</v>
      </c>
      <c r="O56" s="592">
        <v>27</v>
      </c>
      <c r="P56" s="592">
        <v>27</v>
      </c>
      <c r="Q56" s="592">
        <v>27</v>
      </c>
      <c r="R56" s="592">
        <v>27</v>
      </c>
      <c r="S56" s="592">
        <v>48</v>
      </c>
      <c r="T56" s="592">
        <v>52</v>
      </c>
      <c r="U56" s="592">
        <v>52</v>
      </c>
      <c r="V56" s="592">
        <v>52</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6" t="s">
        <v>10</v>
      </c>
      <c r="B58" s="697">
        <f ca="1">B59-B38</f>
        <v>5</v>
      </c>
      <c r="C58" s="697">
        <f t="shared" ref="C58:I58" ca="1" si="5">C59-C38</f>
        <v>-3</v>
      </c>
      <c r="D58" s="697">
        <f t="shared" ca="1" si="5"/>
        <v>2</v>
      </c>
      <c r="E58" s="697">
        <f t="shared" ca="1" si="5"/>
        <v>0</v>
      </c>
      <c r="F58" s="697">
        <f t="shared" ca="1" si="5"/>
        <v>0</v>
      </c>
      <c r="G58" s="697">
        <f ca="1">G59-G38</f>
        <v>2</v>
      </c>
      <c r="H58" s="697">
        <f t="shared" ca="1" si="5"/>
        <v>9</v>
      </c>
      <c r="I58" s="697">
        <f t="shared" ca="1" si="5"/>
        <v>-3</v>
      </c>
      <c r="J58" s="697">
        <f t="shared" ref="J58:Y58" ca="1" si="6">J59-J38</f>
        <v>-7</v>
      </c>
      <c r="K58" s="697">
        <f t="shared" ca="1" si="6"/>
        <v>-6</v>
      </c>
      <c r="L58" s="697">
        <f t="shared" ca="1" si="6"/>
        <v>0</v>
      </c>
      <c r="M58" s="697">
        <f t="shared" ca="1" si="6"/>
        <v>1</v>
      </c>
      <c r="N58" s="697">
        <f t="shared" ca="1" si="6"/>
        <v>2</v>
      </c>
      <c r="O58" s="697">
        <f t="shared" ca="1" si="6"/>
        <v>-2</v>
      </c>
      <c r="P58" s="697">
        <f t="shared" ca="1" si="6"/>
        <v>-1</v>
      </c>
      <c r="Q58" s="697">
        <f t="shared" ca="1" si="6"/>
        <v>-6</v>
      </c>
      <c r="R58" s="697">
        <f t="shared" ca="1" si="6"/>
        <v>0</v>
      </c>
      <c r="S58" s="697">
        <f t="shared" ca="1" si="6"/>
        <v>9</v>
      </c>
      <c r="T58" s="697">
        <f t="shared" ca="1" si="6"/>
        <v>4</v>
      </c>
      <c r="U58" s="697">
        <f t="shared" ca="1" si="6"/>
        <v>-15</v>
      </c>
      <c r="V58" s="697">
        <f t="shared" ca="1" si="6"/>
        <v>1</v>
      </c>
      <c r="W58" s="697">
        <f t="shared" ca="1" si="6"/>
        <v>-68</v>
      </c>
      <c r="X58" s="697">
        <f t="shared" ca="1" si="6"/>
        <v>9</v>
      </c>
      <c r="Y58" s="698">
        <f t="shared" ca="1" si="6"/>
        <v>-42</v>
      </c>
      <c r="Z58" s="351">
        <f ca="1">SUM(Z41:Z55)+Z41+Z42+Z43+Z48+Z49+Z50+Z51+Z52</f>
        <v>2416</v>
      </c>
      <c r="AA58" s="209">
        <f ca="1">SUM(AA41:AA55)</f>
        <v>46247.945980149874</v>
      </c>
    </row>
    <row r="59" spans="1:27" s="161" customFormat="1" ht="12" x14ac:dyDescent="0.2">
      <c r="A59" s="548">
        <v>0</v>
      </c>
      <c r="B59" s="549">
        <f t="shared" ref="B59:I59" ca="1" si="7">SUM(B41:B57)-SUM(B7:B20)</f>
        <v>908</v>
      </c>
      <c r="C59" s="549">
        <f t="shared" ca="1" si="7"/>
        <v>877</v>
      </c>
      <c r="D59" s="549">
        <f t="shared" ca="1" si="7"/>
        <v>871</v>
      </c>
      <c r="E59" s="549">
        <f t="shared" ca="1" si="7"/>
        <v>862</v>
      </c>
      <c r="F59" s="549">
        <f t="shared" ca="1" si="7"/>
        <v>866</v>
      </c>
      <c r="G59" s="549">
        <f t="shared" ca="1" si="7"/>
        <v>883</v>
      </c>
      <c r="H59" s="549">
        <f t="shared" ca="1" si="7"/>
        <v>898</v>
      </c>
      <c r="I59" s="549">
        <f t="shared" ca="1" si="7"/>
        <v>857</v>
      </c>
      <c r="J59" s="549">
        <f t="shared" ref="J59:Y59" ca="1" si="8">SUM(J41:J57)-SUM(J7:J20)</f>
        <v>879</v>
      </c>
      <c r="K59" s="549">
        <f t="shared" ca="1" si="8"/>
        <v>901</v>
      </c>
      <c r="L59" s="549">
        <f t="shared" ca="1" si="8"/>
        <v>915</v>
      </c>
      <c r="M59" s="549">
        <f t="shared" ca="1" si="8"/>
        <v>911</v>
      </c>
      <c r="N59" s="549">
        <f t="shared" ca="1" si="8"/>
        <v>912</v>
      </c>
      <c r="O59" s="549">
        <f t="shared" ca="1" si="8"/>
        <v>925</v>
      </c>
      <c r="P59" s="549">
        <f t="shared" ca="1" si="8"/>
        <v>914</v>
      </c>
      <c r="Q59" s="549">
        <f t="shared" ca="1" si="8"/>
        <v>903</v>
      </c>
      <c r="R59" s="549">
        <f t="shared" ca="1" si="8"/>
        <v>873</v>
      </c>
      <c r="S59" s="549">
        <f t="shared" ca="1" si="8"/>
        <v>980</v>
      </c>
      <c r="T59" s="549">
        <f t="shared" ca="1" si="8"/>
        <v>1075</v>
      </c>
      <c r="U59" s="549">
        <f ca="1">SUM(U41:U57)-SUM(U7:U20)</f>
        <v>1075</v>
      </c>
      <c r="V59" s="549">
        <f t="shared" ca="1" si="8"/>
        <v>1024</v>
      </c>
      <c r="W59" s="549">
        <f t="shared" ca="1" si="8"/>
        <v>931</v>
      </c>
      <c r="X59" s="549">
        <f t="shared" ca="1" si="8"/>
        <v>951</v>
      </c>
      <c r="Y59" s="549">
        <f t="shared" ca="1" si="8"/>
        <v>897</v>
      </c>
      <c r="Z59" s="213">
        <f ca="1">SUM(Economics!D28:D45)</f>
        <v>-190528.06084109374</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130</v>
      </c>
      <c r="C61" s="169">
        <f t="shared" ca="1" si="9"/>
        <v>130</v>
      </c>
      <c r="D61" s="169">
        <f t="shared" ca="1" si="9"/>
        <v>130</v>
      </c>
      <c r="E61" s="169">
        <f ca="1">IF(-SUM(E18:E20,E35:E37)&gt;134,"err",-SUM(E18:E20,))</f>
        <v>130</v>
      </c>
      <c r="F61" s="169">
        <f t="shared" ca="1" si="9"/>
        <v>130</v>
      </c>
      <c r="G61" s="169">
        <f t="shared" ca="1" si="9"/>
        <v>130</v>
      </c>
      <c r="H61" s="169">
        <f t="shared" ca="1" si="9"/>
        <v>130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100</v>
      </c>
      <c r="Y61" s="169">
        <f t="shared" ca="1" si="9"/>
        <v>100</v>
      </c>
      <c r="Z61" s="217" t="s">
        <v>138</v>
      </c>
      <c r="AA61" s="218" t="e">
        <f ca="1">AA59</f>
        <v>#N/A</v>
      </c>
    </row>
    <row r="62" spans="1:27" s="161" customFormat="1" ht="30" customHeight="1" thickTop="1" x14ac:dyDescent="0.2">
      <c r="A62" s="193" t="s">
        <v>139</v>
      </c>
      <c r="B62" s="169">
        <f t="shared" ref="B62:Y62" ca="1" si="10">-SUM(B11:B14,B29:B32,B22) + SUM(B53:B55)</f>
        <v>430</v>
      </c>
      <c r="C62" s="169">
        <f t="shared" ca="1" si="10"/>
        <v>430</v>
      </c>
      <c r="D62" s="169">
        <f t="shared" ca="1" si="10"/>
        <v>430</v>
      </c>
      <c r="E62" s="169">
        <f t="shared" ca="1" si="10"/>
        <v>430</v>
      </c>
      <c r="F62" s="169">
        <f t="shared" ca="1" si="10"/>
        <v>430</v>
      </c>
      <c r="G62" s="169">
        <f t="shared" ca="1" si="10"/>
        <v>431</v>
      </c>
      <c r="H62" s="169">
        <f t="shared" ca="1" si="10"/>
        <v>430</v>
      </c>
      <c r="I62" s="169">
        <f t="shared" ca="1" si="10"/>
        <v>465</v>
      </c>
      <c r="J62" s="169">
        <f t="shared" ca="1" si="10"/>
        <v>455</v>
      </c>
      <c r="K62" s="169">
        <f t="shared" ca="1" si="10"/>
        <v>455</v>
      </c>
      <c r="L62" s="169">
        <f t="shared" ca="1" si="10"/>
        <v>455</v>
      </c>
      <c r="M62" s="169">
        <f t="shared" ca="1" si="10"/>
        <v>455</v>
      </c>
      <c r="N62" s="169">
        <f t="shared" ca="1" si="10"/>
        <v>450</v>
      </c>
      <c r="O62" s="169">
        <f t="shared" ca="1" si="10"/>
        <v>425</v>
      </c>
      <c r="P62" s="169">
        <f t="shared" ca="1" si="10"/>
        <v>425</v>
      </c>
      <c r="Q62" s="169">
        <f t="shared" ca="1" si="10"/>
        <v>425</v>
      </c>
      <c r="R62" s="169">
        <f t="shared" ca="1" si="10"/>
        <v>460</v>
      </c>
      <c r="S62" s="169">
        <f t="shared" ca="1" si="10"/>
        <v>430</v>
      </c>
      <c r="T62" s="169">
        <f t="shared" ca="1" si="10"/>
        <v>400</v>
      </c>
      <c r="U62" s="169">
        <f t="shared" ca="1" si="10"/>
        <v>390</v>
      </c>
      <c r="V62" s="169">
        <f t="shared" ca="1" si="10"/>
        <v>445</v>
      </c>
      <c r="W62" s="169">
        <f t="shared" ca="1" si="10"/>
        <v>445</v>
      </c>
      <c r="X62" s="169">
        <f t="shared" ca="1" si="10"/>
        <v>445</v>
      </c>
      <c r="Y62" s="170">
        <f t="shared" ca="1" si="10"/>
        <v>405</v>
      </c>
      <c r="Z62" s="191"/>
      <c r="AA62" s="162"/>
    </row>
    <row r="63" spans="1:27" s="161" customFormat="1" ht="12" x14ac:dyDescent="0.2">
      <c r="A63" s="193" t="s">
        <v>140</v>
      </c>
      <c r="B63" s="169">
        <f t="shared" ref="B63:L63" ca="1" si="11">-SUM(B8:B10,B25:B28) + SUM(B56:B57)</f>
        <v>-28</v>
      </c>
      <c r="C63" s="169">
        <f t="shared" ca="1" si="11"/>
        <v>-78</v>
      </c>
      <c r="D63" s="169">
        <f t="shared" ca="1" si="11"/>
        <v>-78</v>
      </c>
      <c r="E63" s="169">
        <f t="shared" ca="1" si="11"/>
        <v>-78</v>
      </c>
      <c r="F63" s="169">
        <f t="shared" ca="1" si="11"/>
        <v>-78</v>
      </c>
      <c r="G63" s="169">
        <f t="shared" ca="1" si="11"/>
        <v>-78</v>
      </c>
      <c r="H63" s="169">
        <f t="shared" ca="1" si="11"/>
        <v>-3</v>
      </c>
      <c r="I63" s="169">
        <f t="shared" ca="1" si="11"/>
        <v>-3</v>
      </c>
      <c r="J63" s="169">
        <f t="shared" ca="1" si="11"/>
        <v>-3</v>
      </c>
      <c r="K63" s="169">
        <f t="shared" ca="1" si="11"/>
        <v>-3</v>
      </c>
      <c r="L63" s="169">
        <f t="shared" ca="1" si="11"/>
        <v>-3</v>
      </c>
      <c r="M63" s="169">
        <f ca="1">-SUM(M8:M10,M25:M28) + SUM(M57:M57)</f>
        <v>-55</v>
      </c>
      <c r="N63" s="169">
        <f t="shared" ref="N63:Y63" ca="1" si="12">-SUM(N8:N10,N25:N28) + SUM(N56:N57)</f>
        <v>-28</v>
      </c>
      <c r="O63" s="169">
        <f t="shared" ca="1" si="12"/>
        <v>-28</v>
      </c>
      <c r="P63" s="169">
        <f t="shared" ca="1" si="12"/>
        <v>-28</v>
      </c>
      <c r="Q63" s="169">
        <f t="shared" ca="1" si="12"/>
        <v>-28</v>
      </c>
      <c r="R63" s="169">
        <f t="shared" ca="1" si="12"/>
        <v>-28</v>
      </c>
      <c r="S63" s="169">
        <f t="shared" ca="1" si="12"/>
        <v>-7</v>
      </c>
      <c r="T63" s="169">
        <f t="shared" ca="1" si="12"/>
        <v>-3</v>
      </c>
      <c r="U63" s="169">
        <f t="shared" ca="1" si="12"/>
        <v>-3</v>
      </c>
      <c r="V63" s="169">
        <f t="shared" ca="1" si="12"/>
        <v>-3</v>
      </c>
      <c r="W63" s="169">
        <f t="shared" ca="1" si="12"/>
        <v>-3</v>
      </c>
      <c r="X63" s="169">
        <f t="shared" ca="1" si="12"/>
        <v>-3</v>
      </c>
      <c r="Y63" s="170">
        <f t="shared" ca="1" si="12"/>
        <v>-3</v>
      </c>
      <c r="Z63" s="191"/>
      <c r="AA63" s="162"/>
    </row>
    <row r="64" spans="1:27" s="161" customFormat="1" ht="12" x14ac:dyDescent="0.2">
      <c r="A64" s="193" t="s">
        <v>141</v>
      </c>
      <c r="B64" s="169">
        <f ca="1">IF(B62+B63&gt;645,"err",B62+B63)</f>
        <v>402</v>
      </c>
      <c r="C64" s="169">
        <f t="shared" ref="C64:Y64" ca="1" si="13">IF(C62+C63&gt;645,"err",C62+C63)</f>
        <v>352</v>
      </c>
      <c r="D64" s="169">
        <f t="shared" ca="1" si="13"/>
        <v>352</v>
      </c>
      <c r="E64" s="169">
        <f t="shared" ca="1" si="13"/>
        <v>352</v>
      </c>
      <c r="F64" s="169">
        <f t="shared" ca="1" si="13"/>
        <v>352</v>
      </c>
      <c r="G64" s="169">
        <f t="shared" ca="1" si="13"/>
        <v>353</v>
      </c>
      <c r="H64" s="169">
        <f t="shared" ca="1" si="13"/>
        <v>427</v>
      </c>
      <c r="I64" s="169">
        <f t="shared" ca="1" si="13"/>
        <v>462</v>
      </c>
      <c r="J64" s="169">
        <f t="shared" ca="1" si="13"/>
        <v>452</v>
      </c>
      <c r="K64" s="169">
        <f t="shared" ca="1" si="13"/>
        <v>452</v>
      </c>
      <c r="L64" s="169">
        <f t="shared" ca="1" si="13"/>
        <v>452</v>
      </c>
      <c r="M64" s="169">
        <f t="shared" ca="1" si="13"/>
        <v>400</v>
      </c>
      <c r="N64" s="169">
        <f t="shared" ca="1" si="13"/>
        <v>422</v>
      </c>
      <c r="O64" s="169">
        <f t="shared" ca="1" si="13"/>
        <v>397</v>
      </c>
      <c r="P64" s="169">
        <f t="shared" ca="1" si="13"/>
        <v>397</v>
      </c>
      <c r="Q64" s="169">
        <f t="shared" ca="1" si="13"/>
        <v>397</v>
      </c>
      <c r="R64" s="169">
        <f t="shared" ca="1" si="13"/>
        <v>432</v>
      </c>
      <c r="S64" s="169">
        <f t="shared" ca="1" si="13"/>
        <v>423</v>
      </c>
      <c r="T64" s="169">
        <f t="shared" ca="1" si="13"/>
        <v>397</v>
      </c>
      <c r="U64" s="169">
        <f t="shared" ca="1" si="13"/>
        <v>387</v>
      </c>
      <c r="V64" s="169">
        <f t="shared" ca="1" si="13"/>
        <v>442</v>
      </c>
      <c r="W64" s="169">
        <f t="shared" ca="1" si="13"/>
        <v>442</v>
      </c>
      <c r="X64" s="169">
        <f t="shared" ca="1" si="13"/>
        <v>442</v>
      </c>
      <c r="Y64" s="170">
        <f t="shared" ca="1" si="13"/>
        <v>402</v>
      </c>
      <c r="Z64" s="192"/>
      <c r="AA64" s="162"/>
    </row>
    <row r="65" spans="1:27" s="161" customFormat="1" ht="12" x14ac:dyDescent="0.2">
      <c r="A65" s="193" t="s">
        <v>18</v>
      </c>
      <c r="B65" s="169">
        <f ca="1">SUM(B61:B63)</f>
        <v>532</v>
      </c>
      <c r="C65" s="169">
        <f t="shared" ref="C65:Y65" ca="1" si="14">SUM(C61:C63)</f>
        <v>482</v>
      </c>
      <c r="D65" s="169">
        <f t="shared" ca="1" si="14"/>
        <v>482</v>
      </c>
      <c r="E65" s="169">
        <f t="shared" ca="1" si="14"/>
        <v>482</v>
      </c>
      <c r="F65" s="169">
        <f t="shared" ca="1" si="14"/>
        <v>482</v>
      </c>
      <c r="G65" s="169">
        <f t="shared" ca="1" si="14"/>
        <v>483</v>
      </c>
      <c r="H65" s="169">
        <f t="shared" ca="1" si="14"/>
        <v>557</v>
      </c>
      <c r="I65" s="169">
        <f t="shared" ca="1" si="14"/>
        <v>542</v>
      </c>
      <c r="J65" s="169">
        <f t="shared" ca="1" si="14"/>
        <v>532</v>
      </c>
      <c r="K65" s="169">
        <f t="shared" ca="1" si="14"/>
        <v>532</v>
      </c>
      <c r="L65" s="169">
        <f t="shared" ca="1" si="14"/>
        <v>532</v>
      </c>
      <c r="M65" s="169">
        <f t="shared" ca="1" si="14"/>
        <v>480</v>
      </c>
      <c r="N65" s="169">
        <f t="shared" ca="1" si="14"/>
        <v>502</v>
      </c>
      <c r="O65" s="169">
        <f t="shared" ca="1" si="14"/>
        <v>477</v>
      </c>
      <c r="P65" s="169">
        <f t="shared" ca="1" si="14"/>
        <v>477</v>
      </c>
      <c r="Q65" s="169">
        <f t="shared" ca="1" si="14"/>
        <v>477</v>
      </c>
      <c r="R65" s="169">
        <f t="shared" ca="1" si="14"/>
        <v>512</v>
      </c>
      <c r="S65" s="169">
        <f t="shared" ca="1" si="14"/>
        <v>556</v>
      </c>
      <c r="T65" s="169">
        <f t="shared" ca="1" si="14"/>
        <v>530</v>
      </c>
      <c r="U65" s="169">
        <f t="shared" ca="1" si="14"/>
        <v>520</v>
      </c>
      <c r="V65" s="169">
        <f t="shared" ca="1" si="14"/>
        <v>575</v>
      </c>
      <c r="W65" s="169">
        <f t="shared" ca="1" si="14"/>
        <v>522</v>
      </c>
      <c r="X65" s="169">
        <f t="shared" ca="1" si="14"/>
        <v>542</v>
      </c>
      <c r="Y65" s="170">
        <f t="shared" ca="1" si="14"/>
        <v>502</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129</v>
      </c>
      <c r="C67" s="169">
        <f t="array" ref="C67">SUM(IF(C$41:C$55 = 0,0,$Z$41:$Z$55-C$41:C$55))-INDEX(Balancing!$R$4:$R$27,C$3)</f>
        <v>110</v>
      </c>
      <c r="D67" s="169">
        <f t="array" ref="D67">SUM(IF(D$41:D$55 = 0,0,$Z$41:$Z$55-D$41:D$55))-INDEX(Balancing!$R$4:$R$27,D$3)</f>
        <v>116</v>
      </c>
      <c r="E67" s="169">
        <f t="array" ref="E67">SUM(IF(E$41:E$55 = 0,0,$Z$41:$Z$55-E$41:E$55))-INDEX(Balancing!$R$4:$R$27,E$3)</f>
        <v>125</v>
      </c>
      <c r="F67" s="169">
        <f t="array" ref="F67">SUM(IF(F$41:F$55 = 0,0,$Z$41:$Z$55-F$41:F$55))-INDEX(Balancing!$R$4:$R$27,F$3)</f>
        <v>121</v>
      </c>
      <c r="G67" s="169">
        <f t="array" ref="G67">SUM(IF(G$41:G$55 = 0,0,$Z$41:$Z$55-G$41:G$55))-INDEX(Balancing!$R$4:$R$27,G$3)</f>
        <v>104</v>
      </c>
      <c r="H67" s="169">
        <f t="array" ref="H67">SUM(IF(H$41:H$55 = 0,0,$Z$41:$Z$55-H$41:H$55))-INDEX(Balancing!$R$4:$R$27,H$3)</f>
        <v>139</v>
      </c>
      <c r="I67" s="169">
        <f t="array" ref="I67">SUM(IF(I$41:I$55 = 0,0,$Z$41:$Z$55-I$41:I$55))-INDEX(Balancing!$R$4:$R$27,I$3)</f>
        <v>130</v>
      </c>
      <c r="J67" s="169">
        <f t="array" ref="J67">SUM(IF(J$41:J$55 = 0,0,$Z$41:$Z$55-J$41:J$55))-INDEX(Balancing!$R$4:$R$27,J$3)</f>
        <v>108</v>
      </c>
      <c r="K67" s="169">
        <f t="array" ref="K67">SUM(IF(K$41:K$55 = 0,0,$Z$41:$Z$55-K$41:K$55))-INDEX(Balancing!$R$4:$R$27,K$3)</f>
        <v>86</v>
      </c>
      <c r="L67" s="169">
        <f t="array" ref="L67">SUM(IF(L$41:L$55 = 0,0,$Z$41:$Z$55-L$41:L$55))-INDEX(Balancing!$R$4:$R$27,L$3)</f>
        <v>204</v>
      </c>
      <c r="M67" s="169">
        <f t="array" ref="M67">SUM(IF(M$41:M$55 = 0,0,$Z$41:$Z$55-M$41:M$55))-INDEX(Balancing!$R$4:$R$27,M$3)</f>
        <v>208</v>
      </c>
      <c r="N67" s="169">
        <v>179</v>
      </c>
      <c r="O67" s="169">
        <f t="array" ref="O67">SUM(IF(O$41:O$55 = 0,0,$Z$41:$Z$55-O$41:O$55))-INDEX(Balancing!$R$4:$R$27,O$3)</f>
        <v>169</v>
      </c>
      <c r="P67" s="169">
        <f t="array" ref="P67">SUM(IF(P$41:P$55 = 0,0,$Z$41:$Z$55-P$41:P$55))-INDEX(Balancing!$R$4:$R$27,P$3)</f>
        <v>180</v>
      </c>
      <c r="Q67" s="169">
        <f t="array" ref="Q67">SUM(IF(Q$41:Q$55 = 0,0,$Z$41:$Z$55-Q$41:Q$55))-INDEX(Balancing!$R$4:$R$27,Q$3)</f>
        <v>191</v>
      </c>
      <c r="R67" s="169">
        <f t="array" ref="R67">SUM(IF(R$41:R$55 = 0,0,$Z$41:$Z$55-R$41:R$55))-INDEX(Balancing!$R$4:$R$27,R$3)</f>
        <v>221</v>
      </c>
      <c r="S67" s="169">
        <f t="array" ref="S67">SUM(IF(S$41:S$55 = 0,0,$Z$41:$Z$55-S$41:S$55))-INDEX(Balancing!$R$4:$R$27,S$3)</f>
        <v>188</v>
      </c>
      <c r="T67" s="169">
        <f t="array" ref="T67">SUM(IF(T$41:T$55 = 0,0,$Z$41:$Z$55-T$41:T$55))-INDEX(Balancing!$R$4:$R$27,T$3)</f>
        <v>97</v>
      </c>
      <c r="U67" s="169">
        <f t="array" ref="U67">SUM(IF(U$41:U$55 = 0,0,$Z$41:$Z$55-U$41:U$55))-INDEX(Balancing!$R$4:$R$27,U$3)</f>
        <v>97</v>
      </c>
      <c r="V67" s="169">
        <f t="array" ref="V67">SUM(IF(V$41:V$55 = 0,0,$Z$41:$Z$55-V$41:V$55))-INDEX(Balancing!$R$4:$R$27,V$3)</f>
        <v>148</v>
      </c>
      <c r="W67" s="169">
        <f t="array" ref="W67">SUM(IF(W$41:W$55 = 0,0,$Z$41:$Z$55-W$41:W$55))-INDEX(Balancing!$R$4:$R$27,W$3)</f>
        <v>188</v>
      </c>
      <c r="X67" s="169">
        <f t="array" ref="X67">SUM(IF(X$41:X$55 = 0,0,$Z$41:$Z$55-X$41:X$55))-INDEX(Balancing!$R$4:$R$27,X$3)</f>
        <v>188</v>
      </c>
      <c r="Y67" s="170">
        <f t="array" ref="Y67">SUM(IF(Y$41:Y$55 = 0,0,$Z$41:$Z$55-Y$41:Y$55))-INDEX(Balancing!$R$4:$R$27,Y$3)</f>
        <v>110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41</v>
      </c>
      <c r="C69" s="171">
        <f t="shared" si="15"/>
        <v>40</v>
      </c>
      <c r="D69" s="171">
        <f t="shared" si="15"/>
        <v>39</v>
      </c>
      <c r="E69" s="171">
        <f t="shared" si="15"/>
        <v>39</v>
      </c>
      <c r="F69" s="171">
        <f t="shared" si="15"/>
        <v>39</v>
      </c>
      <c r="G69" s="171">
        <f t="shared" si="15"/>
        <v>40</v>
      </c>
      <c r="H69" s="171">
        <f t="shared" ref="H69:X69" si="16">IF(H67&lt;0.07*I4,"err",ROUND(I4*0.07,0))</f>
        <v>42</v>
      </c>
      <c r="I69" s="171">
        <f t="shared" si="16"/>
        <v>43</v>
      </c>
      <c r="J69" s="171">
        <f t="shared" si="16"/>
        <v>44</v>
      </c>
      <c r="K69" s="171">
        <f t="shared" si="16"/>
        <v>45</v>
      </c>
      <c r="L69" s="171">
        <f t="shared" si="16"/>
        <v>45</v>
      </c>
      <c r="M69" s="171">
        <f t="shared" si="16"/>
        <v>44</v>
      </c>
      <c r="N69" s="171">
        <f t="shared" si="16"/>
        <v>44</v>
      </c>
      <c r="O69" s="171">
        <f t="shared" si="16"/>
        <v>43</v>
      </c>
      <c r="P69" s="171">
        <f t="shared" si="16"/>
        <v>43</v>
      </c>
      <c r="Q69" s="171">
        <f t="shared" si="16"/>
        <v>43</v>
      </c>
      <c r="R69" s="171">
        <f t="shared" si="16"/>
        <v>47</v>
      </c>
      <c r="S69" s="171">
        <f t="shared" si="16"/>
        <v>52</v>
      </c>
      <c r="T69" s="171">
        <f t="shared" si="16"/>
        <v>52</v>
      </c>
      <c r="U69" s="171">
        <f t="shared" si="16"/>
        <v>51</v>
      </c>
      <c r="V69" s="171">
        <f t="shared" si="16"/>
        <v>50</v>
      </c>
      <c r="W69" s="171">
        <f t="shared" si="16"/>
        <v>46</v>
      </c>
      <c r="X69" s="171">
        <f t="shared" si="16"/>
        <v>44</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230</v>
      </c>
      <c r="C78" s="462">
        <f t="shared" ca="1" si="17"/>
        <v>230</v>
      </c>
      <c r="D78" s="462">
        <f t="shared" ca="1" si="17"/>
        <v>230</v>
      </c>
      <c r="E78" s="462">
        <f ca="1">(E22+E25+E29)</f>
        <v>230</v>
      </c>
      <c r="F78" s="462">
        <f t="shared" ca="1" si="17"/>
        <v>230</v>
      </c>
      <c r="G78" s="462">
        <f ca="1">(G22+G25+G29)</f>
        <v>230</v>
      </c>
      <c r="H78" s="462">
        <f ca="1">(H22+H25+H29)</f>
        <v>230</v>
      </c>
      <c r="I78" s="462">
        <f ca="1">(I22+I25+I29)</f>
        <v>195</v>
      </c>
      <c r="J78" s="462">
        <f ca="1">(J22+J25+J29)</f>
        <v>205</v>
      </c>
      <c r="K78" s="462">
        <f t="shared" ca="1" si="17"/>
        <v>205</v>
      </c>
      <c r="L78" s="462">
        <f t="shared" ca="1" si="17"/>
        <v>205</v>
      </c>
      <c r="M78" s="462">
        <f t="shared" ca="1" si="17"/>
        <v>205</v>
      </c>
      <c r="N78" s="462">
        <f t="shared" ca="1" si="17"/>
        <v>185</v>
      </c>
      <c r="O78" s="462">
        <f t="shared" ca="1" si="17"/>
        <v>185</v>
      </c>
      <c r="P78" s="462">
        <f t="shared" ca="1" si="17"/>
        <v>185</v>
      </c>
      <c r="Q78" s="462">
        <f t="shared" ca="1" si="17"/>
        <v>185</v>
      </c>
      <c r="R78" s="462">
        <f t="shared" ca="1" si="17"/>
        <v>175</v>
      </c>
      <c r="S78" s="462">
        <f t="shared" ca="1" si="17"/>
        <v>175</v>
      </c>
      <c r="T78" s="462">
        <f t="shared" ca="1" si="17"/>
        <v>205</v>
      </c>
      <c r="U78" s="462">
        <f t="shared" ca="1" si="17"/>
        <v>215</v>
      </c>
      <c r="V78" s="462">
        <f t="shared" ca="1" si="17"/>
        <v>215</v>
      </c>
      <c r="W78" s="462">
        <f t="shared" ca="1" si="17"/>
        <v>215</v>
      </c>
      <c r="X78" s="462">
        <f t="shared" ca="1" si="17"/>
        <v>215</v>
      </c>
      <c r="Y78" s="462">
        <f t="shared" ca="1" si="17"/>
        <v>255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Deals!AD120</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5035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193749.55355889877</v>
      </c>
    </row>
    <row r="87" spans="1:27" x14ac:dyDescent="0.2">
      <c r="X87" s="223"/>
      <c r="Y87" s="224" t="s">
        <v>163</v>
      </c>
      <c r="Z87" s="255">
        <f ca="1">SUM(Z90,Z93,Z96,Z99,Z102,Z107,Z112,Z117,Z122,Z127,Z132,Z137,Z142,Z147,Z152,Z157,Z162)</f>
        <v>250872.03942265268</v>
      </c>
    </row>
    <row r="88" spans="1:27" ht="13.5" thickBot="1" x14ac:dyDescent="0.25">
      <c r="A88" s="173" t="s">
        <v>164</v>
      </c>
      <c r="X88" s="225"/>
      <c r="Y88" s="226" t="s">
        <v>165</v>
      </c>
      <c r="Z88" s="256">
        <f ca="1">Z86-Z87</f>
        <v>-57122.485863753915</v>
      </c>
    </row>
    <row r="89" spans="1:27" x14ac:dyDescent="0.2">
      <c r="A89" s="227" t="str">
        <f>Economics!A28</f>
        <v>4 Corners Unit 4</v>
      </c>
      <c r="B89" s="228">
        <f t="shared" ref="B89:Y89" si="18">B56</f>
        <v>52</v>
      </c>
      <c r="C89" s="228">
        <f t="shared" si="18"/>
        <v>2</v>
      </c>
      <c r="D89" s="228">
        <f t="shared" si="18"/>
        <v>2</v>
      </c>
      <c r="E89" s="228">
        <f>E56</f>
        <v>2</v>
      </c>
      <c r="F89" s="228">
        <f t="shared" si="18"/>
        <v>2</v>
      </c>
      <c r="G89" s="228">
        <f t="shared" si="18"/>
        <v>2</v>
      </c>
      <c r="H89" s="228">
        <f t="shared" si="18"/>
        <v>52</v>
      </c>
      <c r="I89" s="228">
        <f t="shared" si="18"/>
        <v>52</v>
      </c>
      <c r="J89" s="228">
        <f t="shared" si="18"/>
        <v>52</v>
      </c>
      <c r="K89" s="228">
        <f t="shared" si="18"/>
        <v>52</v>
      </c>
      <c r="L89" s="228">
        <f t="shared" si="18"/>
        <v>52</v>
      </c>
      <c r="M89" s="228">
        <f>M57</f>
        <v>0</v>
      </c>
      <c r="N89" s="228">
        <f t="shared" si="18"/>
        <v>27</v>
      </c>
      <c r="O89" s="228">
        <f t="shared" si="18"/>
        <v>27</v>
      </c>
      <c r="P89" s="228">
        <f t="shared" si="18"/>
        <v>27</v>
      </c>
      <c r="Q89" s="228">
        <f t="shared" si="18"/>
        <v>27</v>
      </c>
      <c r="R89" s="228">
        <f t="shared" si="18"/>
        <v>27</v>
      </c>
      <c r="S89" s="228">
        <f t="shared" si="18"/>
        <v>48</v>
      </c>
      <c r="T89" s="228">
        <f t="shared" si="18"/>
        <v>52</v>
      </c>
      <c r="U89" s="228">
        <f t="shared" si="18"/>
        <v>52</v>
      </c>
      <c r="V89" s="228">
        <f t="shared" si="18"/>
        <v>52</v>
      </c>
      <c r="W89" s="228">
        <f t="shared" si="18"/>
        <v>52</v>
      </c>
      <c r="X89" s="228">
        <f t="shared" si="18"/>
        <v>52</v>
      </c>
      <c r="Y89" s="228">
        <f t="shared" si="18"/>
        <v>52</v>
      </c>
      <c r="Z89" s="257">
        <f t="array" ref="Z89">SUM(B89:Y89*Economics!F$28)</f>
        <v>10682.176960000003</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50</v>
      </c>
      <c r="D91" s="206">
        <f t="shared" si="19"/>
        <v>0</v>
      </c>
      <c r="E91" s="206">
        <f t="shared" si="19"/>
        <v>0</v>
      </c>
      <c r="F91" s="206">
        <f t="shared" si="19"/>
        <v>0</v>
      </c>
      <c r="G91" s="206">
        <f t="shared" si="19"/>
        <v>0</v>
      </c>
      <c r="H91" s="206">
        <f t="shared" si="19"/>
        <v>0</v>
      </c>
      <c r="I91" s="206">
        <f t="shared" si="19"/>
        <v>0</v>
      </c>
      <c r="J91" s="206">
        <f t="shared" si="19"/>
        <v>0</v>
      </c>
      <c r="K91" s="206">
        <f t="shared" si="19"/>
        <v>0</v>
      </c>
      <c r="L91" s="206">
        <f t="shared" si="19"/>
        <v>51</v>
      </c>
      <c r="M91" s="206">
        <f t="shared" si="19"/>
        <v>103</v>
      </c>
      <c r="N91" s="206">
        <f t="shared" si="19"/>
        <v>76</v>
      </c>
      <c r="O91" s="206">
        <f t="shared" si="19"/>
        <v>76</v>
      </c>
      <c r="P91" s="206">
        <f t="shared" si="19"/>
        <v>76</v>
      </c>
      <c r="Q91" s="206">
        <f t="shared" si="19"/>
        <v>76</v>
      </c>
      <c r="R91" s="206">
        <f t="shared" si="19"/>
        <v>76</v>
      </c>
      <c r="S91" s="206">
        <f t="shared" si="19"/>
        <v>55</v>
      </c>
      <c r="T91" s="206">
        <f t="shared" si="19"/>
        <v>51</v>
      </c>
      <c r="U91" s="206">
        <f t="shared" si="19"/>
        <v>51</v>
      </c>
      <c r="V91" s="206">
        <f t="shared" si="19"/>
        <v>0</v>
      </c>
      <c r="W91" s="206">
        <f t="shared" si="19"/>
        <v>0</v>
      </c>
      <c r="X91" s="206">
        <f t="shared" si="19"/>
        <v>0</v>
      </c>
      <c r="Y91" s="206">
        <f t="shared" si="19"/>
        <v>0</v>
      </c>
      <c r="Z91" s="260">
        <f>Z89-Z90</f>
        <v>-10355.304959999992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202</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29413.199999999986</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-2</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152.39999999997599</v>
      </c>
    </row>
    <row r="98" spans="1:29" x14ac:dyDescent="0.2">
      <c r="A98" s="183" t="str">
        <f>Economics!A31</f>
        <v>PV Unit 2</v>
      </c>
      <c r="B98" s="181">
        <f t="shared" ref="B98:Y98" si="24">B54</f>
        <v>202</v>
      </c>
      <c r="C98" s="181">
        <f t="shared" si="24"/>
        <v>202</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202</v>
      </c>
      <c r="Q98" s="181">
        <f t="shared" si="24"/>
        <v>202</v>
      </c>
      <c r="R98" s="181">
        <f t="shared" si="24"/>
        <v>202</v>
      </c>
      <c r="S98" s="181">
        <f t="shared" si="24"/>
        <v>202</v>
      </c>
      <c r="T98" s="181">
        <f t="shared" si="24"/>
        <v>202</v>
      </c>
      <c r="U98" s="181">
        <f t="shared" si="24"/>
        <v>202</v>
      </c>
      <c r="V98" s="181">
        <f t="shared" si="24"/>
        <v>202</v>
      </c>
      <c r="W98" s="181">
        <f t="shared" si="24"/>
        <v>202</v>
      </c>
      <c r="X98" s="181">
        <f t="shared" si="24"/>
        <v>202</v>
      </c>
      <c r="Y98" s="181">
        <f t="shared" si="24"/>
        <v>202</v>
      </c>
      <c r="Z98" s="259">
        <f t="array" ref="Z98">SUM(B98:Y98*Economics!F$31)</f>
        <v>29553.407999999999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-8</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-7</v>
      </c>
      <c r="Q100" s="206">
        <f t="shared" si="25"/>
        <v>-7</v>
      </c>
      <c r="R100" s="206">
        <f t="shared" si="25"/>
        <v>-7</v>
      </c>
      <c r="S100" s="206">
        <f t="shared" si="25"/>
        <v>-7</v>
      </c>
      <c r="T100" s="206">
        <f t="shared" si="25"/>
        <v>-7</v>
      </c>
      <c r="U100" s="206">
        <f t="shared" si="25"/>
        <v>-7</v>
      </c>
      <c r="V100" s="206">
        <f t="shared" si="25"/>
        <v>-7</v>
      </c>
      <c r="W100" s="206">
        <f t="shared" si="25"/>
        <v>-7</v>
      </c>
      <c r="X100" s="206">
        <f t="shared" si="25"/>
        <v>-7</v>
      </c>
      <c r="Y100" s="206">
        <f t="shared" si="25"/>
        <v>-7</v>
      </c>
      <c r="Z100" s="260">
        <f>Z98-Z99</f>
        <v>1048.5119999999915</v>
      </c>
    </row>
    <row r="101" spans="1:29" x14ac:dyDescent="0.2">
      <c r="A101" s="183" t="str">
        <f>Economics!A32</f>
        <v>PV Unit 3</v>
      </c>
      <c r="B101" s="181">
        <f t="shared" ref="B101:Y101" si="26">B55</f>
        <v>202</v>
      </c>
      <c r="C101" s="181">
        <f t="shared" si="26"/>
        <v>202</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202</v>
      </c>
      <c r="N101" s="181">
        <f t="shared" si="26"/>
        <v>202</v>
      </c>
      <c r="O101" s="181">
        <f t="shared" si="26"/>
        <v>202</v>
      </c>
      <c r="P101" s="181">
        <f t="shared" si="26"/>
        <v>202</v>
      </c>
      <c r="Q101" s="181">
        <f t="shared" si="26"/>
        <v>202</v>
      </c>
      <c r="R101" s="181">
        <f t="shared" si="26"/>
        <v>202</v>
      </c>
      <c r="S101" s="181">
        <f t="shared" si="26"/>
        <v>202</v>
      </c>
      <c r="T101" s="181">
        <f t="shared" si="26"/>
        <v>202</v>
      </c>
      <c r="U101" s="181">
        <f t="shared" si="26"/>
        <v>202</v>
      </c>
      <c r="V101" s="181">
        <f t="shared" si="26"/>
        <v>202</v>
      </c>
      <c r="W101" s="181">
        <f t="shared" si="26"/>
        <v>202</v>
      </c>
      <c r="X101" s="181">
        <f t="shared" si="26"/>
        <v>202</v>
      </c>
      <c r="Y101" s="181">
        <f t="shared" si="26"/>
        <v>202</v>
      </c>
      <c r="Z101" s="259">
        <f t="array" ref="Z101">SUM(B101:Y101*Economics!F$32)</f>
        <v>29553.407999999999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-2</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-2</v>
      </c>
      <c r="N103" s="206">
        <f t="shared" si="27"/>
        <v>-2</v>
      </c>
      <c r="O103" s="206">
        <f t="shared" si="27"/>
        <v>-2</v>
      </c>
      <c r="P103" s="206">
        <f t="shared" si="27"/>
        <v>-2</v>
      </c>
      <c r="Q103" s="206">
        <f t="shared" si="27"/>
        <v>-2</v>
      </c>
      <c r="R103" s="206">
        <f t="shared" si="27"/>
        <v>-2</v>
      </c>
      <c r="S103" s="206">
        <f t="shared" si="27"/>
        <v>-2</v>
      </c>
      <c r="T103" s="206">
        <f t="shared" si="27"/>
        <v>-2</v>
      </c>
      <c r="U103" s="206">
        <f t="shared" si="27"/>
        <v>-2</v>
      </c>
      <c r="V103" s="206">
        <f t="shared" si="27"/>
        <v>-2</v>
      </c>
      <c r="W103" s="206">
        <f t="shared" si="27"/>
        <v>-2</v>
      </c>
      <c r="X103" s="206">
        <f t="shared" si="27"/>
        <v>-2</v>
      </c>
      <c r="Y103" s="206">
        <f t="shared" si="27"/>
        <v>-2</v>
      </c>
      <c r="Z103" s="260">
        <f>Z101-Z102</f>
        <v>292.60799999998926</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37</v>
      </c>
      <c r="C109" s="181">
        <f t="shared" ref="C109:Y109" si="32">C42</f>
        <v>34</v>
      </c>
      <c r="D109" s="181">
        <f t="shared" si="32"/>
        <v>35</v>
      </c>
      <c r="E109" s="181">
        <f>E42</f>
        <v>35</v>
      </c>
      <c r="F109" s="181">
        <f t="shared" si="32"/>
        <v>35</v>
      </c>
      <c r="G109" s="181">
        <f t="shared" si="32"/>
        <v>34</v>
      </c>
      <c r="H109" s="181">
        <f t="shared" si="32"/>
        <v>34</v>
      </c>
      <c r="I109" s="181">
        <f>I42</f>
        <v>34</v>
      </c>
      <c r="J109" s="181">
        <f t="shared" si="32"/>
        <v>34</v>
      </c>
      <c r="K109" s="181">
        <f t="shared" si="32"/>
        <v>34</v>
      </c>
      <c r="L109" s="181">
        <f t="shared" si="32"/>
        <v>34</v>
      </c>
      <c r="M109" s="181">
        <f t="shared" si="32"/>
        <v>35</v>
      </c>
      <c r="N109" s="181">
        <f t="shared" si="32"/>
        <v>35</v>
      </c>
      <c r="O109" s="181">
        <f t="shared" si="32"/>
        <v>36</v>
      </c>
      <c r="P109" s="181">
        <f t="shared" si="32"/>
        <v>34</v>
      </c>
      <c r="Q109" s="181">
        <f t="shared" si="32"/>
        <v>34</v>
      </c>
      <c r="R109" s="181">
        <f t="shared" si="32"/>
        <v>31</v>
      </c>
      <c r="S109" s="181">
        <f t="shared" si="32"/>
        <v>32</v>
      </c>
      <c r="T109" s="181">
        <f t="shared" si="32"/>
        <v>34</v>
      </c>
      <c r="U109" s="181">
        <f t="shared" si="32"/>
        <v>34</v>
      </c>
      <c r="V109" s="181">
        <f t="shared" si="32"/>
        <v>38</v>
      </c>
      <c r="W109" s="181">
        <f t="shared" si="32"/>
        <v>38</v>
      </c>
      <c r="X109" s="181">
        <f t="shared" si="32"/>
        <v>38</v>
      </c>
      <c r="Y109" s="181">
        <f t="shared" si="32"/>
        <v>42</v>
      </c>
      <c r="Z109" s="219">
        <f>SUM(B109:Y109)</f>
        <v>841</v>
      </c>
      <c r="AA109" s="318" t="s">
        <v>170</v>
      </c>
    </row>
    <row r="110" spans="1:29" x14ac:dyDescent="0.2">
      <c r="A110" s="185">
        <f>Economics!$I35</f>
        <v>1.96</v>
      </c>
      <c r="B110" s="189">
        <f t="shared" ref="B110:Y110" ca="1" si="33">IndGencost(B109,OFFSET(HeatRateStart,1,MATCH($A109,HeatRateNames,0)-1,250,1),$A110)</f>
        <v>21.160356411838535</v>
      </c>
      <c r="C110" s="189">
        <f t="shared" ca="1" si="33"/>
        <v>21.354015945019448</v>
      </c>
      <c r="D110" s="189">
        <f t="shared" ca="1" si="33"/>
        <v>21.285180414267952</v>
      </c>
      <c r="E110" s="189">
        <f ca="1">IndGencost(E109,OFFSET(HeatRateStart,1,MATCH($A109,HeatRateNames,0)-1,250,1),$A110)</f>
        <v>21.285180414267952</v>
      </c>
      <c r="F110" s="189">
        <f t="shared" ca="1" si="33"/>
        <v>21.285180414267952</v>
      </c>
      <c r="G110" s="189">
        <f t="shared" ca="1" si="33"/>
        <v>21.354015945019448</v>
      </c>
      <c r="H110" s="189">
        <f t="shared" ca="1" si="33"/>
        <v>21.354015945019448</v>
      </c>
      <c r="I110" s="189">
        <f t="shared" ca="1" si="33"/>
        <v>21.354015945019448</v>
      </c>
      <c r="J110" s="189">
        <f t="shared" ca="1" si="33"/>
        <v>21.354015945019448</v>
      </c>
      <c r="K110" s="189">
        <f t="shared" ca="1" si="33"/>
        <v>21.354015945019448</v>
      </c>
      <c r="L110" s="189">
        <f t="shared" ca="1" si="33"/>
        <v>21.354015945019448</v>
      </c>
      <c r="M110" s="189">
        <f t="shared" ca="1" si="33"/>
        <v>21.285180414267952</v>
      </c>
      <c r="N110" s="189">
        <f t="shared" ca="1" si="33"/>
        <v>21.285180414267952</v>
      </c>
      <c r="O110" s="189">
        <f t="shared" ca="1" si="33"/>
        <v>21.220746190791662</v>
      </c>
      <c r="P110" s="189">
        <f t="shared" ca="1" si="33"/>
        <v>21.354015945019448</v>
      </c>
      <c r="Q110" s="189">
        <f t="shared" ca="1" si="33"/>
        <v>21.354015945019448</v>
      </c>
      <c r="R110" s="189">
        <f t="shared" ca="1" si="33"/>
        <v>21.59118971054631</v>
      </c>
      <c r="S110" s="189">
        <f t="shared" ca="1" si="33"/>
        <v>21.506541418576244</v>
      </c>
      <c r="T110" s="189">
        <f t="shared" ca="1" si="33"/>
        <v>21.354015945019448</v>
      </c>
      <c r="U110" s="189">
        <f t="shared" ca="1" si="33"/>
        <v>21.354015945019448</v>
      </c>
      <c r="V110" s="189">
        <f t="shared" ca="1" si="33"/>
        <v>21.103691779156737</v>
      </c>
      <c r="W110" s="189">
        <f t="shared" ca="1" si="33"/>
        <v>21.103691779156737</v>
      </c>
      <c r="X110" s="189">
        <f t="shared" ca="1" si="33"/>
        <v>21.103691779156737</v>
      </c>
      <c r="Y110" s="189">
        <f t="shared" ca="1" si="33"/>
        <v>20.908963073612398</v>
      </c>
      <c r="Z110" s="259">
        <f t="array" aca="1" ref="Z110" ca="1">SUM(B109:Y109*B110:Y110)</f>
        <v>17899.722104377655</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0.43083329870777476</v>
      </c>
      <c r="C113" s="188">
        <f t="shared" ca="1" si="35"/>
        <v>0.23717376552686176</v>
      </c>
      <c r="D113" s="188">
        <f t="shared" ca="1" si="35"/>
        <v>0.30600929627835782</v>
      </c>
      <c r="E113" s="188">
        <f t="shared" ca="1" si="35"/>
        <v>0.30600929627835782</v>
      </c>
      <c r="F113" s="188">
        <f t="shared" ca="1" si="35"/>
        <v>0.30600929627835782</v>
      </c>
      <c r="G113" s="188">
        <f t="shared" ca="1" si="35"/>
        <v>0.23717376552686176</v>
      </c>
      <c r="H113" s="188">
        <f t="shared" ca="1" si="35"/>
        <v>0.23717376552686176</v>
      </c>
      <c r="I113" s="188">
        <f t="shared" ca="1" si="35"/>
        <v>0.23717376552686176</v>
      </c>
      <c r="J113" s="188">
        <f t="shared" ca="1" si="35"/>
        <v>0.23717376552686176</v>
      </c>
      <c r="K113" s="188">
        <f t="shared" ca="1" si="35"/>
        <v>0.23717376552686176</v>
      </c>
      <c r="L113" s="188">
        <f t="shared" ca="1" si="35"/>
        <v>0.23717376552686176</v>
      </c>
      <c r="M113" s="188">
        <f t="shared" ca="1" si="35"/>
        <v>0.30600929627835782</v>
      </c>
      <c r="N113" s="188">
        <f t="shared" ca="1" si="35"/>
        <v>0.30600929627835782</v>
      </c>
      <c r="O113" s="188">
        <f t="shared" ca="1" si="35"/>
        <v>0.37044351975464807</v>
      </c>
      <c r="P113" s="188">
        <f t="shared" ca="1" si="35"/>
        <v>0.23717376552686176</v>
      </c>
      <c r="Q113" s="188">
        <f t="shared" ca="1" si="35"/>
        <v>0.23717376552686176</v>
      </c>
      <c r="R113" s="188">
        <f t="shared" ca="1" si="35"/>
        <v>0</v>
      </c>
      <c r="S113" s="188">
        <f t="shared" ca="1" si="35"/>
        <v>8.4648291970065515E-2</v>
      </c>
      <c r="T113" s="188">
        <f t="shared" ca="1" si="35"/>
        <v>0.23717376552686176</v>
      </c>
      <c r="U113" s="188">
        <f t="shared" ca="1" si="35"/>
        <v>0.23717376552686176</v>
      </c>
      <c r="V113" s="188">
        <f t="shared" ca="1" si="35"/>
        <v>0.48749793138957287</v>
      </c>
      <c r="W113" s="188">
        <f t="shared" ca="1" si="35"/>
        <v>0.48749793138957287</v>
      </c>
      <c r="X113" s="188">
        <f t="shared" ca="1" si="35"/>
        <v>0.48749793138957287</v>
      </c>
      <c r="Y113" s="188">
        <f t="shared" ca="1" si="35"/>
        <v>0.68222663693391183</v>
      </c>
      <c r="Z113" s="260">
        <f ca="1">Z110-Z112</f>
        <v>1835.8769597311912</v>
      </c>
      <c r="AC113" s="174"/>
    </row>
    <row r="114" spans="1:29" x14ac:dyDescent="0.2">
      <c r="A114" s="183" t="str">
        <f>Economics!A36</f>
        <v>Newman 3</v>
      </c>
      <c r="B114" s="181">
        <f t="shared" ref="B114:Y114" si="36">B43</f>
        <v>43</v>
      </c>
      <c r="C114" s="181">
        <f t="shared" si="36"/>
        <v>65</v>
      </c>
      <c r="D114" s="181">
        <f t="shared" si="36"/>
        <v>58</v>
      </c>
      <c r="E114" s="181">
        <f>E43</f>
        <v>50</v>
      </c>
      <c r="F114" s="181">
        <f t="shared" si="36"/>
        <v>53</v>
      </c>
      <c r="G114" s="181">
        <f t="shared" si="36"/>
        <v>70</v>
      </c>
      <c r="H114" s="181">
        <f t="shared" si="36"/>
        <v>37</v>
      </c>
      <c r="I114" s="181">
        <f t="shared" si="36"/>
        <v>46</v>
      </c>
      <c r="J114" s="181">
        <f t="shared" si="36"/>
        <v>68</v>
      </c>
      <c r="K114" s="181">
        <f t="shared" si="36"/>
        <v>90</v>
      </c>
      <c r="L114" s="181">
        <f t="shared" si="36"/>
        <v>37</v>
      </c>
      <c r="M114" s="181">
        <f t="shared" si="36"/>
        <v>38</v>
      </c>
      <c r="N114" s="181">
        <f t="shared" si="36"/>
        <v>38</v>
      </c>
      <c r="O114" s="181">
        <f t="shared" si="36"/>
        <v>38</v>
      </c>
      <c r="P114" s="181">
        <f t="shared" si="36"/>
        <v>38</v>
      </c>
      <c r="Q114" s="181">
        <f t="shared" si="36"/>
        <v>37</v>
      </c>
      <c r="R114" s="181">
        <f t="shared" si="36"/>
        <v>36</v>
      </c>
      <c r="S114" s="181">
        <f t="shared" si="36"/>
        <v>36</v>
      </c>
      <c r="T114" s="181">
        <f t="shared" si="36"/>
        <v>36</v>
      </c>
      <c r="U114" s="181">
        <f t="shared" si="36"/>
        <v>36</v>
      </c>
      <c r="V114" s="181">
        <f t="shared" si="36"/>
        <v>36</v>
      </c>
      <c r="W114" s="181">
        <f t="shared" si="36"/>
        <v>36</v>
      </c>
      <c r="X114" s="181">
        <f t="shared" si="36"/>
        <v>36</v>
      </c>
      <c r="Y114" s="181">
        <f t="shared" si="36"/>
        <v>48</v>
      </c>
      <c r="Z114" s="219">
        <f>SUM(B114:Y114)</f>
        <v>1106</v>
      </c>
      <c r="AA114" s="318" t="s">
        <v>172</v>
      </c>
    </row>
    <row r="115" spans="1:29" x14ac:dyDescent="0.2">
      <c r="A115" s="185">
        <f>Economics!$I36</f>
        <v>1.96</v>
      </c>
      <c r="B115" s="189">
        <f t="shared" ref="B115:Y115" ca="1" si="37">IndGencost(B114,OFFSET(HeatRateStart,1,MATCH($A114,HeatRateNames,0)-1,250,1),$A115)</f>
        <v>20.933119477183322</v>
      </c>
      <c r="C115" s="189">
        <f t="shared" ca="1" si="37"/>
        <v>19.940588080406187</v>
      </c>
      <c r="D115" s="189">
        <f t="shared" ca="1" si="37"/>
        <v>20.128592115895497</v>
      </c>
      <c r="E115" s="189">
        <f ca="1">IndGencost(E114,OFFSET(HeatRateStart,1,MATCH($A114,HeatRateNames,0)-1,250,1),$A115)</f>
        <v>20.469064398384099</v>
      </c>
      <c r="F115" s="189">
        <f t="shared" ca="1" si="37"/>
        <v>20.322130961562106</v>
      </c>
      <c r="G115" s="189">
        <f t="shared" ca="1" si="37"/>
        <v>19.851160386357989</v>
      </c>
      <c r="H115" s="189">
        <f t="shared" ca="1" si="37"/>
        <v>21.524349608112029</v>
      </c>
      <c r="I115" s="189">
        <f t="shared" ca="1" si="37"/>
        <v>20.710297794383504</v>
      </c>
      <c r="J115" s="189">
        <f t="shared" ca="1" si="37"/>
        <v>19.883105092862071</v>
      </c>
      <c r="K115" s="189">
        <f t="shared" ca="1" si="37"/>
        <v>19.734369272973801</v>
      </c>
      <c r="L115" s="189">
        <f t="shared" ca="1" si="37"/>
        <v>21.524349608112029</v>
      </c>
      <c r="M115" s="189">
        <f t="shared" ca="1" si="37"/>
        <v>21.409493048266363</v>
      </c>
      <c r="N115" s="189">
        <f t="shared" ca="1" si="37"/>
        <v>21.409493048266363</v>
      </c>
      <c r="O115" s="189">
        <f t="shared" ca="1" si="37"/>
        <v>21.409493048266363</v>
      </c>
      <c r="P115" s="189">
        <f t="shared" ca="1" si="37"/>
        <v>21.409493048266363</v>
      </c>
      <c r="Q115" s="189">
        <f t="shared" ca="1" si="37"/>
        <v>21.524349608112029</v>
      </c>
      <c r="R115" s="189">
        <f t="shared" ca="1" si="37"/>
        <v>21.647002643532225</v>
      </c>
      <c r="S115" s="189">
        <f t="shared" ca="1" si="37"/>
        <v>21.647002643532225</v>
      </c>
      <c r="T115" s="189">
        <f t="shared" ca="1" si="37"/>
        <v>21.647002643532225</v>
      </c>
      <c r="U115" s="189">
        <f t="shared" ca="1" si="37"/>
        <v>21.647002643532225</v>
      </c>
      <c r="V115" s="189">
        <f t="shared" ca="1" si="37"/>
        <v>21.647002643532225</v>
      </c>
      <c r="W115" s="189">
        <f t="shared" ca="1" si="37"/>
        <v>21.647002643532225</v>
      </c>
      <c r="X115" s="189">
        <f t="shared" ca="1" si="37"/>
        <v>21.647002643532225</v>
      </c>
      <c r="Y115" s="189">
        <f t="shared" ca="1" si="37"/>
        <v>20.582532067259152</v>
      </c>
      <c r="Z115" s="259">
        <f t="array" aca="1" ref="Z115" ca="1">SUM(B114:Y114*B115:Y115)</f>
        <v>23021.098128053658</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-20.933119477183322</v>
      </c>
      <c r="C118" s="188">
        <f t="shared" ca="1" si="39"/>
        <v>-19.940588080406187</v>
      </c>
      <c r="D118" s="188">
        <f t="shared" ca="1" si="39"/>
        <v>-20.128592115895497</v>
      </c>
      <c r="E118" s="188">
        <f t="shared" ca="1" si="39"/>
        <v>-20.469064398384099</v>
      </c>
      <c r="F118" s="188">
        <f t="shared" ca="1" si="39"/>
        <v>-20.322130961562106</v>
      </c>
      <c r="G118" s="188">
        <f t="shared" ca="1" si="39"/>
        <v>-19.851160386357989</v>
      </c>
      <c r="H118" s="188">
        <f t="shared" ca="1" si="39"/>
        <v>-21.524349608112029</v>
      </c>
      <c r="I118" s="188">
        <f t="shared" ca="1" si="39"/>
        <v>-20.710297794383504</v>
      </c>
      <c r="J118" s="188">
        <f t="shared" ca="1" si="39"/>
        <v>-19.883105092862071</v>
      </c>
      <c r="K118" s="188">
        <f t="shared" ca="1" si="39"/>
        <v>-19.734369272973801</v>
      </c>
      <c r="L118" s="188">
        <f t="shared" ca="1" si="39"/>
        <v>-21.524349608112029</v>
      </c>
      <c r="M118" s="188">
        <f t="shared" ca="1" si="39"/>
        <v>-21.409493048266363</v>
      </c>
      <c r="N118" s="188">
        <f t="shared" ca="1" si="39"/>
        <v>-21.409493048266363</v>
      </c>
      <c r="O118" s="188">
        <f t="shared" ca="1" si="39"/>
        <v>-21.409493048266363</v>
      </c>
      <c r="P118" s="188">
        <f t="shared" ca="1" si="39"/>
        <v>-21.409493048266363</v>
      </c>
      <c r="Q118" s="188">
        <f t="shared" ca="1" si="39"/>
        <v>-21.524349608112029</v>
      </c>
      <c r="R118" s="188">
        <f t="shared" ca="1" si="39"/>
        <v>-21.647002643532225</v>
      </c>
      <c r="S118" s="188">
        <f t="shared" ca="1" si="39"/>
        <v>-21.647002643532225</v>
      </c>
      <c r="T118" s="188">
        <f t="shared" ca="1" si="39"/>
        <v>-21.647002643532225</v>
      </c>
      <c r="U118" s="188">
        <f t="shared" ca="1" si="39"/>
        <v>-21.647002643532225</v>
      </c>
      <c r="V118" s="188">
        <f t="shared" ca="1" si="39"/>
        <v>-21.647002643532225</v>
      </c>
      <c r="W118" s="188">
        <f t="shared" ca="1" si="39"/>
        <v>-21.647002643532225</v>
      </c>
      <c r="X118" s="188">
        <f t="shared" ca="1" si="39"/>
        <v>-21.647002643532225</v>
      </c>
      <c r="Y118" s="188">
        <f t="shared" ca="1" si="39"/>
        <v>-20.582532067259152</v>
      </c>
      <c r="Z118" s="260">
        <f ca="1">Z115-Z117</f>
        <v>23021.098128053658</v>
      </c>
    </row>
    <row r="119" spans="1:29" x14ac:dyDescent="0.2">
      <c r="A119" s="183" t="str">
        <f>Economics!A37</f>
        <v>GT 1</v>
      </c>
      <c r="B119" s="181">
        <f t="shared" ref="B119:Y119" si="40">B44</f>
        <v>21</v>
      </c>
      <c r="C119" s="181">
        <f t="shared" si="40"/>
        <v>21</v>
      </c>
      <c r="D119" s="181">
        <f t="shared" si="40"/>
        <v>21</v>
      </c>
      <c r="E119" s="181">
        <f>E44</f>
        <v>20</v>
      </c>
      <c r="F119" s="181">
        <f t="shared" si="40"/>
        <v>21</v>
      </c>
      <c r="G119" s="181">
        <f t="shared" si="40"/>
        <v>21</v>
      </c>
      <c r="H119" s="181">
        <f t="shared" si="40"/>
        <v>20</v>
      </c>
      <c r="I119" s="181">
        <f t="shared" si="40"/>
        <v>20</v>
      </c>
      <c r="J119" s="181">
        <f t="shared" si="40"/>
        <v>20</v>
      </c>
      <c r="K119" s="181">
        <f t="shared" si="40"/>
        <v>20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25</v>
      </c>
      <c r="Z119" s="219">
        <f>SUM(B119:Y119)</f>
        <v>230</v>
      </c>
      <c r="AA119" s="318" t="s">
        <v>174</v>
      </c>
    </row>
    <row r="120" spans="1:29" x14ac:dyDescent="0.2">
      <c r="A120" s="185">
        <f>Economics!$I37</f>
        <v>1.96</v>
      </c>
      <c r="B120" s="189">
        <f t="shared" ref="B120:Y120" ca="1" si="41">IndGencost(B119,OFFSET(HeatRateStart,1,MATCH($A119,HeatRateNames,0)-1,250,1),$A120)</f>
        <v>33.277313434334395</v>
      </c>
      <c r="C120" s="189">
        <f t="shared" ca="1" si="41"/>
        <v>33.277313434334395</v>
      </c>
      <c r="D120" s="189">
        <f t="shared" ca="1" si="41"/>
        <v>33.277313434334395</v>
      </c>
      <c r="E120" s="189">
        <f ca="1">IndGencost(E119,OFFSET(HeatRateStart,1,MATCH($A119,HeatRateNames,0)-1,250,1),$A120)</f>
        <v>33.930736660385129</v>
      </c>
      <c r="F120" s="189">
        <f t="shared" ca="1" si="41"/>
        <v>33.277313434334395</v>
      </c>
      <c r="G120" s="189">
        <f t="shared" ca="1" si="41"/>
        <v>33.277313434334395</v>
      </c>
      <c r="H120" s="189">
        <f t="shared" ca="1" si="41"/>
        <v>33.930736660385129</v>
      </c>
      <c r="I120" s="189">
        <f t="shared" ca="1" si="41"/>
        <v>33.930736660385129</v>
      </c>
      <c r="J120" s="189">
        <f t="shared" ca="1" si="41"/>
        <v>33.930736660385129</v>
      </c>
      <c r="K120" s="189">
        <f t="shared" ca="1" si="41"/>
        <v>33.930736660385129</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31.215519207539558</v>
      </c>
      <c r="Z120" s="259">
        <f t="array" aca="1" ref="Z120" ca="1">SUM(B119:Y119*B120:Y120)</f>
        <v>7667.5795568321137</v>
      </c>
      <c r="AA120" s="318" t="s">
        <v>167</v>
      </c>
    </row>
    <row r="121" spans="1:29" x14ac:dyDescent="0.2">
      <c r="A121" s="184" t="s">
        <v>163</v>
      </c>
      <c r="B121" s="186">
        <f t="shared" ref="B121:Y121" si="42">B119</f>
        <v>21</v>
      </c>
      <c r="C121" s="186">
        <f t="shared" si="42"/>
        <v>21</v>
      </c>
      <c r="D121" s="186">
        <f t="shared" si="42"/>
        <v>21</v>
      </c>
      <c r="E121" s="186">
        <f t="shared" si="42"/>
        <v>20</v>
      </c>
      <c r="F121" s="186">
        <f t="shared" si="42"/>
        <v>21</v>
      </c>
      <c r="G121" s="186">
        <f t="shared" si="42"/>
        <v>21</v>
      </c>
      <c r="H121" s="186">
        <f t="shared" si="42"/>
        <v>20</v>
      </c>
      <c r="I121" s="186">
        <f t="shared" si="42"/>
        <v>20</v>
      </c>
      <c r="J121" s="186">
        <f t="shared" si="42"/>
        <v>20</v>
      </c>
      <c r="K121" s="186">
        <f t="shared" si="42"/>
        <v>20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25</v>
      </c>
      <c r="Z121" s="220">
        <f>SUM(B121:Y121)</f>
        <v>230</v>
      </c>
    </row>
    <row r="122" spans="1:29" x14ac:dyDescent="0.2">
      <c r="A122" s="182"/>
      <c r="B122" s="190">
        <f t="shared" ref="B122:Y122" ca="1" si="43">IndGencost(B121,OFFSET(HeatRateStart,1,MATCH($A119,HeatRateNames,0)-1,250,1),$A120)</f>
        <v>33.277313434334395</v>
      </c>
      <c r="C122" s="190">
        <f t="shared" ca="1" si="43"/>
        <v>33.277313434334395</v>
      </c>
      <c r="D122" s="190">
        <f t="shared" ca="1" si="43"/>
        <v>33.277313434334395</v>
      </c>
      <c r="E122" s="190">
        <f ca="1">IndGencost(E121,OFFSET(HeatRateStart,1,MATCH($A119,HeatRateNames,0)-1,250,1),$A120)</f>
        <v>33.930736660385129</v>
      </c>
      <c r="F122" s="190">
        <f t="shared" ca="1" si="43"/>
        <v>33.277313434334395</v>
      </c>
      <c r="G122" s="190">
        <f t="shared" ca="1" si="43"/>
        <v>33.277313434334395</v>
      </c>
      <c r="H122" s="190">
        <f t="shared" ca="1" si="43"/>
        <v>33.930736660385129</v>
      </c>
      <c r="I122" s="190">
        <f t="shared" ca="1" si="43"/>
        <v>33.930736660385129</v>
      </c>
      <c r="J122" s="190">
        <f t="shared" ca="1" si="43"/>
        <v>33.930736660385129</v>
      </c>
      <c r="K122" s="190">
        <f t="shared" ca="1" si="43"/>
        <v>33.930736660385129</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31.215519207539558</v>
      </c>
      <c r="Z122" s="258">
        <f t="array" aca="1" ref="Z122" ca="1">SUM(B121:Y121*B122:Y122)</f>
        <v>7667.5795568321137</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25</v>
      </c>
      <c r="Z124" s="219">
        <f>SUM(B124:Y124)</f>
        <v>225</v>
      </c>
      <c r="AA124" s="318" t="s">
        <v>174</v>
      </c>
    </row>
    <row r="125" spans="1:29" x14ac:dyDescent="0.2">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33.930736660385129</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31.215519207539558</v>
      </c>
      <c r="Z125" s="259">
        <f t="array" aca="1" ref="Z125" ca="1">SUM(B124:Y124*B125:Y125)</f>
        <v>7566.5353122655142</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25</v>
      </c>
      <c r="Z126" s="220">
        <f>SUM(B126:Y126)</f>
        <v>225</v>
      </c>
    </row>
    <row r="127" spans="1:29" x14ac:dyDescent="0.2">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33.930736660385129</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31.215519207539558</v>
      </c>
      <c r="Z127" s="258">
        <f t="array" aca="1" ref="Z127" ca="1">SUM(B126:Y126*B127:Y127)</f>
        <v>7566.5353122655142</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107</v>
      </c>
      <c r="M139" s="181">
        <f t="shared" si="59"/>
        <v>101</v>
      </c>
      <c r="N139" s="181">
        <f t="shared" si="59"/>
        <v>127</v>
      </c>
      <c r="O139" s="181">
        <f t="shared" si="59"/>
        <v>139</v>
      </c>
      <c r="P139" s="181">
        <f t="shared" si="59"/>
        <v>130</v>
      </c>
      <c r="Q139" s="181">
        <f t="shared" si="59"/>
        <v>120</v>
      </c>
      <c r="R139" s="181">
        <f t="shared" si="59"/>
        <v>94</v>
      </c>
      <c r="S139" s="181">
        <f t="shared" si="59"/>
        <v>126</v>
      </c>
      <c r="T139" s="181">
        <f t="shared" si="59"/>
        <v>215</v>
      </c>
      <c r="U139" s="181">
        <f t="shared" si="59"/>
        <v>215</v>
      </c>
      <c r="V139" s="181">
        <f t="shared" si="59"/>
        <v>160</v>
      </c>
      <c r="W139" s="181">
        <f t="shared" si="59"/>
        <v>120</v>
      </c>
      <c r="X139" s="181">
        <f t="shared" si="59"/>
        <v>120</v>
      </c>
      <c r="Y139" s="181">
        <f t="shared" si="59"/>
        <v>0</v>
      </c>
      <c r="Z139" s="219">
        <f>SUM(B139:Y139)</f>
        <v>1774</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20.725188572957755</v>
      </c>
      <c r="M140" s="189">
        <f t="shared" ca="1" si="60"/>
        <v>21.147979955696663</v>
      </c>
      <c r="N140" s="189">
        <f t="shared" ca="1" si="60"/>
        <v>19.663016247782799</v>
      </c>
      <c r="O140" s="189">
        <f t="shared" ca="1" si="60"/>
        <v>19.211977082076</v>
      </c>
      <c r="P140" s="189">
        <f t="shared" ca="1" si="60"/>
        <v>19.539476861830234</v>
      </c>
      <c r="Q140" s="189">
        <f t="shared" ca="1" si="60"/>
        <v>19.983646868936539</v>
      </c>
      <c r="R140" s="189">
        <f t="shared" ca="1" si="60"/>
        <v>21.723311196667513</v>
      </c>
      <c r="S140" s="189">
        <f t="shared" ca="1" si="60"/>
        <v>19.705957787531947</v>
      </c>
      <c r="T140" s="189">
        <f t="shared" ca="1" si="60"/>
        <v>17.969902273697038</v>
      </c>
      <c r="U140" s="189">
        <f t="shared" ca="1" si="60"/>
        <v>17.969902273697038</v>
      </c>
      <c r="V140" s="189">
        <f t="shared" ca="1" si="60"/>
        <v>18.647458002930641</v>
      </c>
      <c r="W140" s="189">
        <f t="shared" ca="1" si="60"/>
        <v>19.983646868936539</v>
      </c>
      <c r="X140" s="189">
        <f t="shared" ca="1" si="60"/>
        <v>19.983646868936539</v>
      </c>
      <c r="Y140" s="189">
        <f t="shared" ca="1" si="60"/>
        <v>0</v>
      </c>
      <c r="Z140" s="259">
        <f t="array" aca="1" ref="Z140" ca="1">SUM(B139:Y139*B140:Y140)</f>
        <v>34491.04708743831</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-0.48115312112725661</v>
      </c>
      <c r="M143" s="188">
        <f t="shared" ca="1" si="62"/>
        <v>-0.90394450386616398</v>
      </c>
      <c r="N143" s="188">
        <f t="shared" ca="1" si="62"/>
        <v>0.58101920404769913</v>
      </c>
      <c r="O143" s="188">
        <f t="shared" ca="1" si="62"/>
        <v>1.0320583697544983</v>
      </c>
      <c r="P143" s="188">
        <f t="shared" ca="1" si="62"/>
        <v>0.70455859000026422</v>
      </c>
      <c r="Q143" s="188">
        <f t="shared" ca="1" si="62"/>
        <v>0.26038858289395961</v>
      </c>
      <c r="R143" s="188">
        <f t="shared" ca="1" si="62"/>
        <v>-1.4792757448370146</v>
      </c>
      <c r="S143" s="188">
        <f t="shared" ca="1" si="62"/>
        <v>0.53807766429855164</v>
      </c>
      <c r="T143" s="188">
        <f t="shared" ca="1" si="62"/>
        <v>0.26159876032712859</v>
      </c>
      <c r="U143" s="188">
        <f t="shared" ca="1" si="62"/>
        <v>0.26159876032712859</v>
      </c>
      <c r="V143" s="188">
        <f t="shared" ca="1" si="62"/>
        <v>-0.19369464024041605</v>
      </c>
      <c r="W143" s="188">
        <f t="shared" ca="1" si="62"/>
        <v>-1.4381399161719628</v>
      </c>
      <c r="X143" s="188">
        <f t="shared" ca="1" si="62"/>
        <v>-0.95853151348323351</v>
      </c>
      <c r="Y143" s="188">
        <f t="shared" ca="1" si="62"/>
        <v>19.025115355453305</v>
      </c>
      <c r="Z143" s="260">
        <f ca="1">Z140-Z142</f>
        <v>-27223.016409586518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809</v>
      </c>
      <c r="C164" s="303">
        <f t="shared" si="80"/>
        <v>747</v>
      </c>
      <c r="D164" s="303">
        <f t="shared" si="80"/>
        <v>741</v>
      </c>
      <c r="E164" s="303">
        <f t="shared" si="80"/>
        <v>732</v>
      </c>
      <c r="F164" s="303">
        <f t="shared" si="80"/>
        <v>736</v>
      </c>
      <c r="G164" s="303">
        <f t="shared" si="80"/>
        <v>753</v>
      </c>
      <c r="H164" s="303">
        <f t="shared" si="80"/>
        <v>768</v>
      </c>
      <c r="I164" s="303">
        <f t="shared" si="80"/>
        <v>777</v>
      </c>
      <c r="J164" s="303">
        <f t="shared" si="80"/>
        <v>799</v>
      </c>
      <c r="K164" s="303">
        <f t="shared" si="80"/>
        <v>821</v>
      </c>
      <c r="L164" s="303">
        <f t="shared" si="80"/>
        <v>835</v>
      </c>
      <c r="M164" s="303">
        <f t="shared" si="80"/>
        <v>779</v>
      </c>
      <c r="N164" s="303">
        <f t="shared" si="80"/>
        <v>832</v>
      </c>
      <c r="O164" s="303">
        <f t="shared" si="80"/>
        <v>845</v>
      </c>
      <c r="P164" s="303">
        <f t="shared" si="80"/>
        <v>834</v>
      </c>
      <c r="Q164" s="303">
        <f t="shared" si="80"/>
        <v>823</v>
      </c>
      <c r="R164" s="303">
        <f t="shared" si="80"/>
        <v>793</v>
      </c>
      <c r="S164" s="303">
        <f t="shared" si="80"/>
        <v>881</v>
      </c>
      <c r="T164" s="303">
        <f t="shared" si="80"/>
        <v>976</v>
      </c>
      <c r="U164" s="303">
        <f t="shared" si="80"/>
        <v>976</v>
      </c>
      <c r="V164" s="303">
        <f t="shared" si="80"/>
        <v>925</v>
      </c>
      <c r="W164" s="303">
        <f t="shared" si="80"/>
        <v>851</v>
      </c>
      <c r="X164" s="303">
        <f t="shared" si="80"/>
        <v>851</v>
      </c>
      <c r="Y164" s="304">
        <f t="shared" si="80"/>
        <v>797</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919</v>
      </c>
      <c r="D165" s="306">
        <f t="shared" si="81"/>
        <v>889</v>
      </c>
      <c r="E165" s="306">
        <f t="shared" si="81"/>
        <v>888</v>
      </c>
      <c r="F165" s="306">
        <f t="shared" si="81"/>
        <v>899</v>
      </c>
      <c r="G165" s="306">
        <f t="shared" si="81"/>
        <v>909</v>
      </c>
      <c r="H165" s="306">
        <f t="shared" si="81"/>
        <v>934</v>
      </c>
      <c r="I165" s="306">
        <f t="shared" si="81"/>
        <v>919</v>
      </c>
      <c r="J165" s="306">
        <f t="shared" si="81"/>
        <v>919</v>
      </c>
      <c r="K165" s="306">
        <f t="shared" si="81"/>
        <v>919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959</v>
      </c>
      <c r="Z165" s="271"/>
      <c r="AA165" s="174">
        <f ca="1">Z163+Z158+Z153+Z148+Z143+Z138+Z133+Z128+Z123+Z118+Z113+Z108+Z103+Z100+Z97+Z94+Z91</f>
        <v>-57122.485863753936</v>
      </c>
    </row>
    <row r="166" spans="1:27" x14ac:dyDescent="0.2">
      <c r="A166" s="330" t="s">
        <v>184</v>
      </c>
      <c r="B166" s="331">
        <f t="shared" ref="B166:Y166" si="82">B165-B164</f>
        <v>211</v>
      </c>
      <c r="C166" s="331">
        <f t="shared" si="82"/>
        <v>172</v>
      </c>
      <c r="D166" s="331">
        <f t="shared" si="82"/>
        <v>148</v>
      </c>
      <c r="E166" s="331">
        <f t="shared" si="82"/>
        <v>156</v>
      </c>
      <c r="F166" s="331">
        <f t="shared" si="82"/>
        <v>163</v>
      </c>
      <c r="G166" s="331">
        <f t="shared" si="82"/>
        <v>156</v>
      </c>
      <c r="H166" s="331">
        <f t="shared" si="82"/>
        <v>166</v>
      </c>
      <c r="I166" s="331">
        <f t="shared" si="82"/>
        <v>142</v>
      </c>
      <c r="J166" s="331">
        <f t="shared" si="82"/>
        <v>120</v>
      </c>
      <c r="K166" s="331">
        <f t="shared" si="82"/>
        <v>98</v>
      </c>
      <c r="L166" s="331">
        <f t="shared" si="82"/>
        <v>95</v>
      </c>
      <c r="M166" s="331">
        <f t="shared" si="82"/>
        <v>151</v>
      </c>
      <c r="N166" s="331">
        <f t="shared" si="82"/>
        <v>98</v>
      </c>
      <c r="O166" s="331">
        <f t="shared" si="82"/>
        <v>85</v>
      </c>
      <c r="P166" s="331">
        <f t="shared" si="82"/>
        <v>96</v>
      </c>
      <c r="Q166" s="331">
        <f t="shared" si="82"/>
        <v>107</v>
      </c>
      <c r="R166" s="331">
        <f t="shared" si="82"/>
        <v>137</v>
      </c>
      <c r="S166" s="331">
        <f t="shared" si="82"/>
        <v>49</v>
      </c>
      <c r="T166" s="331">
        <f t="shared" si="82"/>
        <v>53</v>
      </c>
      <c r="U166" s="331">
        <f t="shared" si="82"/>
        <v>78</v>
      </c>
      <c r="V166" s="331">
        <f t="shared" si="82"/>
        <v>43</v>
      </c>
      <c r="W166" s="331">
        <f t="shared" si="82"/>
        <v>87</v>
      </c>
      <c r="X166" s="331">
        <f t="shared" si="82"/>
        <v>58</v>
      </c>
      <c r="Y166" s="332">
        <f t="shared" si="82"/>
        <v>162</v>
      </c>
      <c r="Z166" s="336">
        <f>SUM(B166:Y166)</f>
        <v>2831</v>
      </c>
    </row>
    <row r="167" spans="1:27" s="325" customFormat="1" ht="32.25" customHeight="1" thickBot="1" x14ac:dyDescent="0.25">
      <c r="A167" s="333" t="s">
        <v>185</v>
      </c>
      <c r="B167" s="334">
        <f t="shared" ref="B167:Y167" ca="1" si="83">B58</f>
        <v>5</v>
      </c>
      <c r="C167" s="334">
        <f t="shared" ca="1" si="83"/>
        <v>-3</v>
      </c>
      <c r="D167" s="334">
        <f t="shared" ca="1" si="83"/>
        <v>2</v>
      </c>
      <c r="E167" s="334">
        <f ca="1">E58</f>
        <v>0</v>
      </c>
      <c r="F167" s="334">
        <f t="shared" ca="1" si="83"/>
        <v>0</v>
      </c>
      <c r="G167" s="334">
        <f t="shared" ca="1" si="83"/>
        <v>2</v>
      </c>
      <c r="H167" s="334">
        <f t="shared" ca="1" si="83"/>
        <v>9</v>
      </c>
      <c r="I167" s="334">
        <f t="shared" ca="1" si="83"/>
        <v>-3</v>
      </c>
      <c r="J167" s="334">
        <f t="shared" ca="1" si="83"/>
        <v>-7</v>
      </c>
      <c r="K167" s="334">
        <f t="shared" ca="1" si="83"/>
        <v>-6</v>
      </c>
      <c r="L167" s="334">
        <f t="shared" ca="1" si="83"/>
        <v>0</v>
      </c>
      <c r="M167" s="334">
        <f t="shared" ca="1" si="83"/>
        <v>1</v>
      </c>
      <c r="N167" s="334">
        <f t="shared" ca="1" si="83"/>
        <v>2</v>
      </c>
      <c r="O167" s="334">
        <f t="shared" ca="1" si="83"/>
        <v>-2</v>
      </c>
      <c r="P167" s="334">
        <f t="shared" ca="1" si="83"/>
        <v>-1</v>
      </c>
      <c r="Q167" s="334">
        <f t="shared" ca="1" si="83"/>
        <v>-6</v>
      </c>
      <c r="R167" s="334">
        <f t="shared" ca="1" si="83"/>
        <v>0</v>
      </c>
      <c r="S167" s="334">
        <f t="shared" ca="1" si="83"/>
        <v>9</v>
      </c>
      <c r="T167" s="334">
        <f t="shared" ca="1" si="83"/>
        <v>4</v>
      </c>
      <c r="U167" s="334">
        <f t="shared" ca="1" si="83"/>
        <v>-15</v>
      </c>
      <c r="V167" s="334">
        <f t="shared" ca="1" si="83"/>
        <v>1</v>
      </c>
      <c r="W167" s="334">
        <f t="shared" ca="1" si="83"/>
        <v>-68</v>
      </c>
      <c r="X167" s="334">
        <f t="shared" ca="1" si="83"/>
        <v>9</v>
      </c>
      <c r="Y167" s="335">
        <f t="shared" ca="1" si="83"/>
        <v>-42</v>
      </c>
      <c r="Z167" s="323">
        <f ca="1">SUM(B167:Y167)</f>
        <v>-109</v>
      </c>
      <c r="AA167" s="324"/>
    </row>
    <row r="168" spans="1:27" ht="13.5" hidden="1" thickBot="1" x14ac:dyDescent="0.25">
      <c r="A168" s="326" t="s">
        <v>186</v>
      </c>
      <c r="B168" s="327">
        <f t="shared" ref="B168:Y168" ca="1" si="84">B167+B166</f>
        <v>216</v>
      </c>
      <c r="C168" s="327">
        <f t="shared" ca="1" si="84"/>
        <v>169</v>
      </c>
      <c r="D168" s="327">
        <f t="shared" ca="1" si="84"/>
        <v>150</v>
      </c>
      <c r="E168" s="327">
        <f t="shared" ca="1" si="84"/>
        <v>156</v>
      </c>
      <c r="F168" s="327">
        <f t="shared" ca="1" si="84"/>
        <v>163</v>
      </c>
      <c r="G168" s="327">
        <f t="shared" ca="1" si="84"/>
        <v>158</v>
      </c>
      <c r="H168" s="327">
        <f t="shared" ca="1" si="84"/>
        <v>175</v>
      </c>
      <c r="I168" s="327">
        <f t="shared" ca="1" si="84"/>
        <v>139</v>
      </c>
      <c r="J168" s="327">
        <f t="shared" ca="1" si="84"/>
        <v>113</v>
      </c>
      <c r="K168" s="327">
        <f t="shared" ca="1" si="84"/>
        <v>92</v>
      </c>
      <c r="L168" s="327">
        <f t="shared" ca="1" si="84"/>
        <v>95</v>
      </c>
      <c r="M168" s="327">
        <f t="shared" ca="1" si="84"/>
        <v>152</v>
      </c>
      <c r="N168" s="327">
        <f t="shared" ca="1" si="84"/>
        <v>100</v>
      </c>
      <c r="O168" s="327">
        <f t="shared" ca="1" si="84"/>
        <v>83</v>
      </c>
      <c r="P168" s="327">
        <f t="shared" ca="1" si="84"/>
        <v>95</v>
      </c>
      <c r="Q168" s="327">
        <f t="shared" ca="1" si="84"/>
        <v>101</v>
      </c>
      <c r="R168" s="327">
        <f t="shared" ca="1" si="84"/>
        <v>137</v>
      </c>
      <c r="S168" s="327">
        <f t="shared" ca="1" si="84"/>
        <v>58</v>
      </c>
      <c r="T168" s="327">
        <f t="shared" ca="1" si="84"/>
        <v>57</v>
      </c>
      <c r="U168" s="327">
        <f t="shared" ca="1" si="84"/>
        <v>63</v>
      </c>
      <c r="V168" s="327">
        <f t="shared" ca="1" si="84"/>
        <v>44</v>
      </c>
      <c r="W168" s="327">
        <f t="shared" ca="1" si="84"/>
        <v>19</v>
      </c>
      <c r="X168" s="327">
        <f t="shared" ca="1" si="84"/>
        <v>67</v>
      </c>
      <c r="Y168" s="327">
        <f t="shared" ca="1" si="84"/>
        <v>120</v>
      </c>
      <c r="Z168" s="328">
        <f ca="1">SUM(B168:Y168)</f>
        <v>2722</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2722</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252</v>
      </c>
      <c r="C171" s="338">
        <f t="shared" si="85"/>
        <v>244</v>
      </c>
      <c r="D171" s="338">
        <f t="shared" si="85"/>
        <v>250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258</v>
      </c>
      <c r="F171" s="338">
        <f t="shared" si="85"/>
        <v>255</v>
      </c>
      <c r="G171" s="338">
        <f t="shared" si="85"/>
        <v>238</v>
      </c>
      <c r="H171" s="338">
        <f t="shared" si="85"/>
        <v>222</v>
      </c>
      <c r="I171" s="338">
        <f t="shared" si="85"/>
        <v>213</v>
      </c>
      <c r="J171" s="338">
        <f t="shared" si="85"/>
        <v>191</v>
      </c>
      <c r="K171" s="338">
        <f t="shared" si="85"/>
        <v>169</v>
      </c>
      <c r="L171" s="338">
        <f t="shared" si="85"/>
        <v>222</v>
      </c>
      <c r="M171" s="338">
        <f t="shared" si="85"/>
        <v>169</v>
      </c>
      <c r="N171" s="338">
        <f t="shared" si="85"/>
        <v>243</v>
      </c>
      <c r="O171" s="338">
        <f t="shared" si="85"/>
        <v>230</v>
      </c>
      <c r="P171" s="338">
        <f t="shared" si="85"/>
        <v>241</v>
      </c>
      <c r="Q171" s="338">
        <f t="shared" si="85"/>
        <v>247</v>
      </c>
      <c r="R171" s="338">
        <f t="shared" si="85"/>
        <v>250</v>
      </c>
      <c r="S171" s="338">
        <f t="shared" si="85"/>
        <v>263</v>
      </c>
      <c r="T171" s="338">
        <f t="shared" si="85"/>
        <v>168</v>
      </c>
      <c r="U171" s="338">
        <f t="shared" si="85"/>
        <v>168</v>
      </c>
      <c r="V171" s="338">
        <f t="shared" si="85"/>
        <v>219</v>
      </c>
      <c r="W171" s="338">
        <f t="shared" si="85"/>
        <v>218</v>
      </c>
      <c r="X171" s="338">
        <f t="shared" si="85"/>
        <v>218</v>
      </c>
      <c r="Y171" s="339">
        <f t="shared" si="85"/>
        <v>203</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228</v>
      </c>
      <c r="G172" s="341">
        <f t="shared" si="86"/>
        <v>228</v>
      </c>
      <c r="H172" s="341">
        <f t="shared" si="86"/>
        <v>184</v>
      </c>
      <c r="I172" s="341">
        <f t="shared" si="86"/>
        <v>199</v>
      </c>
      <c r="J172" s="341">
        <f t="shared" si="86"/>
        <v>199</v>
      </c>
      <c r="K172" s="341">
        <f t="shared" si="86"/>
        <v>199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159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-57122.485863753915</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6"/>
  <sheetViews>
    <sheetView showGridLines="0" zoomScale="60" zoomScaleNormal="65" workbookViewId="0">
      <selection activeCell="F74" sqref="F74"/>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75</v>
      </c>
      <c r="G3" s="660">
        <v>75</v>
      </c>
      <c r="H3" s="660">
        <v>75</v>
      </c>
      <c r="I3" s="660">
        <v>75</v>
      </c>
      <c r="J3" s="660">
        <v>75</v>
      </c>
      <c r="K3" s="660">
        <v>75</v>
      </c>
      <c r="L3" s="660">
        <v>75</v>
      </c>
      <c r="M3" s="660">
        <v>90</v>
      </c>
      <c r="N3" s="660">
        <v>100</v>
      </c>
      <c r="O3" s="660">
        <v>100</v>
      </c>
      <c r="P3" s="660">
        <v>100</v>
      </c>
      <c r="Q3" s="660">
        <v>100</v>
      </c>
      <c r="R3" s="660">
        <v>80</v>
      </c>
      <c r="S3" s="660">
        <v>80</v>
      </c>
      <c r="T3" s="660">
        <v>80</v>
      </c>
      <c r="U3" s="660">
        <v>80</v>
      </c>
      <c r="V3" s="660">
        <v>70</v>
      </c>
      <c r="W3" s="660">
        <v>70</v>
      </c>
      <c r="X3" s="660">
        <v>100</v>
      </c>
      <c r="Y3" s="714">
        <v>110</v>
      </c>
      <c r="Z3" s="714">
        <v>110</v>
      </c>
      <c r="AA3" s="714">
        <v>110</v>
      </c>
      <c r="AB3" s="714">
        <v>110</v>
      </c>
      <c r="AC3" s="714">
        <v>100</v>
      </c>
      <c r="AD3" s="601">
        <f>SUM(F3:AC3)</f>
        <v>2115</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60</v>
      </c>
      <c r="G4" s="598">
        <v>55</v>
      </c>
      <c r="H4" s="598">
        <v>55</v>
      </c>
      <c r="I4" s="598">
        <v>55</v>
      </c>
      <c r="J4" s="598">
        <v>55</v>
      </c>
      <c r="K4" s="598">
        <v>55</v>
      </c>
      <c r="L4" s="598">
        <v>60</v>
      </c>
      <c r="M4" s="598">
        <v>65</v>
      </c>
      <c r="N4" s="598">
        <v>70</v>
      </c>
      <c r="O4" s="598">
        <v>70</v>
      </c>
      <c r="P4" s="598">
        <v>70</v>
      </c>
      <c r="Q4" s="598">
        <v>65</v>
      </c>
      <c r="R4" s="598">
        <v>65</v>
      </c>
      <c r="S4" s="598">
        <v>65</v>
      </c>
      <c r="T4" s="598">
        <v>65</v>
      </c>
      <c r="U4" s="598">
        <v>65</v>
      </c>
      <c r="V4" s="598">
        <v>65</v>
      </c>
      <c r="W4" s="598">
        <v>65</v>
      </c>
      <c r="X4" s="598">
        <v>65</v>
      </c>
      <c r="Y4" s="715">
        <v>75</v>
      </c>
      <c r="Z4" s="715">
        <v>75</v>
      </c>
      <c r="AA4" s="715">
        <v>70</v>
      </c>
      <c r="AB4" s="715">
        <v>65</v>
      </c>
      <c r="AC4" s="715">
        <v>60</v>
      </c>
      <c r="AD4" s="565">
        <f>SUM(F4:AC4)</f>
        <v>1535</v>
      </c>
      <c r="AE4" s="566">
        <f>AD4*D4</f>
        <v>0</v>
      </c>
      <c r="AF4" s="526"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v>-130</v>
      </c>
      <c r="G7" s="676">
        <v>-130</v>
      </c>
      <c r="H7" s="676">
        <v>-130</v>
      </c>
      <c r="I7" s="676">
        <v>-130</v>
      </c>
      <c r="J7" s="676">
        <v>-130</v>
      </c>
      <c r="K7" s="676">
        <v>-130</v>
      </c>
      <c r="L7" s="676">
        <v>-130</v>
      </c>
      <c r="M7" s="676">
        <v>-80</v>
      </c>
      <c r="N7" s="676">
        <v>-80</v>
      </c>
      <c r="O7" s="676">
        <v>-80</v>
      </c>
      <c r="P7" s="676">
        <v>-80</v>
      </c>
      <c r="Q7" s="676">
        <v>-80</v>
      </c>
      <c r="R7" s="676">
        <v>-80</v>
      </c>
      <c r="S7" s="676">
        <v>-80</v>
      </c>
      <c r="T7" s="676">
        <v>-80</v>
      </c>
      <c r="U7" s="676">
        <v>-80</v>
      </c>
      <c r="V7" s="676">
        <v>-80</v>
      </c>
      <c r="W7" s="676">
        <v>-133</v>
      </c>
      <c r="X7" s="676">
        <v>-133</v>
      </c>
      <c r="Y7" s="676">
        <v>-133</v>
      </c>
      <c r="Z7" s="676">
        <v>-133</v>
      </c>
      <c r="AA7" s="676">
        <v>-80</v>
      </c>
      <c r="AB7" s="676">
        <v>-100</v>
      </c>
      <c r="AC7" s="676">
        <v>-100</v>
      </c>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5" x14ac:dyDescent="0.25">
      <c r="A16" s="692"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
      <c r="A17" s="581" t="s">
        <v>267</v>
      </c>
      <c r="B17" s="471" t="s">
        <v>240</v>
      </c>
      <c r="C17" s="471" t="s">
        <v>151</v>
      </c>
      <c r="D17" s="472">
        <f>F100</f>
        <v>0</v>
      </c>
      <c r="E17" s="472"/>
      <c r="F17" s="475">
        <v>0</v>
      </c>
      <c r="G17" s="625"/>
      <c r="H17" s="475"/>
      <c r="I17" s="472">
        <f>K100</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F101</f>
        <v>0</v>
      </c>
      <c r="E18" s="472"/>
      <c r="F18" s="475"/>
      <c r="G18" s="475"/>
      <c r="H18" s="475"/>
      <c r="I18" s="472">
        <f>K101</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F102</f>
        <v>0</v>
      </c>
      <c r="E19" s="472"/>
      <c r="F19" s="475"/>
      <c r="G19" s="625"/>
      <c r="H19" s="475"/>
      <c r="I19" s="472">
        <f>K102</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F103</f>
        <v>0</v>
      </c>
      <c r="E20" s="472"/>
      <c r="F20" s="475"/>
      <c r="G20" s="625"/>
      <c r="H20" s="475"/>
      <c r="I20" s="472">
        <f>K103</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F104</f>
        <v>0</v>
      </c>
      <c r="E21" s="472"/>
      <c r="F21" s="475"/>
      <c r="G21" s="625"/>
      <c r="H21" s="475"/>
      <c r="I21" s="472">
        <f t="shared" ref="I21:I40" si="4">K104</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F130</f>
        <v>0</v>
      </c>
      <c r="E42" s="472"/>
      <c r="F42" s="475">
        <v>0</v>
      </c>
      <c r="G42" s="475"/>
      <c r="H42" s="475"/>
      <c r="I42" s="472">
        <f t="shared" ref="I42:I64" si="6">K130</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475"/>
      <c r="G66" s="475"/>
      <c r="H66" s="475"/>
      <c r="I66" s="655"/>
      <c r="J66" s="475"/>
      <c r="K66" s="475"/>
      <c r="L66" s="475"/>
      <c r="M66" s="475"/>
      <c r="N66" s="475"/>
      <c r="O66" s="475"/>
      <c r="P66" s="475"/>
      <c r="Q66" s="475"/>
      <c r="R66" s="475"/>
      <c r="S66" s="688"/>
      <c r="T66" s="475"/>
      <c r="U66" s="475"/>
      <c r="V66" s="475"/>
      <c r="W66" s="475"/>
      <c r="X66" s="475"/>
      <c r="Y66" s="475"/>
      <c r="Z66" s="475"/>
      <c r="AA66" s="475"/>
      <c r="AB66" s="475"/>
      <c r="AC66" s="475"/>
      <c r="AD66" s="563">
        <f t="shared" ref="AD66:AD72" si="9">SUM(E66:AC66)</f>
        <v>0</v>
      </c>
      <c r="AE66" s="649">
        <f t="shared" ref="AE66:AE72" si="10">AD66*D66</f>
        <v>0</v>
      </c>
      <c r="AF66" s="650" t="str">
        <f t="shared" ref="AF66:AF72" si="11">IF(AD66&lt;0,"buy","sell")</f>
        <v>sell</v>
      </c>
    </row>
    <row r="67" spans="1:32" s="356" customFormat="1" ht="12.75" customHeight="1" x14ac:dyDescent="0.2">
      <c r="A67" s="585" t="s">
        <v>224</v>
      </c>
      <c r="B67" s="584" t="s">
        <v>240</v>
      </c>
      <c r="C67" s="584" t="s">
        <v>151</v>
      </c>
      <c r="D67" s="655"/>
      <c r="E67" s="654"/>
      <c r="F67" s="475">
        <v>50</v>
      </c>
      <c r="G67" s="475">
        <v>50</v>
      </c>
      <c r="H67" s="475">
        <v>50</v>
      </c>
      <c r="I67" s="475">
        <v>50</v>
      </c>
      <c r="J67" s="475">
        <v>50</v>
      </c>
      <c r="K67" s="475">
        <v>50</v>
      </c>
      <c r="L67" s="475">
        <v>50</v>
      </c>
      <c r="M67" s="475">
        <v>50</v>
      </c>
      <c r="N67" s="475">
        <v>50</v>
      </c>
      <c r="O67" s="475">
        <v>50</v>
      </c>
      <c r="P67" s="475">
        <v>50</v>
      </c>
      <c r="Q67" s="475">
        <v>50</v>
      </c>
      <c r="R67" s="475">
        <v>50</v>
      </c>
      <c r="S67" s="475">
        <v>50</v>
      </c>
      <c r="T67" s="475">
        <v>50</v>
      </c>
      <c r="U67" s="475">
        <v>50</v>
      </c>
      <c r="V67" s="475">
        <v>50</v>
      </c>
      <c r="W67" s="475">
        <v>50</v>
      </c>
      <c r="X67" s="475">
        <v>50</v>
      </c>
      <c r="Y67" s="475">
        <v>50</v>
      </c>
      <c r="Z67" s="475">
        <v>50</v>
      </c>
      <c r="AA67" s="475">
        <v>50</v>
      </c>
      <c r="AB67" s="475">
        <v>50</v>
      </c>
      <c r="AC67" s="475">
        <v>50</v>
      </c>
      <c r="AD67" s="563">
        <f t="shared" si="9"/>
        <v>1200</v>
      </c>
      <c r="AE67" s="649">
        <f t="shared" si="10"/>
        <v>0</v>
      </c>
      <c r="AF67" s="650" t="str">
        <f t="shared" si="11"/>
        <v>sell</v>
      </c>
    </row>
    <row r="68" spans="1:32" s="356" customFormat="1" ht="12.75" customHeight="1" x14ac:dyDescent="0.2">
      <c r="A68" s="585" t="s">
        <v>67</v>
      </c>
      <c r="B68" s="587" t="s">
        <v>240</v>
      </c>
      <c r="C68" s="584" t="s">
        <v>151</v>
      </c>
      <c r="D68" s="655"/>
      <c r="E68" s="654"/>
      <c r="F68" s="475">
        <v>25</v>
      </c>
      <c r="G68" s="475">
        <v>25</v>
      </c>
      <c r="H68" s="475">
        <v>25</v>
      </c>
      <c r="I68" s="475">
        <v>25</v>
      </c>
      <c r="J68" s="475">
        <v>25</v>
      </c>
      <c r="K68" s="475">
        <v>25</v>
      </c>
      <c r="L68" s="475">
        <v>25</v>
      </c>
      <c r="M68" s="475"/>
      <c r="N68" s="475"/>
      <c r="O68" s="475"/>
      <c r="P68" s="475"/>
      <c r="Q68" s="475"/>
      <c r="R68" s="475"/>
      <c r="S68" s="475"/>
      <c r="T68" s="475"/>
      <c r="U68" s="475"/>
      <c r="V68" s="475"/>
      <c r="W68" s="475"/>
      <c r="X68" s="475"/>
      <c r="Y68" s="475"/>
      <c r="Z68" s="475"/>
      <c r="AA68" s="475"/>
      <c r="AB68" s="475"/>
      <c r="AC68" s="475">
        <v>25</v>
      </c>
      <c r="AD68" s="563">
        <f t="shared" si="9"/>
        <v>200</v>
      </c>
      <c r="AE68" s="649">
        <f t="shared" si="10"/>
        <v>0</v>
      </c>
      <c r="AF68" s="650" t="str">
        <f t="shared" si="11"/>
        <v>sell</v>
      </c>
    </row>
    <row r="69" spans="1:32" s="356" customFormat="1" ht="12.75" customHeight="1" x14ac:dyDescent="0.2">
      <c r="A69" s="585" t="s">
        <v>382</v>
      </c>
      <c r="B69" s="587" t="s">
        <v>240</v>
      </c>
      <c r="C69" s="584" t="s">
        <v>151</v>
      </c>
      <c r="D69" s="655"/>
      <c r="E69" s="654"/>
      <c r="F69" s="475">
        <v>25</v>
      </c>
      <c r="G69" s="475">
        <v>25</v>
      </c>
      <c r="H69" s="475">
        <v>25</v>
      </c>
      <c r="I69" s="475">
        <v>25</v>
      </c>
      <c r="J69" s="475">
        <v>25</v>
      </c>
      <c r="K69" s="475">
        <v>25</v>
      </c>
      <c r="L69" s="475">
        <v>25</v>
      </c>
      <c r="M69" s="475"/>
      <c r="N69" s="475"/>
      <c r="O69" s="475"/>
      <c r="P69" s="475"/>
      <c r="Q69" s="475"/>
      <c r="R69" s="475"/>
      <c r="S69" s="475"/>
      <c r="T69" s="475"/>
      <c r="U69" s="475"/>
      <c r="V69" s="475"/>
      <c r="W69" s="475"/>
      <c r="X69" s="475"/>
      <c r="Y69" s="475"/>
      <c r="Z69" s="475"/>
      <c r="AA69" s="475"/>
      <c r="AB69" s="475"/>
      <c r="AC69" s="475">
        <v>25</v>
      </c>
      <c r="AD69" s="563">
        <f t="shared" si="9"/>
        <v>200</v>
      </c>
      <c r="AE69" s="649">
        <f t="shared" si="10"/>
        <v>0</v>
      </c>
      <c r="AF69" s="650" t="str">
        <f t="shared" si="11"/>
        <v>sell</v>
      </c>
    </row>
    <row r="70" spans="1:32" s="356" customFormat="1" ht="12.75" customHeight="1" x14ac:dyDescent="0.2">
      <c r="A70" s="585" t="s">
        <v>224</v>
      </c>
      <c r="B70" s="587" t="s">
        <v>240</v>
      </c>
      <c r="C70" s="584" t="s">
        <v>268</v>
      </c>
      <c r="D70" s="655">
        <v>22.25</v>
      </c>
      <c r="E70" s="654"/>
      <c r="F70" s="475">
        <v>25</v>
      </c>
      <c r="G70" s="475">
        <v>25</v>
      </c>
      <c r="H70" s="475">
        <v>25</v>
      </c>
      <c r="I70" s="475">
        <v>25</v>
      </c>
      <c r="J70" s="475">
        <v>25</v>
      </c>
      <c r="K70" s="475">
        <v>25</v>
      </c>
      <c r="L70" s="475">
        <v>25</v>
      </c>
      <c r="M70" s="475">
        <v>25</v>
      </c>
      <c r="N70" s="475">
        <v>25</v>
      </c>
      <c r="O70" s="475">
        <v>25</v>
      </c>
      <c r="P70" s="475">
        <v>25</v>
      </c>
      <c r="Q70" s="475">
        <v>25</v>
      </c>
      <c r="R70" s="475">
        <v>25</v>
      </c>
      <c r="S70" s="475">
        <v>25</v>
      </c>
      <c r="T70" s="475">
        <v>25</v>
      </c>
      <c r="U70" s="475">
        <v>25</v>
      </c>
      <c r="V70" s="475">
        <v>25</v>
      </c>
      <c r="W70" s="475">
        <v>25</v>
      </c>
      <c r="X70" s="475">
        <v>25</v>
      </c>
      <c r="Y70" s="475">
        <v>25</v>
      </c>
      <c r="Z70" s="475">
        <v>25</v>
      </c>
      <c r="AA70" s="475">
        <v>25</v>
      </c>
      <c r="AB70" s="475">
        <v>25</v>
      </c>
      <c r="AC70" s="475">
        <v>25</v>
      </c>
      <c r="AD70" s="563">
        <f t="shared" si="9"/>
        <v>600</v>
      </c>
      <c r="AE70" s="649">
        <f t="shared" si="10"/>
        <v>13350</v>
      </c>
      <c r="AF70" s="650" t="str">
        <f t="shared" si="11"/>
        <v>sell</v>
      </c>
    </row>
    <row r="71" spans="1:32" s="356" customFormat="1" ht="12.75" customHeight="1" x14ac:dyDescent="0.2">
      <c r="A71" s="585" t="s">
        <v>63</v>
      </c>
      <c r="B71" s="587" t="s">
        <v>240</v>
      </c>
      <c r="C71" s="584" t="s">
        <v>268</v>
      </c>
      <c r="D71" s="655"/>
      <c r="E71" s="654"/>
      <c r="F71" s="475">
        <v>30</v>
      </c>
      <c r="G71" s="475">
        <v>30</v>
      </c>
      <c r="H71" s="475">
        <v>30</v>
      </c>
      <c r="I71" s="475">
        <v>30</v>
      </c>
      <c r="J71" s="475">
        <v>30</v>
      </c>
      <c r="K71" s="475">
        <v>30</v>
      </c>
      <c r="L71" s="475">
        <v>30</v>
      </c>
      <c r="M71" s="475">
        <v>30</v>
      </c>
      <c r="N71" s="475">
        <v>30</v>
      </c>
      <c r="O71" s="475">
        <v>30</v>
      </c>
      <c r="P71" s="475">
        <v>30</v>
      </c>
      <c r="Q71" s="475">
        <v>30</v>
      </c>
      <c r="R71" s="475">
        <v>30</v>
      </c>
      <c r="S71" s="475">
        <v>30</v>
      </c>
      <c r="T71" s="475">
        <v>30</v>
      </c>
      <c r="U71" s="475">
        <v>30</v>
      </c>
      <c r="V71" s="475">
        <v>30</v>
      </c>
      <c r="W71" s="475">
        <v>30</v>
      </c>
      <c r="X71" s="475">
        <v>30</v>
      </c>
      <c r="Y71" s="475">
        <v>30</v>
      </c>
      <c r="Z71" s="475">
        <v>30</v>
      </c>
      <c r="AA71" s="475">
        <v>30</v>
      </c>
      <c r="AB71" s="475">
        <v>30</v>
      </c>
      <c r="AC71" s="475">
        <v>30</v>
      </c>
      <c r="AD71" s="563">
        <f>SUM(E71:AC71)</f>
        <v>720</v>
      </c>
      <c r="AE71" s="649">
        <f>AD71*D71</f>
        <v>0</v>
      </c>
      <c r="AF71" s="650" t="str">
        <f>IF(AD71&lt;0,"buy","sell")</f>
        <v>sell</v>
      </c>
    </row>
    <row r="72" spans="1:32" s="356" customFormat="1" ht="12.75" customHeight="1" x14ac:dyDescent="0.2">
      <c r="A72" s="585"/>
      <c r="B72" s="584"/>
      <c r="C72" s="584"/>
      <c r="D72" s="655"/>
      <c r="E72" s="654"/>
      <c r="F72" s="475"/>
      <c r="G72" s="475"/>
      <c r="H72" s="475"/>
      <c r="I72" s="475"/>
      <c r="J72" s="475"/>
      <c r="K72" s="475"/>
      <c r="L72" s="475"/>
      <c r="M72" s="475"/>
      <c r="N72" s="475"/>
      <c r="O72" s="475"/>
      <c r="P72" s="475"/>
      <c r="Q72" s="475"/>
      <c r="R72" s="475"/>
      <c r="S72" s="688"/>
      <c r="T72" s="688"/>
      <c r="U72" s="688"/>
      <c r="V72" s="688"/>
      <c r="W72" s="688"/>
      <c r="X72" s="688"/>
      <c r="Y72" s="688"/>
      <c r="Z72" s="688"/>
      <c r="AA72" s="688"/>
      <c r="AB72" s="688"/>
      <c r="AC72" s="475"/>
      <c r="AD72" s="563">
        <f t="shared" si="9"/>
        <v>0</v>
      </c>
      <c r="AE72" s="649">
        <f t="shared" si="10"/>
        <v>0</v>
      </c>
      <c r="AF72" s="650" t="str">
        <f t="shared" si="11"/>
        <v>sell</v>
      </c>
    </row>
    <row r="73" spans="1:32" s="356" customFormat="1" ht="15" x14ac:dyDescent="0.25">
      <c r="A73" s="692" t="s">
        <v>361</v>
      </c>
      <c r="B73" s="643"/>
      <c r="C73" s="578"/>
      <c r="D73" s="643"/>
      <c r="E73" s="363"/>
      <c r="F73" s="624"/>
      <c r="G73" s="624"/>
      <c r="H73" s="624"/>
      <c r="I73" s="624"/>
      <c r="J73" s="624"/>
      <c r="K73" s="624"/>
      <c r="L73" s="624"/>
      <c r="M73" s="624"/>
      <c r="N73" s="624"/>
      <c r="O73" s="624"/>
      <c r="P73" s="624"/>
      <c r="Q73" s="624"/>
      <c r="R73" s="624"/>
      <c r="S73" s="687"/>
      <c r="T73" s="624"/>
      <c r="U73" s="624"/>
      <c r="V73" s="624"/>
      <c r="W73" s="624"/>
      <c r="X73" s="624"/>
      <c r="Y73" s="624"/>
      <c r="Z73" s="624"/>
      <c r="AA73" s="624"/>
      <c r="AB73" s="624"/>
      <c r="AC73" s="624"/>
      <c r="AD73" s="643"/>
      <c r="AE73" s="646"/>
      <c r="AF73" s="646"/>
    </row>
    <row r="74" spans="1:32" s="356" customFormat="1" x14ac:dyDescent="0.2">
      <c r="A74" s="586"/>
      <c r="B74" s="589"/>
      <c r="C74" s="589"/>
      <c r="D74" s="717"/>
      <c r="E74" s="583"/>
      <c r="F74" s="656"/>
      <c r="G74" s="656"/>
      <c r="H74" s="656"/>
      <c r="I74" s="656"/>
      <c r="J74" s="656"/>
      <c r="K74" s="656"/>
      <c r="L74" s="656"/>
      <c r="M74" s="656"/>
      <c r="N74" s="656"/>
      <c r="O74" s="656"/>
      <c r="P74" s="656"/>
      <c r="Q74" s="656"/>
      <c r="R74" s="656"/>
      <c r="S74" s="689"/>
      <c r="T74" s="656"/>
      <c r="U74" s="656"/>
      <c r="V74" s="656"/>
      <c r="W74" s="656"/>
      <c r="X74" s="656"/>
      <c r="Y74" s="656"/>
      <c r="Z74" s="656"/>
      <c r="AA74" s="656"/>
      <c r="AB74" s="656"/>
      <c r="AC74" s="656"/>
      <c r="AD74" s="563">
        <f t="shared" ref="AD74:AD82" si="12">SUM(E74:AC74)</f>
        <v>0</v>
      </c>
      <c r="AE74" s="649">
        <f t="shared" ref="AE74:AE82" si="13">AD74*D74</f>
        <v>0</v>
      </c>
      <c r="AF74" s="650" t="str">
        <f t="shared" ref="AF74:AF82" si="14">IF(AD74&lt;0,"buy","sell")</f>
        <v>sell</v>
      </c>
    </row>
    <row r="75" spans="1:32" s="356" customFormat="1" x14ac:dyDescent="0.2">
      <c r="A75" s="586" t="s">
        <v>63</v>
      </c>
      <c r="B75" s="589" t="s">
        <v>385</v>
      </c>
      <c r="C75" s="589" t="s">
        <v>268</v>
      </c>
      <c r="D75" s="588">
        <v>15</v>
      </c>
      <c r="E75" s="583"/>
      <c r="F75" s="656">
        <v>25</v>
      </c>
      <c r="G75" s="716"/>
      <c r="H75" s="716"/>
      <c r="I75" s="716"/>
      <c r="J75" s="716"/>
      <c r="K75" s="716"/>
      <c r="L75" s="716"/>
      <c r="M75" s="716"/>
      <c r="N75" s="656"/>
      <c r="O75" s="656"/>
      <c r="P75" s="656"/>
      <c r="Q75" s="656"/>
      <c r="R75" s="656"/>
      <c r="S75" s="689"/>
      <c r="T75" s="656"/>
      <c r="U75" s="656"/>
      <c r="V75" s="656"/>
      <c r="W75" s="656"/>
      <c r="X75" s="656"/>
      <c r="Y75" s="656"/>
      <c r="Z75" s="656"/>
      <c r="AA75" s="656"/>
      <c r="AB75" s="656"/>
      <c r="AC75" s="656"/>
      <c r="AD75" s="563">
        <f t="shared" si="12"/>
        <v>25</v>
      </c>
      <c r="AE75" s="649">
        <f t="shared" si="13"/>
        <v>375</v>
      </c>
      <c r="AF75" s="650" t="str">
        <f t="shared" si="14"/>
        <v>sell</v>
      </c>
    </row>
    <row r="76" spans="1:32" s="356" customFormat="1" x14ac:dyDescent="0.2">
      <c r="A76" s="586" t="s">
        <v>63</v>
      </c>
      <c r="B76" s="589" t="s">
        <v>385</v>
      </c>
      <c r="C76" s="589" t="s">
        <v>268</v>
      </c>
      <c r="D76" s="588">
        <v>12</v>
      </c>
      <c r="E76" s="583"/>
      <c r="F76" s="656"/>
      <c r="G76" s="656">
        <v>25</v>
      </c>
      <c r="H76" s="656">
        <v>25</v>
      </c>
      <c r="I76" s="656">
        <v>25</v>
      </c>
      <c r="J76" s="656">
        <v>25</v>
      </c>
      <c r="K76" s="656">
        <v>25</v>
      </c>
      <c r="L76" s="716"/>
      <c r="M76" s="716"/>
      <c r="N76" s="656"/>
      <c r="O76" s="656"/>
      <c r="P76" s="656"/>
      <c r="Q76" s="656"/>
      <c r="R76" s="656"/>
      <c r="S76" s="689"/>
      <c r="T76" s="656"/>
      <c r="U76" s="656"/>
      <c r="V76" s="656"/>
      <c r="W76" s="656"/>
      <c r="X76" s="656"/>
      <c r="Y76" s="656"/>
      <c r="Z76" s="656"/>
      <c r="AA76" s="656"/>
      <c r="AB76" s="656"/>
      <c r="AC76" s="656"/>
      <c r="AD76" s="563">
        <f t="shared" si="12"/>
        <v>125</v>
      </c>
      <c r="AE76" s="649">
        <f t="shared" si="13"/>
        <v>1500</v>
      </c>
      <c r="AF76" s="650" t="str">
        <f t="shared" si="14"/>
        <v>sell</v>
      </c>
    </row>
    <row r="77" spans="1:32" s="356" customFormat="1" x14ac:dyDescent="0.2">
      <c r="A77" s="586" t="s">
        <v>65</v>
      </c>
      <c r="B77" s="589" t="s">
        <v>385</v>
      </c>
      <c r="C77" s="589" t="s">
        <v>151</v>
      </c>
      <c r="D77" s="588">
        <v>11</v>
      </c>
      <c r="E77" s="583"/>
      <c r="F77" s="656"/>
      <c r="G77" s="656"/>
      <c r="H77" s="656"/>
      <c r="I77" s="656"/>
      <c r="J77" s="656"/>
      <c r="K77" s="656"/>
      <c r="L77" s="716"/>
      <c r="M77" s="716"/>
      <c r="N77" s="656"/>
      <c r="O77" s="656"/>
      <c r="P77" s="656"/>
      <c r="Q77" s="656"/>
      <c r="R77" s="656">
        <v>25</v>
      </c>
      <c r="S77" s="689"/>
      <c r="T77" s="656"/>
      <c r="U77" s="656"/>
      <c r="V77" s="656"/>
      <c r="W77" s="656"/>
      <c r="X77" s="656"/>
      <c r="Y77" s="656"/>
      <c r="Z77" s="656"/>
      <c r="AA77" s="656"/>
      <c r="AB77" s="656"/>
      <c r="AC77" s="656"/>
      <c r="AD77" s="563">
        <f t="shared" si="12"/>
        <v>25</v>
      </c>
      <c r="AE77" s="649">
        <f t="shared" si="13"/>
        <v>275</v>
      </c>
      <c r="AF77" s="650" t="str">
        <f t="shared" si="14"/>
        <v>sell</v>
      </c>
    </row>
    <row r="78" spans="1:32" s="356" customFormat="1" x14ac:dyDescent="0.2">
      <c r="A78" s="586" t="s">
        <v>65</v>
      </c>
      <c r="B78" s="589" t="s">
        <v>385</v>
      </c>
      <c r="C78" s="589" t="s">
        <v>151</v>
      </c>
      <c r="D78" s="588">
        <v>10</v>
      </c>
      <c r="E78" s="583"/>
      <c r="F78" s="656"/>
      <c r="G78" s="656"/>
      <c r="H78" s="656"/>
      <c r="I78" s="656"/>
      <c r="J78" s="656"/>
      <c r="K78" s="656"/>
      <c r="L78" s="716"/>
      <c r="M78" s="716"/>
      <c r="N78" s="656"/>
      <c r="O78" s="656"/>
      <c r="P78" s="656"/>
      <c r="Q78" s="656"/>
      <c r="R78" s="656"/>
      <c r="S78" s="689">
        <v>50</v>
      </c>
      <c r="T78" s="689">
        <v>50</v>
      </c>
      <c r="U78" s="689">
        <v>50</v>
      </c>
      <c r="V78" s="656"/>
      <c r="W78" s="656"/>
      <c r="X78" s="656"/>
      <c r="Y78" s="656"/>
      <c r="Z78" s="656"/>
      <c r="AA78" s="656"/>
      <c r="AB78" s="656"/>
      <c r="AC78" s="656"/>
      <c r="AD78" s="563">
        <f t="shared" si="12"/>
        <v>150</v>
      </c>
      <c r="AE78" s="649">
        <f t="shared" si="13"/>
        <v>1500</v>
      </c>
      <c r="AF78" s="650" t="str">
        <f t="shared" si="14"/>
        <v>sell</v>
      </c>
    </row>
    <row r="79" spans="1:32" s="356" customFormat="1" x14ac:dyDescent="0.2">
      <c r="A79" s="586" t="s">
        <v>65</v>
      </c>
      <c r="B79" s="589" t="s">
        <v>385</v>
      </c>
      <c r="C79" s="589" t="s">
        <v>151</v>
      </c>
      <c r="D79" s="588">
        <v>12</v>
      </c>
      <c r="E79" s="583"/>
      <c r="F79" s="656"/>
      <c r="G79" s="656"/>
      <c r="H79" s="656"/>
      <c r="I79" s="656"/>
      <c r="J79" s="656"/>
      <c r="K79" s="656"/>
      <c r="L79" s="716"/>
      <c r="M79" s="716"/>
      <c r="N79" s="656"/>
      <c r="O79" s="656"/>
      <c r="P79" s="656"/>
      <c r="Q79" s="656"/>
      <c r="R79" s="656"/>
      <c r="S79" s="689"/>
      <c r="T79" s="689"/>
      <c r="U79" s="689"/>
      <c r="V79" s="656">
        <v>25</v>
      </c>
      <c r="W79" s="656"/>
      <c r="X79" s="656"/>
      <c r="Y79" s="656"/>
      <c r="Z79" s="656"/>
      <c r="AA79" s="656"/>
      <c r="AB79" s="656"/>
      <c r="AC79" s="656"/>
      <c r="AD79" s="563">
        <f t="shared" si="12"/>
        <v>25</v>
      </c>
      <c r="AE79" s="649">
        <f t="shared" si="13"/>
        <v>300</v>
      </c>
      <c r="AF79" s="650" t="str">
        <f t="shared" si="14"/>
        <v>sell</v>
      </c>
    </row>
    <row r="80" spans="1:32" s="356" customFormat="1" x14ac:dyDescent="0.2">
      <c r="A80" s="586" t="s">
        <v>65</v>
      </c>
      <c r="B80" s="589" t="s">
        <v>385</v>
      </c>
      <c r="C80" s="589" t="s">
        <v>151</v>
      </c>
      <c r="D80" s="588">
        <v>15</v>
      </c>
      <c r="E80" s="583"/>
      <c r="F80" s="656"/>
      <c r="G80" s="656"/>
      <c r="H80" s="656"/>
      <c r="I80" s="656"/>
      <c r="J80" s="656"/>
      <c r="K80" s="656"/>
      <c r="L80" s="716"/>
      <c r="M80" s="716"/>
      <c r="N80" s="656"/>
      <c r="O80" s="656"/>
      <c r="P80" s="656"/>
      <c r="Q80" s="656"/>
      <c r="R80" s="656"/>
      <c r="S80" s="689"/>
      <c r="T80" s="689"/>
      <c r="U80" s="689"/>
      <c r="V80" s="656"/>
      <c r="W80" s="656">
        <v>55</v>
      </c>
      <c r="X80" s="656"/>
      <c r="Y80" s="656"/>
      <c r="Z80" s="656"/>
      <c r="AA80" s="656"/>
      <c r="AB80" s="656"/>
      <c r="AC80" s="656"/>
      <c r="AD80" s="563">
        <f t="shared" si="12"/>
        <v>55</v>
      </c>
      <c r="AE80" s="649">
        <f t="shared" si="13"/>
        <v>825</v>
      </c>
      <c r="AF80" s="650" t="str">
        <f t="shared" si="14"/>
        <v>sell</v>
      </c>
    </row>
    <row r="81" spans="1:33" s="356" customFormat="1" x14ac:dyDescent="0.2">
      <c r="A81" s="586" t="s">
        <v>65</v>
      </c>
      <c r="B81" s="589" t="s">
        <v>385</v>
      </c>
      <c r="C81" s="589" t="s">
        <v>151</v>
      </c>
      <c r="D81" s="588">
        <v>21</v>
      </c>
      <c r="E81" s="583"/>
      <c r="F81" s="656"/>
      <c r="G81" s="656"/>
      <c r="H81" s="656"/>
      <c r="I81" s="656"/>
      <c r="J81" s="656"/>
      <c r="K81" s="656"/>
      <c r="L81" s="716"/>
      <c r="M81" s="716"/>
      <c r="N81" s="656"/>
      <c r="O81" s="656"/>
      <c r="P81" s="656"/>
      <c r="Q81" s="656"/>
      <c r="R81" s="656"/>
      <c r="S81" s="689"/>
      <c r="T81" s="689"/>
      <c r="U81" s="689"/>
      <c r="V81" s="656"/>
      <c r="W81" s="656"/>
      <c r="X81" s="656">
        <v>55</v>
      </c>
      <c r="Y81" s="656">
        <v>55</v>
      </c>
      <c r="Z81" s="656"/>
      <c r="AA81" s="656"/>
      <c r="AB81" s="656"/>
      <c r="AC81" s="656"/>
      <c r="AD81" s="563">
        <f t="shared" si="12"/>
        <v>110</v>
      </c>
      <c r="AE81" s="649">
        <f t="shared" si="13"/>
        <v>2310</v>
      </c>
      <c r="AF81" s="650" t="str">
        <f t="shared" si="14"/>
        <v>sell</v>
      </c>
    </row>
    <row r="82" spans="1:33" s="356" customFormat="1" x14ac:dyDescent="0.2">
      <c r="A82" s="586"/>
      <c r="B82" s="589"/>
      <c r="C82" s="589"/>
      <c r="D82" s="588"/>
      <c r="E82" s="583"/>
      <c r="F82" s="656"/>
      <c r="G82" s="656"/>
      <c r="H82" s="656"/>
      <c r="I82" s="656"/>
      <c r="J82" s="656"/>
      <c r="K82" s="656"/>
      <c r="L82" s="656"/>
      <c r="M82" s="656"/>
      <c r="N82" s="656"/>
      <c r="O82" s="656"/>
      <c r="P82" s="656"/>
      <c r="Q82" s="656"/>
      <c r="R82" s="656"/>
      <c r="S82" s="689"/>
      <c r="T82" s="656"/>
      <c r="U82" s="656"/>
      <c r="V82" s="656"/>
      <c r="W82" s="656"/>
      <c r="X82" s="656"/>
      <c r="Y82" s="656"/>
      <c r="Z82" s="656"/>
      <c r="AA82" s="656"/>
      <c r="AB82" s="656"/>
      <c r="AC82" s="656"/>
      <c r="AD82" s="563">
        <f t="shared" si="12"/>
        <v>0</v>
      </c>
      <c r="AE82" s="649">
        <f t="shared" si="13"/>
        <v>0</v>
      </c>
      <c r="AF82" s="650" t="str">
        <f t="shared" si="14"/>
        <v>sell</v>
      </c>
    </row>
    <row r="83" spans="1:33" s="356" customFormat="1" ht="15" x14ac:dyDescent="0.25">
      <c r="A83" s="692" t="s">
        <v>358</v>
      </c>
      <c r="B83" s="643"/>
      <c r="C83" s="578"/>
      <c r="D83" s="643"/>
      <c r="E83" s="363"/>
      <c r="F83" s="624"/>
      <c r="G83" s="624"/>
      <c r="H83" s="624"/>
      <c r="I83" s="624"/>
      <c r="J83" s="624"/>
      <c r="K83" s="624"/>
      <c r="L83" s="624"/>
      <c r="M83" s="624"/>
      <c r="N83" s="624"/>
      <c r="O83" s="624"/>
      <c r="P83" s="624"/>
      <c r="Q83" s="624"/>
      <c r="R83" s="624"/>
      <c r="S83" s="624"/>
      <c r="T83" s="624"/>
      <c r="U83" s="624"/>
      <c r="V83" s="624"/>
      <c r="W83" s="624"/>
      <c r="X83" s="624"/>
      <c r="Y83" s="624"/>
      <c r="Z83" s="624"/>
      <c r="AA83" s="624"/>
      <c r="AB83" s="624"/>
      <c r="AC83" s="624"/>
      <c r="AD83" s="643"/>
      <c r="AE83" s="646"/>
      <c r="AF83" s="646"/>
    </row>
    <row r="84" spans="1:33" s="356" customFormat="1" ht="12.75" customHeight="1" x14ac:dyDescent="0.2">
      <c r="A84" s="585"/>
      <c r="B84" s="587"/>
      <c r="C84" s="587"/>
      <c r="D84" s="655"/>
      <c r="E84" s="654"/>
      <c r="F84" s="475"/>
      <c r="G84" s="475"/>
      <c r="H84" s="475"/>
      <c r="I84" s="475"/>
      <c r="J84" s="475"/>
      <c r="K84" s="475"/>
      <c r="L84" s="475"/>
      <c r="M84" s="475"/>
      <c r="N84" s="475"/>
      <c r="O84" s="475"/>
      <c r="P84" s="475"/>
      <c r="Q84" s="475"/>
      <c r="R84" s="475"/>
      <c r="S84" s="688"/>
      <c r="T84" s="475"/>
      <c r="U84" s="475"/>
      <c r="V84" s="475"/>
      <c r="W84" s="475"/>
      <c r="X84" s="475"/>
      <c r="Y84" s="475"/>
      <c r="Z84" s="475"/>
      <c r="AA84" s="475"/>
      <c r="AB84" s="475"/>
      <c r="AC84" s="475"/>
      <c r="AD84" s="563">
        <f>SUM(E84:AC84)</f>
        <v>0</v>
      </c>
      <c r="AE84" s="649">
        <f>AD84*D84</f>
        <v>0</v>
      </c>
      <c r="AF84" s="650" t="str">
        <f>IF(AD84&lt;0,"buy","sell")</f>
        <v>sell</v>
      </c>
    </row>
    <row r="85" spans="1:33" s="356" customFormat="1" x14ac:dyDescent="0.2">
      <c r="A85" s="585" t="s">
        <v>169</v>
      </c>
      <c r="B85" s="587"/>
      <c r="C85" s="587"/>
      <c r="D85" s="655"/>
      <c r="E85" s="654"/>
      <c r="F85" s="475"/>
      <c r="G85" s="475"/>
      <c r="H85" s="475"/>
      <c r="I85" s="475"/>
      <c r="J85" s="475"/>
      <c r="K85" s="475"/>
      <c r="L85" s="475"/>
      <c r="M85" s="475"/>
      <c r="N85" s="475"/>
      <c r="O85" s="475"/>
      <c r="P85" s="475"/>
      <c r="Q85" s="475"/>
      <c r="R85" s="475"/>
      <c r="S85" s="688"/>
      <c r="T85" s="475"/>
      <c r="U85" s="475"/>
      <c r="V85" s="475"/>
      <c r="W85" s="475"/>
      <c r="X85" s="475"/>
      <c r="Y85" s="475"/>
      <c r="Z85" s="475"/>
      <c r="AA85" s="475"/>
      <c r="AB85" s="475"/>
      <c r="AC85" s="475"/>
      <c r="AD85" s="563">
        <f>SUM(E85:AC85)</f>
        <v>0</v>
      </c>
      <c r="AE85" s="649">
        <f>AD85*D85</f>
        <v>0</v>
      </c>
      <c r="AF85" s="650" t="str">
        <f>IF(AD85&lt;0,"buy","sell")</f>
        <v>sell</v>
      </c>
    </row>
    <row r="86" spans="1:33" s="356" customFormat="1" ht="15" x14ac:dyDescent="0.25">
      <c r="A86" s="693" t="s">
        <v>359</v>
      </c>
      <c r="B86" s="537"/>
      <c r="C86" s="537"/>
      <c r="D86" s="537"/>
      <c r="E86" s="579"/>
      <c r="F86" s="537"/>
      <c r="G86" s="537"/>
      <c r="H86" s="537"/>
      <c r="I86" s="537"/>
      <c r="J86" s="537"/>
      <c r="K86" s="537"/>
      <c r="L86" s="537"/>
      <c r="M86" s="537"/>
      <c r="N86" s="537"/>
      <c r="O86" s="537"/>
      <c r="P86" s="537"/>
      <c r="Q86" s="537"/>
      <c r="R86" s="537"/>
      <c r="S86" s="690"/>
      <c r="T86" s="537"/>
      <c r="U86" s="537"/>
      <c r="V86" s="537"/>
      <c r="W86" s="537"/>
      <c r="X86" s="537"/>
      <c r="Y86" s="537"/>
      <c r="Z86" s="537"/>
      <c r="AA86" s="537"/>
      <c r="AB86" s="537"/>
      <c r="AC86" s="537"/>
      <c r="AD86" s="537"/>
      <c r="AE86" s="537"/>
      <c r="AF86" s="537"/>
      <c r="AG86" s="466"/>
    </row>
    <row r="87" spans="1:33" s="356" customFormat="1" x14ac:dyDescent="0.2">
      <c r="A87" s="682"/>
      <c r="B87" s="589"/>
      <c r="C87" s="683"/>
      <c r="D87" s="588"/>
      <c r="E87" s="684"/>
      <c r="F87" s="656"/>
      <c r="G87" s="685"/>
      <c r="H87" s="685"/>
      <c r="I87" s="685"/>
      <c r="J87" s="685"/>
      <c r="K87" s="685"/>
      <c r="L87" s="685"/>
      <c r="M87" s="685"/>
      <c r="N87" s="685"/>
      <c r="O87" s="685"/>
      <c r="P87" s="685"/>
      <c r="Q87" s="685"/>
      <c r="R87" s="685"/>
      <c r="S87" s="691"/>
      <c r="T87" s="685"/>
      <c r="U87" s="685"/>
      <c r="V87" s="685"/>
      <c r="W87" s="685"/>
      <c r="X87" s="685"/>
      <c r="Y87" s="685"/>
      <c r="Z87" s="685"/>
      <c r="AA87" s="685"/>
      <c r="AB87" s="685"/>
      <c r="AC87" s="685"/>
      <c r="AD87" s="563">
        <f>SUM(AA87:AC87)</f>
        <v>0</v>
      </c>
      <c r="AE87" s="649">
        <f>AD87*D87</f>
        <v>0</v>
      </c>
      <c r="AF87" s="650"/>
    </row>
    <row r="88" spans="1:33" s="356" customFormat="1" x14ac:dyDescent="0.2">
      <c r="A88" s="682"/>
      <c r="B88" s="589"/>
      <c r="C88" s="683"/>
      <c r="D88" s="588"/>
      <c r="E88" s="684"/>
      <c r="F88" s="656"/>
      <c r="G88" s="685"/>
      <c r="H88" s="685"/>
      <c r="I88" s="685"/>
      <c r="J88" s="685"/>
      <c r="K88" s="685"/>
      <c r="L88" s="685"/>
      <c r="M88" s="685"/>
      <c r="N88" s="685"/>
      <c r="O88" s="685"/>
      <c r="P88" s="685"/>
      <c r="Q88" s="685"/>
      <c r="R88" s="685"/>
      <c r="S88" s="685"/>
      <c r="T88" s="685"/>
      <c r="U88" s="685"/>
      <c r="V88" s="685"/>
      <c r="W88" s="685"/>
      <c r="X88" s="685"/>
      <c r="Y88" s="685"/>
      <c r="Z88" s="685"/>
      <c r="AA88" s="685"/>
      <c r="AB88" s="685"/>
      <c r="AC88" s="685"/>
      <c r="AD88" s="563">
        <f>SUM(AA88:AC88)</f>
        <v>0</v>
      </c>
      <c r="AE88" s="649">
        <f>AD88*D88</f>
        <v>0</v>
      </c>
      <c r="AF88" s="650"/>
    </row>
    <row r="89" spans="1:33" s="356" customFormat="1" ht="15" x14ac:dyDescent="0.25">
      <c r="A89" s="693" t="s">
        <v>362</v>
      </c>
      <c r="B89" s="537"/>
      <c r="C89" s="537"/>
      <c r="D89" s="537"/>
      <c r="E89" s="579"/>
      <c r="F89" s="537"/>
      <c r="G89" s="537"/>
      <c r="H89" s="537"/>
      <c r="I89" s="537"/>
      <c r="J89" s="537"/>
      <c r="K89" s="537"/>
      <c r="L89" s="537"/>
      <c r="M89" s="537"/>
      <c r="N89" s="537"/>
      <c r="O89" s="537"/>
      <c r="P89" s="537"/>
      <c r="Q89" s="537"/>
      <c r="R89" s="537"/>
      <c r="S89" s="537"/>
      <c r="T89" s="537"/>
      <c r="U89" s="537"/>
      <c r="V89" s="537"/>
      <c r="W89" s="537"/>
      <c r="X89" s="537"/>
      <c r="Y89" s="537"/>
      <c r="Z89" s="537"/>
      <c r="AA89" s="537"/>
      <c r="AB89" s="537"/>
      <c r="AC89" s="537"/>
      <c r="AD89" s="537"/>
      <c r="AE89" s="537"/>
      <c r="AF89" s="537"/>
      <c r="AG89" s="466"/>
    </row>
    <row r="90" spans="1:33" s="356" customFormat="1" x14ac:dyDescent="0.2">
      <c r="A90" s="542"/>
      <c r="B90" s="547"/>
      <c r="C90" s="547"/>
      <c r="D90" s="661"/>
      <c r="E90" s="544"/>
      <c r="F90" s="544"/>
      <c r="G90" s="544"/>
      <c r="H90" s="544"/>
      <c r="I90" s="544"/>
      <c r="J90" s="544"/>
      <c r="K90" s="544"/>
      <c r="L90" s="544"/>
      <c r="M90" s="544"/>
      <c r="N90" s="544"/>
      <c r="O90" s="544"/>
      <c r="P90" s="544"/>
      <c r="Q90" s="544"/>
      <c r="R90" s="544"/>
      <c r="S90" s="544"/>
      <c r="T90" s="544"/>
      <c r="U90" s="544"/>
      <c r="V90" s="544"/>
      <c r="W90" s="544"/>
      <c r="X90" s="544"/>
      <c r="Y90" s="544"/>
      <c r="Z90" s="544"/>
      <c r="AA90" s="544"/>
      <c r="AB90" s="544"/>
      <c r="AC90" s="544"/>
      <c r="AD90" s="563">
        <f>SUM(AA90:AC90)</f>
        <v>0</v>
      </c>
      <c r="AE90" s="649">
        <f>AD90*D90</f>
        <v>0</v>
      </c>
      <c r="AF90" s="650" t="str">
        <f>IF(AD90&lt;0,"buy","sell")</f>
        <v>sell</v>
      </c>
    </row>
    <row r="91" spans="1:33" s="356" customFormat="1" x14ac:dyDescent="0.2">
      <c r="A91" s="542"/>
      <c r="B91" s="547"/>
      <c r="C91" s="547"/>
      <c r="D91" s="661"/>
      <c r="E91" s="544"/>
      <c r="F91" s="544"/>
      <c r="G91" s="544"/>
      <c r="H91" s="544"/>
      <c r="I91" s="544"/>
      <c r="J91" s="544"/>
      <c r="K91" s="544"/>
      <c r="L91" s="544"/>
      <c r="M91" s="544"/>
      <c r="N91" s="544"/>
      <c r="O91" s="544"/>
      <c r="P91" s="544"/>
      <c r="Q91" s="544"/>
      <c r="R91" s="544"/>
      <c r="S91" s="544"/>
      <c r="T91" s="544"/>
      <c r="U91" s="544"/>
      <c r="V91" s="544"/>
      <c r="W91" s="544"/>
      <c r="X91" s="544"/>
      <c r="Y91" s="544"/>
      <c r="Z91" s="544"/>
      <c r="AA91" s="544"/>
      <c r="AB91" s="544"/>
      <c r="AC91" s="544"/>
      <c r="AD91" s="563">
        <f>SUM(E91:AC91)</f>
        <v>0</v>
      </c>
      <c r="AE91" s="649">
        <f>AD91*D91</f>
        <v>0</v>
      </c>
      <c r="AF91" s="650" t="str">
        <f>IF(AD91&lt;0,"buy","sell")</f>
        <v>sell</v>
      </c>
    </row>
    <row r="92" spans="1:33" s="356" customFormat="1" x14ac:dyDescent="0.2">
      <c r="A92" s="542"/>
      <c r="B92" s="547"/>
      <c r="C92" s="547"/>
      <c r="D92" s="661"/>
      <c r="E92" s="544"/>
      <c r="F92" s="544"/>
      <c r="G92" s="544"/>
      <c r="H92" s="544"/>
      <c r="I92" s="544"/>
      <c r="J92" s="544"/>
      <c r="K92" s="544"/>
      <c r="L92" s="544"/>
      <c r="M92" s="544"/>
      <c r="N92" s="544"/>
      <c r="O92" s="544"/>
      <c r="P92" s="544"/>
      <c r="Q92" s="544"/>
      <c r="R92" s="544"/>
      <c r="S92" s="544"/>
      <c r="T92" s="544"/>
      <c r="U92" s="544"/>
      <c r="V92" s="544"/>
      <c r="W92" s="544"/>
      <c r="X92" s="544"/>
      <c r="Y92" s="544"/>
      <c r="Z92" s="544"/>
      <c r="AA92" s="544"/>
      <c r="AB92" s="544"/>
      <c r="AC92" s="544"/>
      <c r="AD92" s="563">
        <f>SUM(AA92:AC92)</f>
        <v>0</v>
      </c>
      <c r="AE92" s="649">
        <f>AD92*D92</f>
        <v>0</v>
      </c>
      <c r="AF92" s="650" t="str">
        <f>IF(AD92&lt;0,"buy","sell")</f>
        <v>sell</v>
      </c>
    </row>
    <row r="93" spans="1:33" s="356" customFormat="1" x14ac:dyDescent="0.2">
      <c r="A93" s="542"/>
      <c r="B93" s="547"/>
      <c r="C93" s="547"/>
      <c r="D93" s="543"/>
      <c r="E93" s="544"/>
      <c r="F93" s="544"/>
      <c r="G93" s="544"/>
      <c r="H93" s="544"/>
      <c r="I93" s="544"/>
      <c r="J93" s="544"/>
      <c r="K93" s="544"/>
      <c r="L93" s="544"/>
      <c r="M93" s="544"/>
      <c r="N93" s="544"/>
      <c r="O93" s="544"/>
      <c r="P93" s="544"/>
      <c r="Q93" s="544"/>
      <c r="R93" s="544"/>
      <c r="S93" s="544"/>
      <c r="T93" s="544"/>
      <c r="U93" s="544"/>
      <c r="V93" s="544"/>
      <c r="W93" s="544"/>
      <c r="X93" s="544"/>
      <c r="Y93" s="544"/>
      <c r="Z93" s="544"/>
      <c r="AA93" s="544"/>
      <c r="AB93" s="544"/>
      <c r="AC93" s="544"/>
      <c r="AD93" s="553">
        <f>SUM(F98:AC98)</f>
        <v>0</v>
      </c>
      <c r="AE93" s="554">
        <f>AD93*D93</f>
        <v>0</v>
      </c>
      <c r="AF93" s="525" t="str">
        <f>IF(AD93&lt;0,"buy","sell")</f>
        <v>sell</v>
      </c>
    </row>
    <row r="94" spans="1:33" s="356" customFormat="1" x14ac:dyDescent="0.2">
      <c r="A94" s="545" t="s">
        <v>206</v>
      </c>
      <c r="B94" s="480"/>
      <c r="C94" s="480"/>
      <c r="D94" s="480"/>
      <c r="E94" s="480"/>
      <c r="F94" s="480"/>
      <c r="G94" s="480"/>
      <c r="H94" s="480"/>
      <c r="I94" s="480"/>
      <c r="J94" s="480"/>
      <c r="K94" s="480"/>
      <c r="L94" s="480"/>
      <c r="M94" s="480"/>
      <c r="N94" s="480"/>
      <c r="O94" s="480"/>
      <c r="P94" s="480"/>
      <c r="Q94" s="480"/>
      <c r="R94" s="480"/>
      <c r="S94" s="480"/>
      <c r="T94" s="480"/>
      <c r="U94" s="480"/>
      <c r="V94" s="480"/>
      <c r="W94" s="480"/>
      <c r="X94" s="480"/>
      <c r="Y94" s="480"/>
      <c r="Z94" s="480"/>
      <c r="AA94" s="480"/>
      <c r="AB94" s="480"/>
      <c r="AC94" s="480"/>
      <c r="AD94" s="480"/>
      <c r="AE94" s="480"/>
      <c r="AF94" s="480"/>
    </row>
    <row r="95" spans="1:33" s="356" customFormat="1" x14ac:dyDescent="0.2">
      <c r="B95" s="364"/>
      <c r="C95" s="364"/>
      <c r="D95" s="365"/>
      <c r="E95" s="365"/>
      <c r="F95" s="364"/>
      <c r="G95" s="366"/>
      <c r="H95" s="366"/>
      <c r="I95" s="366"/>
      <c r="J95" s="366"/>
      <c r="K95" s="366"/>
      <c r="L95" s="366"/>
      <c r="M95" s="366"/>
      <c r="N95" s="366"/>
      <c r="O95" s="366"/>
      <c r="P95" s="366"/>
      <c r="Q95" s="366"/>
      <c r="R95" s="366"/>
      <c r="S95" s="366"/>
      <c r="T95" s="366"/>
      <c r="U95" s="366"/>
      <c r="V95" s="366"/>
      <c r="W95" s="366"/>
      <c r="X95" s="366"/>
      <c r="Y95" s="366"/>
      <c r="Z95" s="440"/>
      <c r="AA95" s="440"/>
      <c r="AB95" s="440"/>
      <c r="AC95" s="528"/>
      <c r="AD95" s="457"/>
      <c r="AE95" s="458"/>
      <c r="AF95" s="440"/>
    </row>
    <row r="96" spans="1:33" s="356" customFormat="1" ht="18" x14ac:dyDescent="0.25">
      <c r="A96" s="680" t="s">
        <v>363</v>
      </c>
      <c r="B96" s="431"/>
      <c r="C96" s="538"/>
      <c r="D96" s="432"/>
      <c r="E96" s="432"/>
      <c r="F96" s="433"/>
      <c r="G96" s="434"/>
      <c r="H96" s="370"/>
      <c r="I96" s="370"/>
      <c r="J96" s="370"/>
      <c r="K96" s="371"/>
      <c r="L96" s="370"/>
      <c r="M96" s="370"/>
      <c r="N96" s="370"/>
      <c r="O96" s="370"/>
      <c r="P96" s="370"/>
      <c r="Q96" s="370"/>
      <c r="R96" s="370"/>
      <c r="S96" s="370" t="s">
        <v>15</v>
      </c>
      <c r="T96" s="370"/>
      <c r="U96" s="370"/>
      <c r="V96" s="370"/>
      <c r="W96" s="370"/>
      <c r="X96" s="370"/>
      <c r="Y96" s="370"/>
      <c r="Z96" s="372"/>
      <c r="AA96" s="372"/>
      <c r="AB96" s="372"/>
      <c r="AC96" s="529"/>
      <c r="AD96" s="457"/>
      <c r="AE96" s="458"/>
      <c r="AF96" s="372"/>
    </row>
    <row r="97" spans="1:33" s="356" customFormat="1" x14ac:dyDescent="0.2">
      <c r="A97" s="435"/>
      <c r="B97" s="436"/>
      <c r="C97" s="436"/>
      <c r="D97" s="432"/>
      <c r="E97" s="432"/>
      <c r="F97" s="434"/>
      <c r="G97" s="434"/>
      <c r="H97" s="370"/>
      <c r="I97" s="370"/>
      <c r="J97" s="370"/>
      <c r="K97" s="373"/>
      <c r="L97" s="373"/>
      <c r="M97" s="370"/>
      <c r="N97" s="370"/>
      <c r="O97" s="370"/>
      <c r="P97" s="370"/>
      <c r="Q97" s="370"/>
      <c r="R97" s="370"/>
      <c r="S97" s="370"/>
      <c r="T97" s="370"/>
      <c r="U97" s="370"/>
      <c r="V97" s="370"/>
      <c r="W97" s="370"/>
      <c r="X97" s="370"/>
      <c r="Y97" s="370"/>
      <c r="Z97" s="372"/>
      <c r="AA97" s="372"/>
      <c r="AB97" s="372"/>
      <c r="AC97" s="529"/>
      <c r="AD97" s="457"/>
      <c r="AE97" s="458"/>
      <c r="AF97" s="372"/>
    </row>
    <row r="98" spans="1:33" s="356" customFormat="1" ht="18" x14ac:dyDescent="0.25">
      <c r="A98" s="438"/>
      <c r="B98" s="439"/>
      <c r="C98" s="439"/>
      <c r="D98" s="439"/>
      <c r="E98" s="439"/>
      <c r="F98" s="678"/>
      <c r="G98" s="679"/>
      <c r="H98" s="370"/>
      <c r="I98" s="370"/>
      <c r="J98" s="370"/>
      <c r="K98" s="373"/>
      <c r="L98" s="371"/>
      <c r="M98" s="370"/>
      <c r="N98" s="370"/>
      <c r="O98" s="370"/>
      <c r="P98" s="370"/>
      <c r="Q98" s="370"/>
      <c r="R98" s="370"/>
      <c r="S98" s="370"/>
      <c r="T98" s="370"/>
      <c r="U98" s="370"/>
      <c r="V98" s="370"/>
      <c r="W98" s="370"/>
      <c r="X98" s="370"/>
      <c r="Y98" s="370"/>
      <c r="AA98" s="372"/>
      <c r="AB98" s="372"/>
      <c r="AC98" s="529"/>
      <c r="AD98" s="457"/>
      <c r="AE98" s="458"/>
      <c r="AF98" s="372"/>
    </row>
    <row r="99" spans="1:33" s="356" customFormat="1" ht="18" x14ac:dyDescent="0.25">
      <c r="A99" s="438"/>
      <c r="B99" s="439"/>
      <c r="C99" s="439"/>
      <c r="D99" s="551"/>
      <c r="E99" s="439"/>
      <c r="F99" s="437"/>
      <c r="G99" s="434"/>
      <c r="H99" s="370"/>
      <c r="I99" s="370"/>
      <c r="J99" s="370"/>
      <c r="K99" s="373"/>
      <c r="L99" s="371"/>
      <c r="M99" s="370"/>
      <c r="N99" s="370"/>
      <c r="O99" s="370"/>
      <c r="P99" s="370"/>
      <c r="Q99" s="370"/>
      <c r="R99" s="370"/>
      <c r="S99" s="370"/>
      <c r="T99" s="370"/>
      <c r="U99" s="370"/>
      <c r="V99" s="370"/>
      <c r="W99" s="370"/>
      <c r="X99" s="370"/>
      <c r="Y99" s="370"/>
      <c r="Z99" s="372" t="s">
        <v>207</v>
      </c>
      <c r="AA99" s="372"/>
      <c r="AB99" s="372"/>
      <c r="AC99" s="530"/>
      <c r="AD99" s="453"/>
      <c r="AE99" s="454"/>
      <c r="AF99" s="372"/>
    </row>
    <row r="100" spans="1:33" x14ac:dyDescent="0.2">
      <c r="A100" s="436"/>
      <c r="B100" s="436"/>
      <c r="C100" s="440"/>
      <c r="D100" s="555"/>
      <c r="E100" s="527"/>
      <c r="F100" s="561"/>
      <c r="G100" s="546"/>
      <c r="K100" s="373"/>
      <c r="M100" s="370"/>
      <c r="N100" s="370"/>
      <c r="Z100" s="372"/>
      <c r="AA100" s="531"/>
      <c r="AB100" s="531"/>
      <c r="AC100" s="530"/>
      <c r="AD100" s="402"/>
      <c r="AE100" s="402"/>
      <c r="AF100" s="531"/>
      <c r="AG100" s="356"/>
    </row>
    <row r="101" spans="1:33" s="356" customFormat="1" x14ac:dyDescent="0.2">
      <c r="A101" s="434"/>
      <c r="B101" s="434"/>
      <c r="C101" s="440"/>
      <c r="D101" s="555"/>
      <c r="E101" s="485"/>
      <c r="F101" s="561"/>
      <c r="G101" s="546"/>
      <c r="H101" s="370"/>
      <c r="I101" s="370"/>
      <c r="J101" s="370"/>
      <c r="K101" s="373"/>
      <c r="L101" s="370"/>
      <c r="M101" s="370"/>
      <c r="N101" s="370"/>
      <c r="O101" s="370"/>
      <c r="P101" s="370"/>
      <c r="Q101" s="370"/>
      <c r="R101" s="370"/>
      <c r="S101" s="370"/>
      <c r="T101" s="370"/>
      <c r="U101" s="370"/>
      <c r="V101" s="370"/>
      <c r="W101" s="370"/>
      <c r="X101" s="370"/>
      <c r="Y101" s="370"/>
      <c r="Z101" s="531" t="s">
        <v>261</v>
      </c>
      <c r="AA101" s="531"/>
      <c r="AB101" s="531"/>
      <c r="AC101" s="530"/>
      <c r="AD101" s="473">
        <f>SUM(AD16:AD66)+SUM(AD73:AD83)</f>
        <v>515</v>
      </c>
      <c r="AE101" s="473">
        <f>SUM(AE16:AE66)+SUM(AE73:AE83)</f>
        <v>7085</v>
      </c>
      <c r="AF101" s="531"/>
    </row>
    <row r="102" spans="1:33" s="356" customFormat="1" x14ac:dyDescent="0.2">
      <c r="A102" s="436"/>
      <c r="B102" s="436"/>
      <c r="C102" s="440"/>
      <c r="D102" s="555"/>
      <c r="E102" s="485"/>
      <c r="F102" s="561"/>
      <c r="G102" s="546"/>
      <c r="H102" s="370"/>
      <c r="I102" s="370"/>
      <c r="J102" s="370"/>
      <c r="K102" s="373"/>
      <c r="L102" s="370"/>
      <c r="M102" s="370"/>
      <c r="N102" s="370"/>
      <c r="O102" s="370"/>
      <c r="P102" s="370"/>
      <c r="Q102" s="370"/>
      <c r="R102" s="370"/>
      <c r="S102" s="370"/>
      <c r="T102" s="370"/>
      <c r="U102" s="370"/>
      <c r="V102" s="370"/>
      <c r="W102" s="370"/>
      <c r="X102" s="370"/>
      <c r="Y102" s="370"/>
      <c r="Z102" s="531" t="s">
        <v>262</v>
      </c>
      <c r="AA102" s="531"/>
      <c r="AB102" s="531"/>
      <c r="AC102" s="532"/>
      <c r="AD102" s="473">
        <f>SUM(AD83:AD85)+SUM(AD86:AD89)</f>
        <v>0</v>
      </c>
      <c r="AE102" s="473">
        <f>SUM(AE83:AE85)+SUM(AE86:AE89)</f>
        <v>0</v>
      </c>
      <c r="AF102" s="531"/>
    </row>
    <row r="103" spans="1:33" s="356" customFormat="1" x14ac:dyDescent="0.2">
      <c r="A103" s="434"/>
      <c r="B103" s="434"/>
      <c r="C103" s="440"/>
      <c r="D103" s="555"/>
      <c r="E103" s="485"/>
      <c r="F103" s="561"/>
      <c r="G103" s="546"/>
      <c r="H103" s="377"/>
      <c r="I103" s="377"/>
      <c r="J103" s="377"/>
      <c r="K103" s="378"/>
      <c r="L103" s="377"/>
      <c r="M103" s="370"/>
      <c r="N103" s="370"/>
      <c r="O103" s="377"/>
      <c r="P103" s="377"/>
      <c r="Q103" s="377"/>
      <c r="R103" s="377"/>
      <c r="S103" s="377"/>
      <c r="T103" s="377"/>
      <c r="U103" s="377"/>
      <c r="V103" s="377"/>
      <c r="W103" s="377"/>
      <c r="X103" s="377"/>
      <c r="Y103" s="377"/>
      <c r="Z103" s="384"/>
      <c r="AA103" s="384"/>
      <c r="AB103" s="384"/>
      <c r="AC103" s="466"/>
      <c r="AF103" s="384"/>
    </row>
    <row r="104" spans="1:33" s="356" customFormat="1" x14ac:dyDescent="0.2">
      <c r="A104" s="436"/>
      <c r="B104" s="436"/>
      <c r="C104" s="440"/>
      <c r="D104" s="555"/>
      <c r="E104" s="485"/>
      <c r="F104" s="561"/>
      <c r="G104" s="546"/>
      <c r="H104" s="377"/>
      <c r="O104" s="370"/>
      <c r="P104" s="370"/>
      <c r="Q104" s="381"/>
      <c r="R104" s="381"/>
      <c r="S104" s="381"/>
      <c r="T104" s="381"/>
      <c r="U104" s="381"/>
      <c r="V104" s="381"/>
      <c r="W104" s="381"/>
      <c r="X104" s="381"/>
      <c r="Y104" s="381"/>
      <c r="Z104" s="533" t="s">
        <v>269</v>
      </c>
      <c r="AA104" s="533"/>
      <c r="AB104" s="533"/>
      <c r="AC104" s="534"/>
      <c r="AD104" s="477"/>
      <c r="AE104" s="478"/>
      <c r="AF104" s="402"/>
    </row>
    <row r="105" spans="1:33" s="356" customFormat="1" x14ac:dyDescent="0.2">
      <c r="A105" s="434"/>
      <c r="B105" s="434"/>
      <c r="C105" s="440"/>
      <c r="D105" s="555"/>
      <c r="E105" s="485"/>
      <c r="F105" s="561"/>
      <c r="G105" s="546"/>
      <c r="H105" s="370"/>
      <c r="O105" s="370"/>
      <c r="P105" s="370"/>
      <c r="Q105" s="370"/>
      <c r="R105" s="370"/>
      <c r="S105" s="370"/>
      <c r="T105" s="370"/>
      <c r="U105" s="370"/>
      <c r="V105" s="370"/>
      <c r="W105" s="370"/>
      <c r="X105" s="370"/>
      <c r="Y105" s="370"/>
      <c r="Z105" s="533"/>
      <c r="AA105" s="533"/>
      <c r="AB105" s="533"/>
      <c r="AC105" s="534"/>
      <c r="AD105" s="477"/>
      <c r="AE105" s="478"/>
      <c r="AF105" s="402"/>
    </row>
    <row r="106" spans="1:33" s="356" customFormat="1" x14ac:dyDescent="0.2">
      <c r="A106" s="436"/>
      <c r="B106" s="436"/>
      <c r="C106" s="440"/>
      <c r="D106" s="555"/>
      <c r="E106" s="485"/>
      <c r="F106" s="561"/>
      <c r="G106" s="546"/>
      <c r="H106" s="382"/>
      <c r="O106" s="370"/>
      <c r="P106" s="370"/>
      <c r="Q106" s="382"/>
      <c r="R106" s="382"/>
      <c r="S106" s="382"/>
      <c r="T106" s="382"/>
      <c r="U106" s="382"/>
      <c r="V106" s="382"/>
      <c r="W106" s="382"/>
      <c r="X106" s="382"/>
      <c r="Y106" s="382"/>
      <c r="Z106" s="533" t="s">
        <v>262</v>
      </c>
      <c r="AA106" s="533"/>
      <c r="AB106" s="533"/>
      <c r="AC106" s="534"/>
      <c r="AD106" s="479">
        <f>SUM(AD92:AD94)</f>
        <v>0</v>
      </c>
      <c r="AE106" s="479">
        <f>SUM(AE92:AE94)</f>
        <v>0</v>
      </c>
      <c r="AF106" s="402"/>
    </row>
    <row r="107" spans="1:33" s="356" customFormat="1" x14ac:dyDescent="0.2">
      <c r="A107" s="434"/>
      <c r="B107" s="434"/>
      <c r="C107" s="440"/>
      <c r="D107" s="555"/>
      <c r="E107" s="485"/>
      <c r="F107" s="561"/>
      <c r="G107" s="546"/>
      <c r="H107" s="382"/>
      <c r="O107" s="370"/>
      <c r="P107" s="370"/>
      <c r="Q107" s="382"/>
      <c r="R107" s="382"/>
      <c r="S107" s="382"/>
      <c r="T107" s="382"/>
      <c r="U107" s="382"/>
      <c r="V107" s="382"/>
      <c r="W107" s="382"/>
      <c r="X107" s="382"/>
      <c r="Y107" s="382"/>
      <c r="Z107" s="402"/>
      <c r="AA107" s="402"/>
      <c r="AB107" s="402"/>
      <c r="AC107" s="467"/>
      <c r="AD107" s="402"/>
      <c r="AE107" s="402"/>
      <c r="AF107" s="402"/>
    </row>
    <row r="108" spans="1:33" s="356" customFormat="1" x14ac:dyDescent="0.2">
      <c r="A108" s="436"/>
      <c r="B108" s="436"/>
      <c r="C108" s="440"/>
      <c r="D108" s="555"/>
      <c r="E108" s="485"/>
      <c r="F108" s="561"/>
      <c r="G108" s="546"/>
      <c r="H108" s="370"/>
      <c r="O108" s="370"/>
      <c r="P108" s="370"/>
      <c r="Q108" s="370"/>
      <c r="R108" s="370"/>
      <c r="S108" s="370"/>
      <c r="T108" s="370"/>
      <c r="U108" s="370"/>
      <c r="V108" s="370"/>
      <c r="W108" s="370"/>
      <c r="X108" s="370"/>
      <c r="Y108" s="370"/>
      <c r="Z108" s="402"/>
      <c r="AA108" s="402"/>
      <c r="AB108" s="402"/>
      <c r="AC108" s="467"/>
      <c r="AD108" s="402"/>
      <c r="AE108" s="402"/>
      <c r="AF108" s="402"/>
    </row>
    <row r="109" spans="1:33" s="402" customFormat="1" x14ac:dyDescent="0.2">
      <c r="A109" s="434"/>
      <c r="B109" s="434"/>
      <c r="C109" s="440"/>
      <c r="D109" s="555"/>
      <c r="E109" s="485"/>
      <c r="F109" s="561"/>
      <c r="G109" s="546"/>
      <c r="H109" s="370"/>
      <c r="I109" s="356"/>
      <c r="J109" s="356"/>
      <c r="K109" s="356"/>
      <c r="L109" s="356"/>
      <c r="M109" s="356"/>
      <c r="N109" s="356"/>
      <c r="O109" s="370"/>
      <c r="P109" s="370"/>
      <c r="Q109" s="370"/>
      <c r="R109" s="370"/>
      <c r="S109" s="370"/>
      <c r="T109" s="370"/>
      <c r="U109" s="370"/>
      <c r="V109" s="370"/>
      <c r="W109" s="370"/>
      <c r="X109" s="370"/>
      <c r="Y109" s="370"/>
      <c r="AC109" s="467"/>
      <c r="AG109" s="356"/>
    </row>
    <row r="110" spans="1:33" s="402" customFormat="1" ht="18" x14ac:dyDescent="0.25">
      <c r="A110" s="680" t="s">
        <v>357</v>
      </c>
      <c r="B110" s="436"/>
      <c r="C110" s="440"/>
      <c r="D110" s="555"/>
      <c r="E110" s="485"/>
      <c r="F110" s="561"/>
      <c r="G110" s="546"/>
      <c r="H110" s="383"/>
      <c r="I110" s="404"/>
      <c r="J110" s="404"/>
      <c r="K110" s="404"/>
      <c r="L110" s="404"/>
      <c r="M110" s="404"/>
      <c r="N110" s="404"/>
      <c r="O110" s="383"/>
      <c r="P110" s="383"/>
      <c r="Q110" s="383"/>
      <c r="R110" s="383"/>
      <c r="S110" s="383"/>
      <c r="T110" s="383"/>
      <c r="U110" s="383"/>
      <c r="V110" s="383"/>
      <c r="W110" s="383"/>
      <c r="X110" s="383"/>
      <c r="Y110" s="383"/>
      <c r="AC110" s="467"/>
      <c r="AG110" s="370"/>
    </row>
    <row r="111" spans="1:33" s="402" customFormat="1" x14ac:dyDescent="0.2">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AC111" s="467"/>
      <c r="AG111" s="356"/>
    </row>
    <row r="112" spans="1:33" s="402" customFormat="1" x14ac:dyDescent="0.2">
      <c r="A112" s="436"/>
      <c r="B112" s="436"/>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G112" s="356"/>
    </row>
    <row r="113" spans="1:33" s="402" customFormat="1" x14ac:dyDescent="0.2">
      <c r="A113" s="434"/>
      <c r="B113" s="434"/>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ht="15.75" x14ac:dyDescent="0.25">
      <c r="A114" s="681"/>
      <c r="B114" s="436"/>
      <c r="C114" s="440"/>
      <c r="D114" s="555"/>
      <c r="E114" s="485"/>
      <c r="F114" s="561"/>
      <c r="G114" s="546"/>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
      <c r="A115" s="434"/>
      <c r="B115" s="434"/>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458"/>
      <c r="AF115" s="459"/>
      <c r="AG115" s="356"/>
    </row>
    <row r="116" spans="1:33" s="402" customFormat="1" x14ac:dyDescent="0.2">
      <c r="A116" s="436"/>
      <c r="B116" s="436"/>
      <c r="C116" s="440"/>
      <c r="D116" s="555"/>
      <c r="E116" s="485"/>
      <c r="F116" s="561"/>
      <c r="G116" s="546"/>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D116" s="457"/>
      <c r="AE116" s="458"/>
      <c r="AF116" s="459"/>
      <c r="AG116" s="356"/>
    </row>
    <row r="117" spans="1:33" s="402" customFormat="1" x14ac:dyDescent="0.2">
      <c r="A117" s="434"/>
      <c r="B117" s="434"/>
      <c r="C117" s="440"/>
      <c r="D117" s="555"/>
      <c r="E117" s="485"/>
      <c r="F117" s="561"/>
      <c r="G117" s="546"/>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66"/>
      <c r="AD117" s="457"/>
      <c r="AE117" s="535"/>
      <c r="AG117" s="356"/>
    </row>
    <row r="118" spans="1:33" s="402" customFormat="1" x14ac:dyDescent="0.2">
      <c r="A118" s="436"/>
      <c r="B118" s="436"/>
      <c r="C118" s="440"/>
      <c r="D118" s="555"/>
      <c r="E118" s="485"/>
      <c r="F118" s="561"/>
      <c r="G118" s="546"/>
      <c r="H118" s="387"/>
      <c r="I118" s="356"/>
      <c r="J118" s="356"/>
      <c r="K118" s="356"/>
      <c r="L118" s="356"/>
      <c r="M118" s="356"/>
      <c r="N118" s="356"/>
      <c r="O118" s="386"/>
      <c r="P118" s="386"/>
      <c r="Q118" s="387"/>
      <c r="R118" s="387"/>
      <c r="S118" s="387"/>
      <c r="T118" s="387"/>
      <c r="U118" s="387"/>
      <c r="V118" s="387"/>
      <c r="W118" s="387"/>
      <c r="X118" s="387"/>
      <c r="Y118" s="387"/>
      <c r="Z118" s="387"/>
      <c r="AA118" s="387"/>
      <c r="AB118" s="387"/>
      <c r="AC118" s="468"/>
      <c r="AG118" s="356"/>
    </row>
    <row r="119" spans="1:33" s="402" customFormat="1" x14ac:dyDescent="0.2">
      <c r="A119" s="434"/>
      <c r="B119" s="434"/>
      <c r="C119" s="440"/>
      <c r="D119" s="555"/>
      <c r="E119" s="485"/>
      <c r="F119" s="561"/>
      <c r="G119" s="546"/>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69"/>
      <c r="AD119" s="536"/>
      <c r="AE119" s="461"/>
    </row>
    <row r="120" spans="1:33" s="460" customFormat="1" ht="13.5" thickBot="1" x14ac:dyDescent="0.25">
      <c r="A120" s="436"/>
      <c r="B120" s="436"/>
      <c r="C120" s="440"/>
      <c r="D120" s="555"/>
      <c r="E120" s="485"/>
      <c r="F120" s="561"/>
      <c r="G120" s="546"/>
      <c r="H120" s="388"/>
      <c r="I120" s="356"/>
      <c r="J120" s="356"/>
      <c r="K120" s="356"/>
      <c r="L120" s="356"/>
      <c r="M120" s="356"/>
      <c r="N120" s="356"/>
      <c r="O120" s="411"/>
      <c r="P120" s="411"/>
      <c r="Q120" s="388"/>
      <c r="R120" s="388"/>
      <c r="S120" s="388"/>
      <c r="T120" s="388"/>
      <c r="U120" s="388"/>
      <c r="V120" s="388"/>
      <c r="W120" s="388"/>
      <c r="X120" s="388"/>
      <c r="Y120" s="388"/>
      <c r="Z120" s="388"/>
      <c r="AA120" s="388"/>
      <c r="AB120" s="388"/>
      <c r="AC120" s="469"/>
      <c r="AD120" s="461"/>
      <c r="AE120" s="461"/>
      <c r="AF120" s="402"/>
      <c r="AG120" s="402"/>
    </row>
    <row r="121" spans="1:33" s="402" customFormat="1" x14ac:dyDescent="0.2">
      <c r="A121" s="434"/>
      <c r="B121" s="434"/>
      <c r="C121" s="440"/>
      <c r="D121" s="555"/>
      <c r="E121" s="485"/>
      <c r="F121" s="561"/>
      <c r="G121" s="546"/>
      <c r="H121" s="388"/>
      <c r="I121" s="356"/>
      <c r="J121" s="428"/>
      <c r="K121" s="356"/>
      <c r="L121" s="356"/>
      <c r="M121" s="356"/>
      <c r="N121" s="356"/>
      <c r="O121" s="411"/>
      <c r="P121" s="411"/>
      <c r="Q121" s="388"/>
      <c r="R121" s="388"/>
      <c r="S121" s="388"/>
      <c r="T121" s="388"/>
      <c r="U121" s="388"/>
      <c r="V121" s="388"/>
      <c r="W121" s="388"/>
      <c r="X121" s="388"/>
      <c r="Y121" s="388"/>
      <c r="Z121" s="388"/>
      <c r="AA121" s="388"/>
      <c r="AB121" s="388"/>
      <c r="AC121" s="469"/>
      <c r="AD121" s="356"/>
      <c r="AE121" s="356"/>
    </row>
    <row r="122" spans="1:33" s="356" customFormat="1" x14ac:dyDescent="0.2">
      <c r="A122" s="436"/>
      <c r="B122" s="436"/>
      <c r="C122" s="440"/>
      <c r="D122" s="555"/>
      <c r="E122" s="485"/>
      <c r="F122" s="561"/>
      <c r="G122" s="546"/>
      <c r="H122" s="388"/>
      <c r="O122" s="411"/>
      <c r="P122" s="411"/>
      <c r="Q122" s="388"/>
      <c r="R122" s="388"/>
      <c r="S122" s="388"/>
      <c r="T122" s="388"/>
      <c r="U122" s="388"/>
      <c r="V122" s="388"/>
      <c r="W122" s="388"/>
      <c r="X122" s="388"/>
      <c r="Y122" s="388"/>
      <c r="Z122" s="388"/>
      <c r="AA122" s="388"/>
      <c r="AB122" s="388"/>
      <c r="AC122" s="469"/>
      <c r="AD122" s="457"/>
      <c r="AE122" s="535"/>
      <c r="AF122" s="537"/>
      <c r="AG122" s="402"/>
    </row>
    <row r="123" spans="1:33" s="356" customFormat="1" x14ac:dyDescent="0.2">
      <c r="A123" s="436"/>
      <c r="B123" s="434"/>
      <c r="C123" s="440"/>
      <c r="D123" s="555"/>
      <c r="E123" s="527"/>
      <c r="F123" s="561"/>
      <c r="G123" s="546"/>
      <c r="H123" s="391"/>
      <c r="O123" s="412"/>
      <c r="P123" s="412"/>
      <c r="Q123" s="391"/>
      <c r="R123" s="391"/>
      <c r="S123" s="391"/>
      <c r="T123" s="391"/>
      <c r="U123" s="391"/>
      <c r="V123" s="391"/>
      <c r="W123" s="391"/>
      <c r="X123" s="391"/>
      <c r="Y123" s="391"/>
      <c r="Z123" s="388"/>
      <c r="AA123" s="388"/>
      <c r="AB123" s="388"/>
      <c r="AC123" s="469"/>
      <c r="AD123" s="457"/>
      <c r="AE123" s="535"/>
      <c r="AF123" s="537"/>
      <c r="AG123" s="402"/>
    </row>
    <row r="124" spans="1:33" s="356" customFormat="1" x14ac:dyDescent="0.2">
      <c r="A124" s="550"/>
      <c r="B124" s="436"/>
      <c r="C124" s="440"/>
      <c r="D124" s="556"/>
      <c r="E124" s="481"/>
      <c r="F124" s="561"/>
      <c r="G124" s="546"/>
      <c r="H124" s="391"/>
      <c r="O124" s="412"/>
      <c r="P124" s="412"/>
      <c r="Q124" s="391"/>
      <c r="R124" s="391"/>
      <c r="S124" s="391"/>
      <c r="T124" s="391"/>
      <c r="U124" s="391"/>
      <c r="V124" s="391"/>
      <c r="W124" s="391"/>
      <c r="X124" s="391"/>
      <c r="Y124" s="391"/>
      <c r="Z124" s="388"/>
      <c r="AA124" s="388"/>
      <c r="AB124" s="388"/>
      <c r="AC124" s="469"/>
      <c r="AD124" s="461"/>
      <c r="AE124" s="461"/>
      <c r="AF124" s="537"/>
      <c r="AG124" s="402"/>
    </row>
    <row r="125" spans="1:33" s="402" customFormat="1" x14ac:dyDescent="0.2">
      <c r="A125" s="356"/>
      <c r="B125" s="356"/>
      <c r="C125" s="356"/>
      <c r="D125" s="555"/>
      <c r="E125" s="356"/>
      <c r="F125" s="356"/>
      <c r="G125" s="434"/>
      <c r="H125" s="391"/>
      <c r="I125" s="356"/>
      <c r="J125" s="356"/>
      <c r="K125" s="356"/>
      <c r="L125" s="356"/>
      <c r="M125" s="356"/>
      <c r="N125" s="356"/>
      <c r="O125" s="412"/>
      <c r="P125" s="412"/>
      <c r="Q125" s="391"/>
      <c r="R125" s="391"/>
      <c r="S125" s="391"/>
      <c r="T125" s="391"/>
      <c r="U125" s="391"/>
      <c r="V125" s="391"/>
      <c r="W125" s="391"/>
      <c r="X125" s="391"/>
      <c r="Y125" s="391"/>
      <c r="Z125" s="388"/>
      <c r="AA125" s="388"/>
      <c r="AB125" s="388"/>
      <c r="AC125" s="469"/>
      <c r="AF125" s="455"/>
    </row>
    <row r="126" spans="1:33" s="402" customFormat="1" ht="18" x14ac:dyDescent="0.25">
      <c r="A126" s="433"/>
      <c r="B126" s="442"/>
      <c r="C126" s="443"/>
      <c r="D126" s="557"/>
      <c r="E126" s="443"/>
      <c r="F126" s="443"/>
      <c r="G126" s="434"/>
      <c r="H126" s="434"/>
      <c r="I126" s="356"/>
      <c r="J126" s="356"/>
      <c r="K126" s="356"/>
      <c r="L126" s="356"/>
      <c r="M126" s="356"/>
      <c r="N126" s="356"/>
      <c r="O126" s="444"/>
      <c r="P126" s="444"/>
      <c r="Q126" s="434"/>
      <c r="R126" s="434"/>
      <c r="S126" s="434"/>
      <c r="T126" s="434"/>
      <c r="U126" s="434"/>
      <c r="V126" s="434"/>
      <c r="W126" s="434"/>
      <c r="X126" s="434"/>
      <c r="Y126" s="391"/>
      <c r="Z126" s="388"/>
      <c r="AA126" s="388"/>
      <c r="AB126" s="388"/>
      <c r="AC126" s="469"/>
      <c r="AF126" s="455"/>
    </row>
    <row r="127" spans="1:33" s="402" customFormat="1" x14ac:dyDescent="0.2">
      <c r="A127" s="434"/>
      <c r="B127" s="434"/>
      <c r="C127" s="434"/>
      <c r="D127" s="558"/>
      <c r="E127" s="434"/>
      <c r="F127" s="434"/>
      <c r="G127" s="434"/>
      <c r="H127" s="434"/>
      <c r="I127" s="356"/>
      <c r="J127" s="356"/>
      <c r="K127" s="356"/>
      <c r="L127" s="356"/>
      <c r="M127" s="356"/>
      <c r="N127" s="356"/>
      <c r="O127" s="444"/>
      <c r="P127" s="444"/>
      <c r="Q127" s="434"/>
      <c r="R127" s="434"/>
      <c r="S127" s="434"/>
      <c r="T127" s="434"/>
      <c r="U127" s="434"/>
      <c r="V127" s="434"/>
      <c r="W127" s="434"/>
      <c r="X127" s="434"/>
      <c r="Y127" s="391"/>
      <c r="Z127" s="388"/>
      <c r="AA127" s="388"/>
      <c r="AB127" s="388"/>
      <c r="AC127" s="469"/>
      <c r="AF127" s="356"/>
    </row>
    <row r="128" spans="1:33" s="402" customFormat="1" ht="18" x14ac:dyDescent="0.25">
      <c r="A128" s="438"/>
      <c r="B128" s="439"/>
      <c r="C128" s="439"/>
      <c r="D128" s="677"/>
      <c r="E128" s="439"/>
      <c r="F128" s="678"/>
      <c r="G128" s="439"/>
      <c r="H128" s="434"/>
      <c r="I128" s="356"/>
      <c r="J128" s="356"/>
      <c r="K128" s="356"/>
      <c r="L128" s="356"/>
      <c r="M128" s="356"/>
      <c r="N128" s="356"/>
      <c r="O128" s="444"/>
      <c r="P128" s="444"/>
      <c r="Q128" s="434"/>
      <c r="R128" s="434"/>
      <c r="S128" s="434"/>
      <c r="T128" s="434"/>
      <c r="U128" s="434"/>
      <c r="V128" s="434"/>
      <c r="W128" s="434"/>
      <c r="X128" s="434"/>
      <c r="Y128" s="391"/>
      <c r="Z128" s="391"/>
      <c r="AA128" s="391"/>
      <c r="AB128" s="391"/>
      <c r="AC128" s="470"/>
      <c r="AF128" s="356"/>
    </row>
    <row r="129" spans="1:33" s="402" customFormat="1" ht="18" x14ac:dyDescent="0.25">
      <c r="A129" s="438"/>
      <c r="B129" s="439"/>
      <c r="C129" s="439"/>
      <c r="D129" s="559"/>
      <c r="E129" s="437"/>
      <c r="F129" s="437"/>
      <c r="G129" s="434"/>
      <c r="H129" s="445"/>
      <c r="I129" s="446"/>
      <c r="J129" s="356"/>
      <c r="K129" s="356"/>
      <c r="L129" s="356"/>
      <c r="M129" s="447"/>
      <c r="N129" s="448"/>
      <c r="O129" s="444"/>
      <c r="P129" s="444"/>
      <c r="Q129" s="434"/>
      <c r="R129" s="434"/>
      <c r="S129" s="434"/>
      <c r="T129" s="434"/>
      <c r="U129" s="434"/>
      <c r="V129" s="434"/>
      <c r="W129" s="434"/>
      <c r="X129" s="434"/>
      <c r="Y129" s="391"/>
      <c r="Z129" s="391"/>
      <c r="AA129" s="391"/>
      <c r="AB129" s="391"/>
      <c r="AC129" s="470"/>
      <c r="AF129" s="356"/>
    </row>
    <row r="130" spans="1:33" s="402" customFormat="1" ht="13.5" thickBot="1" x14ac:dyDescent="0.25">
      <c r="A130" s="436"/>
      <c r="B130" s="434"/>
      <c r="C130" s="440"/>
      <c r="D130" s="555"/>
      <c r="E130" s="527"/>
      <c r="F130" s="561"/>
      <c r="G130" s="546"/>
      <c r="I130" s="449"/>
      <c r="J130" s="450"/>
      <c r="K130" s="356"/>
      <c r="L130" s="356"/>
      <c r="M130" s="356"/>
      <c r="N130" s="356"/>
      <c r="O130" s="444"/>
      <c r="P130" s="444"/>
      <c r="Q130" s="434"/>
      <c r="R130" s="434"/>
      <c r="S130" s="434"/>
      <c r="T130" s="434"/>
      <c r="U130" s="434"/>
      <c r="V130" s="434"/>
      <c r="W130" s="434"/>
      <c r="X130" s="434"/>
      <c r="Y130" s="391"/>
      <c r="Z130" s="391"/>
      <c r="AA130" s="452"/>
      <c r="AB130" s="391"/>
      <c r="AC130" s="470"/>
      <c r="AD130" s="356"/>
      <c r="AE130" s="356"/>
      <c r="AF130" s="356"/>
      <c r="AG130" s="460"/>
    </row>
    <row r="131" spans="1:33" s="402" customFormat="1" x14ac:dyDescent="0.2">
      <c r="A131" s="434"/>
      <c r="B131" s="434"/>
      <c r="C131" s="440"/>
      <c r="D131" s="560"/>
      <c r="E131" s="485"/>
      <c r="F131" s="561"/>
      <c r="G131" s="546"/>
      <c r="I131" s="449"/>
      <c r="J131" s="450"/>
      <c r="K131" s="356"/>
      <c r="L131" s="356"/>
      <c r="M131" s="356"/>
      <c r="N131" s="356"/>
      <c r="O131" s="444"/>
      <c r="P131" s="444"/>
      <c r="Q131" s="434"/>
      <c r="R131" s="434"/>
      <c r="S131" s="434"/>
      <c r="T131" s="434"/>
      <c r="U131" s="434"/>
      <c r="V131" s="434"/>
      <c r="W131" s="434"/>
      <c r="X131" s="434"/>
      <c r="Y131" s="391"/>
      <c r="Z131" s="391"/>
      <c r="AA131" s="452"/>
      <c r="AB131" s="391"/>
      <c r="AC131" s="470"/>
      <c r="AD131" s="403"/>
      <c r="AE131" s="356"/>
      <c r="AF131" s="356"/>
    </row>
    <row r="132" spans="1:33" s="402" customFormat="1" x14ac:dyDescent="0.2">
      <c r="A132" s="436"/>
      <c r="B132" s="434"/>
      <c r="C132" s="440"/>
      <c r="D132" s="556"/>
      <c r="E132" s="485"/>
      <c r="F132" s="561"/>
      <c r="G132" s="546"/>
      <c r="I132" s="449"/>
      <c r="J132" s="450"/>
      <c r="K132" s="376"/>
      <c r="L132" s="376"/>
      <c r="M132" s="376"/>
      <c r="N132" s="376"/>
      <c r="O132" s="444"/>
      <c r="P132" s="444"/>
      <c r="Q132" s="434"/>
      <c r="R132" s="434"/>
      <c r="S132" s="434"/>
      <c r="T132" s="434"/>
      <c r="U132" s="434"/>
      <c r="V132" s="434"/>
      <c r="W132" s="434"/>
      <c r="X132" s="434"/>
      <c r="Y132" s="391"/>
      <c r="Z132" s="391"/>
      <c r="AA132" s="452"/>
      <c r="AB132" s="391"/>
      <c r="AC132" s="470"/>
      <c r="AF132" s="356"/>
      <c r="AG132" s="356"/>
    </row>
    <row r="133" spans="1:33" s="402" customFormat="1" x14ac:dyDescent="0.2">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29"/>
      <c r="AE133" s="430"/>
      <c r="AF133" s="356"/>
      <c r="AG133" s="356"/>
    </row>
    <row r="134" spans="1:33" s="402" customFormat="1" x14ac:dyDescent="0.2">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91"/>
      <c r="AA134" s="452"/>
      <c r="AB134" s="391"/>
      <c r="AC134" s="470"/>
      <c r="AD134" s="403"/>
      <c r="AE134" s="356"/>
      <c r="AF134" s="356"/>
      <c r="AG134" s="356"/>
    </row>
    <row r="135" spans="1:33" s="402" customFormat="1" x14ac:dyDescent="0.2">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91"/>
      <c r="AA135" s="452"/>
      <c r="AB135" s="391"/>
      <c r="AC135" s="470"/>
      <c r="AD135" s="403"/>
      <c r="AE135" s="356"/>
      <c r="AF135" s="356"/>
    </row>
    <row r="136" spans="1:33" s="402" customFormat="1" x14ac:dyDescent="0.2">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3"/>
      <c r="AE136" s="356"/>
      <c r="AF136" s="356"/>
    </row>
    <row r="137" spans="1:33" s="402" customFormat="1" x14ac:dyDescent="0.2">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3"/>
      <c r="AE137" s="356"/>
      <c r="AF137" s="356"/>
    </row>
    <row r="138" spans="1:33" s="402" customFormat="1" x14ac:dyDescent="0.2">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6"/>
      <c r="AE138" s="397"/>
      <c r="AF138" s="403"/>
    </row>
    <row r="139" spans="1:33" s="402" customFormat="1" x14ac:dyDescent="0.2">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8"/>
      <c r="AE139" s="398"/>
      <c r="AF139" s="403"/>
    </row>
    <row r="140" spans="1:33" s="402" customFormat="1" x14ac:dyDescent="0.2">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396"/>
      <c r="AE140" s="397"/>
      <c r="AF140" s="403"/>
    </row>
    <row r="141" spans="1:33" s="402" customFormat="1" x14ac:dyDescent="0.2">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399"/>
      <c r="AF141" s="403"/>
    </row>
    <row r="142" spans="1:33" s="402" customFormat="1" x14ac:dyDescent="0.2">
      <c r="A142" s="436"/>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399"/>
      <c r="AF142" s="403"/>
    </row>
    <row r="143" spans="1:33" s="402" customFormat="1" x14ac:dyDescent="0.2">
      <c r="A143" s="434"/>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1"/>
      <c r="AE143" s="413"/>
      <c r="AF143" s="403"/>
    </row>
    <row r="144" spans="1:33" s="402" customFormat="1" x14ac:dyDescent="0.2">
      <c r="A144" s="436"/>
      <c r="B144" s="434"/>
      <c r="C144" s="440"/>
      <c r="D144" s="556"/>
      <c r="E144" s="485"/>
      <c r="F144" s="561"/>
      <c r="G144" s="546"/>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1"/>
      <c r="AE144" s="414"/>
      <c r="AF144" s="356"/>
    </row>
    <row r="145" spans="1:32" s="402" customFormat="1" x14ac:dyDescent="0.2">
      <c r="A145" s="434"/>
      <c r="B145" s="434"/>
      <c r="C145" s="440"/>
      <c r="D145" s="556"/>
      <c r="E145" s="485"/>
      <c r="F145" s="561"/>
      <c r="G145" s="546"/>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396"/>
      <c r="AE145" s="397"/>
      <c r="AF145" s="356"/>
    </row>
    <row r="146" spans="1:32" s="402" customFormat="1" x14ac:dyDescent="0.2">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96"/>
      <c r="AE146" s="397"/>
      <c r="AF146" s="398"/>
    </row>
    <row r="147" spans="1:32" s="402" customFormat="1" x14ac:dyDescent="0.2">
      <c r="A147" s="434"/>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81"/>
      <c r="AE147" s="381"/>
      <c r="AF147" s="396"/>
    </row>
    <row r="148" spans="1:32" s="402" customFormat="1" x14ac:dyDescent="0.2">
      <c r="A148" s="436"/>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96"/>
    </row>
    <row r="149" spans="1:32" s="402" customFormat="1" x14ac:dyDescent="0.2">
      <c r="A149" s="434"/>
      <c r="B149" s="434"/>
      <c r="C149" s="440"/>
      <c r="D149" s="556"/>
      <c r="E149" s="485"/>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82"/>
      <c r="AE149" s="382"/>
      <c r="AF149" s="394"/>
    </row>
    <row r="150" spans="1:32" s="402" customFormat="1" x14ac:dyDescent="0.2">
      <c r="A150" s="436"/>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82"/>
      <c r="AE150" s="382"/>
      <c r="AF150" s="367"/>
    </row>
    <row r="151" spans="1:32" s="402" customFormat="1" x14ac:dyDescent="0.2">
      <c r="A151" s="434"/>
      <c r="B151" s="434"/>
      <c r="C151" s="440"/>
      <c r="D151" s="556"/>
      <c r="E151" s="485"/>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70"/>
      <c r="AE151" s="370"/>
      <c r="AF151" s="367"/>
    </row>
    <row r="152" spans="1:32" s="402" customFormat="1" x14ac:dyDescent="0.2">
      <c r="A152" s="436"/>
      <c r="B152" s="434"/>
      <c r="C152" s="440"/>
      <c r="D152" s="556"/>
      <c r="E152" s="485"/>
      <c r="F152" s="561"/>
      <c r="G152" s="546"/>
      <c r="I152" s="451"/>
      <c r="J152" s="450"/>
      <c r="K152" s="434"/>
      <c r="L152" s="434"/>
      <c r="M152" s="444"/>
      <c r="N152" s="444"/>
      <c r="O152" s="434"/>
      <c r="R152" s="434"/>
      <c r="S152" s="434"/>
      <c r="T152" s="434"/>
      <c r="U152" s="434"/>
      <c r="V152" s="434"/>
      <c r="W152" s="434"/>
      <c r="X152" s="434"/>
      <c r="Y152" s="391"/>
      <c r="Z152" s="370"/>
      <c r="AA152" s="452"/>
      <c r="AB152" s="370"/>
      <c r="AC152" s="465"/>
      <c r="AD152" s="370"/>
      <c r="AE152" s="370"/>
      <c r="AF152" s="367"/>
    </row>
    <row r="153" spans="1:32" s="402" customFormat="1" x14ac:dyDescent="0.2">
      <c r="A153" s="436"/>
      <c r="B153" s="434"/>
      <c r="C153" s="440"/>
      <c r="D153" s="556"/>
      <c r="E153" s="527"/>
      <c r="F153" s="561"/>
      <c r="G153" s="546"/>
      <c r="I153" s="451"/>
      <c r="J153" s="450"/>
      <c r="K153" s="434"/>
      <c r="L153" s="434"/>
      <c r="M153" s="444"/>
      <c r="N153" s="444"/>
      <c r="O153" s="434"/>
      <c r="R153" s="434"/>
      <c r="S153" s="434"/>
      <c r="T153" s="434"/>
      <c r="U153" s="434"/>
      <c r="V153" s="434"/>
      <c r="W153" s="434"/>
      <c r="X153" s="434"/>
      <c r="Y153" s="391"/>
      <c r="Z153" s="370"/>
      <c r="AA153" s="452"/>
      <c r="AB153" s="370"/>
      <c r="AC153" s="465"/>
      <c r="AD153" s="383"/>
      <c r="AE153" s="383"/>
      <c r="AF153" s="374"/>
    </row>
    <row r="154" spans="1:32" s="402" customFormat="1" x14ac:dyDescent="0.2">
      <c r="A154" s="370"/>
      <c r="B154" s="434"/>
      <c r="C154" s="440"/>
      <c r="D154" s="556"/>
      <c r="E154" s="481"/>
      <c r="F154" s="561"/>
      <c r="G154" s="546"/>
      <c r="H154" s="441"/>
      <c r="I154" s="451"/>
      <c r="J154" s="450"/>
      <c r="K154" s="434"/>
      <c r="L154" s="434"/>
      <c r="M154" s="444"/>
      <c r="N154" s="444"/>
      <c r="O154" s="434"/>
      <c r="R154" s="434"/>
      <c r="S154" s="434"/>
      <c r="T154" s="434"/>
      <c r="U154" s="434"/>
      <c r="V154" s="434"/>
      <c r="W154" s="434"/>
      <c r="X154" s="434"/>
      <c r="Y154" s="370"/>
      <c r="Z154" s="370"/>
      <c r="AA154" s="370"/>
      <c r="AB154" s="370"/>
      <c r="AC154" s="465"/>
      <c r="AD154" s="384"/>
      <c r="AE154" s="384"/>
      <c r="AF154" s="374"/>
    </row>
    <row r="155" spans="1:32" s="402" customFormat="1" x14ac:dyDescent="0.2">
      <c r="A155" s="370"/>
      <c r="B155" s="370"/>
      <c r="C155" s="370"/>
      <c r="D155" s="552"/>
      <c r="E155" s="484"/>
      <c r="F155" s="370"/>
      <c r="G155" s="370"/>
      <c r="H155" s="393"/>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4"/>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79"/>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81"/>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65"/>
      <c r="AD158" s="384"/>
      <c r="AE158" s="384"/>
      <c r="AF158" s="370"/>
    </row>
    <row r="159" spans="1:32" s="402" customFormat="1" x14ac:dyDescent="0.2">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65"/>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4"/>
      <c r="AE160" s="384"/>
      <c r="AF160" s="382"/>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7"/>
      <c r="AE161" s="387"/>
      <c r="AF161" s="370"/>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3"/>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88"/>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91"/>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91"/>
      <c r="AF169" s="384"/>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8"/>
      <c r="AE170" s="391"/>
      <c r="AF170" s="386"/>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91"/>
      <c r="AE174" s="391"/>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91"/>
      <c r="AE175" s="391"/>
      <c r="AF175" s="389"/>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4"/>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89"/>
      <c r="AF177" s="386"/>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2"/>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90"/>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89"/>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2"/>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88"/>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91"/>
      <c r="AE186" s="389"/>
      <c r="AF186" s="388"/>
    </row>
    <row r="187" spans="1:32" s="402" customFormat="1" ht="12.75" customHeigh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91"/>
      <c r="AE187" s="389"/>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398"/>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40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403"/>
      <c r="AH247" s="398"/>
    </row>
    <row r="248" spans="1:34" s="356" customFormat="1" ht="14.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403"/>
      <c r="AH248" s="397"/>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7"/>
    </row>
    <row r="250" spans="1:34" s="404" customFormat="1" ht="12"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56"/>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ht="17.2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H253" s="38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7"/>
      <c r="AH254" s="369"/>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97"/>
      <c r="AH255" s="369"/>
    </row>
    <row r="256" spans="1:34" s="356" customFormat="1" ht="13.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95"/>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68"/>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77"/>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5"/>
      <c r="AH261" s="381"/>
    </row>
    <row r="262" spans="1:34" s="356" customFormat="1" ht="15.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5"/>
      <c r="AH262" s="370"/>
    </row>
    <row r="263" spans="1:34" s="356" customFormat="1" ht="12.7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0"/>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1"/>
      <c r="AH264" s="382"/>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0"/>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2"/>
      <c r="AH266" s="383"/>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2"/>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0"/>
      <c r="AH268" s="384"/>
    </row>
    <row r="269" spans="1:34" s="356" customFormat="1" ht="14.2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3"/>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c r="AH271" s="384"/>
    </row>
    <row r="272" spans="1:34" s="37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c r="AH272" s="384"/>
    </row>
    <row r="273" spans="1:33" s="376" customFormat="1" ht="12"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7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s="377" customFormat="1" ht="11.25" customHeigh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row>
    <row r="276" spans="1:33" s="381"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4"/>
    </row>
    <row r="277" spans="1:33" x14ac:dyDescent="0.2">
      <c r="AG277" s="386"/>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8"/>
    </row>
    <row r="279" spans="1:33" s="382"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8"/>
    </row>
    <row r="280" spans="1:33" x14ac:dyDescent="0.2">
      <c r="AG280" s="388"/>
    </row>
    <row r="281" spans="1:33" x14ac:dyDescent="0.2">
      <c r="AG281" s="388"/>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90"/>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6"/>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77"/>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81"/>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70"/>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82"/>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82"/>
    </row>
    <row r="291" spans="1:33" s="383"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70"/>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7"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70"/>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3"/>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4"/>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7"/>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8"/>
    </row>
    <row r="317" spans="1:33" x14ac:dyDescent="0.2">
      <c r="AG317" s="388"/>
    </row>
    <row r="318" spans="1:33" x14ac:dyDescent="0.2">
      <c r="AG318" s="388"/>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row r="326" spans="33:33" x14ac:dyDescent="0.2">
      <c r="AG326"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17597.472895408162</v>
      </c>
      <c r="F22" s="33">
        <f>IF($I$22=1,C22*$C$8,C22*$G$7)+IF($J$22=1,D22*$C$6,D22*$G$6)</f>
        <v>1.96</v>
      </c>
      <c r="G22" s="32">
        <f t="shared" ref="G22:G29" ca="1" si="0">F22*E22</f>
        <v>34491.046875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11745.454998405612</v>
      </c>
      <c r="F25" s="33">
        <f t="shared" si="1"/>
        <v>1.96</v>
      </c>
      <c r="G25" s="32">
        <f t="shared" ca="1" si="0"/>
        <v>23021.091796875</v>
      </c>
      <c r="I25" s="31"/>
      <c r="J25" s="31"/>
      <c r="K25" s="31"/>
    </row>
    <row r="26" spans="1:12" x14ac:dyDescent="0.2">
      <c r="B26" s="234" t="s">
        <v>47</v>
      </c>
      <c r="C26" s="235">
        <v>1</v>
      </c>
      <c r="D26" s="235">
        <v>0</v>
      </c>
      <c r="E26" s="32">
        <f ca="1">-INDEX(Economics!$A$34:$D$45,MATCH(Fuel!B26,Economics!$A$34:$A$45,0),4)/Fuel!F26</f>
        <v>9132.5105628188776</v>
      </c>
      <c r="F26" s="33">
        <f t="shared" si="1"/>
        <v>1.96</v>
      </c>
      <c r="G26" s="32">
        <f t="shared" ca="1" si="0"/>
        <v>17899.720703125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3912.0304029815052</v>
      </c>
      <c r="F28" s="33">
        <f t="shared" si="1"/>
        <v>1.96</v>
      </c>
      <c r="G28" s="32">
        <f t="shared" ca="1" si="0"/>
        <v>7667.57958984375</v>
      </c>
      <c r="I28" s="31"/>
      <c r="J28" s="31"/>
      <c r="K28" s="31"/>
    </row>
    <row r="29" spans="1:12" x14ac:dyDescent="0.2">
      <c r="B29" s="234" t="s">
        <v>50</v>
      </c>
      <c r="C29" s="235">
        <v>1</v>
      </c>
      <c r="D29" s="235">
        <v>0</v>
      </c>
      <c r="E29" s="32">
        <f ca="1">-INDEX(Economics!$A$34:$D$45,MATCH(Fuel!B29,Economics!$A$34:$A$45,0),4)/Fuel!F29</f>
        <v>3860.4771205357142</v>
      </c>
      <c r="F29" s="33">
        <f t="shared" si="1"/>
        <v>1.96</v>
      </c>
      <c r="G29" s="32">
        <f t="shared" ca="1" si="0"/>
        <v>7566.53515625</v>
      </c>
      <c r="I29" s="31"/>
      <c r="J29" s="31"/>
      <c r="K29" s="31"/>
    </row>
    <row r="30" spans="1:12" x14ac:dyDescent="0.2">
      <c r="B30" s="236"/>
      <c r="C30" s="36"/>
      <c r="D30" s="36"/>
      <c r="E30" s="34">
        <f ca="1">SUM(E22:E29)</f>
        <v>46247.945980149867</v>
      </c>
      <c r="F30" s="35"/>
      <c r="G30" s="34">
        <f ca="1">SUM(G22:G29)</f>
        <v>90645.97412109375</v>
      </c>
      <c r="I30" s="31"/>
      <c r="J30" s="31"/>
      <c r="K30" s="31"/>
    </row>
    <row r="31" spans="1:12" x14ac:dyDescent="0.2">
      <c r="B31" s="236"/>
      <c r="I31" s="31"/>
      <c r="J31" s="31"/>
      <c r="K31" s="31"/>
    </row>
    <row r="32" spans="1:12" ht="13.5" thickBot="1" x14ac:dyDescent="0.25">
      <c r="B32" s="236" t="s">
        <v>18</v>
      </c>
      <c r="E32" s="7">
        <f ca="1">E15+E18+E30</f>
        <v>46247.945980149867</v>
      </c>
      <c r="F32" s="8"/>
      <c r="G32" s="7">
        <f ca="1">G15+G18+G30</f>
        <v>90645.97412109375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457221.6</v>
      </c>
      <c r="C3" s="117">
        <f ca="1">6.8*0.75*E3</f>
        <v>112648.79999999999</v>
      </c>
      <c r="D3" s="117">
        <f ca="1">C3+B3</f>
        <v>569870.39999999991</v>
      </c>
      <c r="E3" s="118">
        <f ca="1">SUM(Preschedule!B59:Y59)</f>
        <v>22088</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-2522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1320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1600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365</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-11362.070720000002</v>
      </c>
      <c r="C28" s="120"/>
      <c r="D28" s="120">
        <f ca="1">C28+B28</f>
        <v>-11362.070720000002</v>
      </c>
      <c r="E28" s="114">
        <f>SUM(Preschedule!B56:Y56)</f>
        <v>869</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-29413.200000000001</v>
      </c>
      <c r="C30" s="120"/>
      <c r="D30" s="120">
        <f>C30+B30</f>
        <v>-29413.200000000001</v>
      </c>
      <c r="E30" s="114">
        <f>SUM(Preschedule!B53:Y53)</f>
        <v>4825</v>
      </c>
      <c r="F30" s="120">
        <f>H30*I30</f>
        <v>6.0960000000000001</v>
      </c>
      <c r="G30" s="79">
        <f>-IF(E30=0,0,D30/E30)</f>
        <v>6.0960000000000001</v>
      </c>
      <c r="H30" s="134">
        <v>10.16</v>
      </c>
      <c r="I30" s="135">
        <v>0.6</v>
      </c>
    </row>
    <row r="31" spans="1:9" x14ac:dyDescent="0.2">
      <c r="A31" s="83" t="s">
        <v>44</v>
      </c>
      <c r="B31" s="120">
        <f>-F31*E31</f>
        <v>-29553.407999999999</v>
      </c>
      <c r="C31" s="120"/>
      <c r="D31" s="120">
        <f>C31+B31</f>
        <v>-29553.407999999999</v>
      </c>
      <c r="E31" s="114">
        <f>SUM(Preschedule!B54:Y54)</f>
        <v>4848</v>
      </c>
      <c r="F31" s="120">
        <f>H31*I31</f>
        <v>6.0960000000000001</v>
      </c>
      <c r="G31" s="79">
        <f>-IF(E31=0,0,D31/E31)</f>
        <v>6.0960000000000001</v>
      </c>
      <c r="H31" s="134">
        <v>10.16</v>
      </c>
      <c r="I31" s="135">
        <v>0.6</v>
      </c>
    </row>
    <row r="32" spans="1:9" x14ac:dyDescent="0.2">
      <c r="A32" s="83" t="s">
        <v>45</v>
      </c>
      <c r="B32" s="120">
        <f>-F32*E32</f>
        <v>-29553.407999999999</v>
      </c>
      <c r="C32" s="120"/>
      <c r="D32" s="120">
        <f>C32+B32</f>
        <v>-29553.407999999999</v>
      </c>
      <c r="E32" s="114">
        <f>SUM(Preschedule!B55:Y55)</f>
        <v>4848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-17899.720703125</v>
      </c>
      <c r="C35" s="120"/>
      <c r="D35" s="120">
        <f t="shared" ref="D35:D45" ca="1" si="7">IF(ISTEXT(B35),0,C35+B35)</f>
        <v>-17899.720703125</v>
      </c>
      <c r="E35" s="114">
        <f>SUM(Preschedule!B42:Y42)</f>
        <v>841</v>
      </c>
      <c r="F35" s="120">
        <f t="shared" ref="F35:F45" ca="1" si="8">-IF(OR(ISTEXT(B35),E35=0),0,B35/E35)</f>
        <v>21.283853392538646</v>
      </c>
      <c r="G35" s="79">
        <f t="shared" ca="1" si="6"/>
        <v>21.283853392538646</v>
      </c>
      <c r="H35" s="136"/>
      <c r="I35" s="135">
        <v>1.96</v>
      </c>
    </row>
    <row r="36" spans="1:9" x14ac:dyDescent="0.2">
      <c r="A36" s="83" t="s">
        <v>48</v>
      </c>
      <c r="B36" s="120">
        <f ca="1">Gencost(Preschedule!B43:Y43,OFFSET(HeatRateStart,1,MATCH(A36,HeatRateNames,0)-1,250,1),I36)</f>
        <v>-23021.091796875</v>
      </c>
      <c r="C36" s="120"/>
      <c r="D36" s="120">
        <f t="shared" ca="1" si="7"/>
        <v>-23021.091796875</v>
      </c>
      <c r="E36" s="114">
        <f>SUM(Preschedule!B43:Y43)</f>
        <v>1106</v>
      </c>
      <c r="F36" s="120">
        <f t="shared" ca="1" si="8"/>
        <v>20.814730376921339</v>
      </c>
      <c r="G36" s="79">
        <f t="shared" ca="1" si="6"/>
        <v>20.814730376921339</v>
      </c>
      <c r="H36" s="136"/>
      <c r="I36" s="135">
        <f>INDEX(FuelPriceTable,MATCH(A36,FuelNames,0),5)</f>
        <v>1.96</v>
      </c>
    </row>
    <row r="37" spans="1:9" x14ac:dyDescent="0.2">
      <c r="A37" s="83" t="s">
        <v>49</v>
      </c>
      <c r="B37" s="120">
        <f ca="1">Gencost(Preschedule!B44:Y44,OFFSET(HeatRateStart,1,MATCH(A37,HeatRateNames,0)-1,250,1),I37)</f>
        <v>-7667.57958984375</v>
      </c>
      <c r="C37" s="120"/>
      <c r="D37" s="120">
        <f t="shared" ca="1" si="7"/>
        <v>-7667.57958984375</v>
      </c>
      <c r="E37" s="114">
        <f>SUM(Preschedule!B44:Y44)</f>
        <v>230</v>
      </c>
      <c r="F37" s="120">
        <f t="shared" ca="1" si="8"/>
        <v>33.337302564538042</v>
      </c>
      <c r="G37" s="79">
        <f t="shared" ca="1" si="6"/>
        <v>33.337302564538042</v>
      </c>
      <c r="H37" s="136"/>
      <c r="I37" s="135">
        <f t="shared" ref="I37:I45" si="9">INDEX(FuelPriceTable,MATCH(A37,FuelNames,0),5)</f>
        <v>1.96</v>
      </c>
    </row>
    <row r="38" spans="1:9" x14ac:dyDescent="0.2">
      <c r="A38" s="83" t="s">
        <v>50</v>
      </c>
      <c r="B38" s="120">
        <f ca="1">Gencost(Preschedule!B45:Y45,OFFSET(HeatRateStart,1,MATCH(A38,HeatRateNames,0)-1,250,1),I38)</f>
        <v>-7566.53515625</v>
      </c>
      <c r="C38" s="120"/>
      <c r="D38" s="120">
        <f t="shared" ca="1" si="7"/>
        <v>-7566.53515625</v>
      </c>
      <c r="E38" s="114">
        <f>SUM(Preschedule!B45:Y45)</f>
        <v>225</v>
      </c>
      <c r="F38" s="120">
        <f t="shared" ca="1" si="8"/>
        <v>33.629045138888891</v>
      </c>
      <c r="G38" s="79">
        <f t="shared" ca="1" si="6"/>
        <v>33.629045138888891</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-34491.046875</v>
      </c>
      <c r="C41" s="120"/>
      <c r="D41" s="120">
        <f t="shared" ca="1" si="7"/>
        <v>-34491.046875</v>
      </c>
      <c r="E41" s="114">
        <f>SUM(Preschedule!B48:Y48)</f>
        <v>1774</v>
      </c>
      <c r="F41" s="120">
        <f t="shared" ca="1" si="8"/>
        <v>19.442529241826382</v>
      </c>
      <c r="G41" s="79">
        <f t="shared" ca="1" si="6"/>
        <v>19.442529241826382</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37296.956944444442</v>
      </c>
    </row>
    <row r="2" spans="2:2" x14ac:dyDescent="0.2">
      <c r="B2" t="s">
        <v>383</v>
      </c>
    </row>
    <row r="3" spans="2:2" x14ac:dyDescent="0.2">
      <c r="B3" t="s">
        <v>395</v>
      </c>
    </row>
    <row r="4" spans="2:2" x14ac:dyDescent="0.2">
      <c r="B4" t="s">
        <v>396</v>
      </c>
    </row>
    <row r="5" spans="2:2" x14ac:dyDescent="0.2">
      <c r="B5" t="s">
        <v>394</v>
      </c>
    </row>
    <row r="6" spans="2:2" x14ac:dyDescent="0.2">
      <c r="B6" t="s">
        <v>387</v>
      </c>
    </row>
    <row r="7" spans="2:2" x14ac:dyDescent="0.2">
      <c r="B7" t="s">
        <v>350</v>
      </c>
    </row>
    <row r="8" spans="2:2" x14ac:dyDescent="0.2">
      <c r="B8" t="s">
        <v>352</v>
      </c>
    </row>
    <row r="9" spans="2:2" x14ac:dyDescent="0.2">
      <c r="B9" t="s">
        <v>388</v>
      </c>
    </row>
    <row r="10" spans="2:2" x14ac:dyDescent="0.2">
      <c r="B10" t="s">
        <v>397</v>
      </c>
    </row>
    <row r="11" spans="2:2" x14ac:dyDescent="0.2">
      <c r="B11" t="s">
        <v>353</v>
      </c>
    </row>
    <row r="12" spans="2:2" x14ac:dyDescent="0.2">
      <c r="B12" t="s">
        <v>355</v>
      </c>
    </row>
    <row r="13" spans="2:2" x14ac:dyDescent="0.2">
      <c r="B13" t="s">
        <v>354</v>
      </c>
    </row>
    <row r="14" spans="2:2" x14ac:dyDescent="0.2">
      <c r="B14" t="s">
        <v>384</v>
      </c>
    </row>
    <row r="15" spans="2:2" x14ac:dyDescent="0.2">
      <c r="B15" t="s">
        <v>356</v>
      </c>
    </row>
    <row r="16" spans="2:2" x14ac:dyDescent="0.2">
      <c r="B16" t="s">
        <v>398</v>
      </c>
    </row>
    <row r="17" spans="2:2" x14ac:dyDescent="0.2">
      <c r="B17" t="s">
        <v>381</v>
      </c>
    </row>
    <row r="18" spans="2:2" x14ac:dyDescent="0.2">
      <c r="B18" t="s">
        <v>399</v>
      </c>
    </row>
    <row r="19" spans="2:2" x14ac:dyDescent="0.2">
      <c r="B19" t="s">
        <v>389</v>
      </c>
    </row>
    <row r="20" spans="2:2" x14ac:dyDescent="0.2">
      <c r="B20" t="s">
        <v>390</v>
      </c>
    </row>
    <row r="21" spans="2:2" x14ac:dyDescent="0.2">
      <c r="B21" t="s">
        <v>391</v>
      </c>
    </row>
    <row r="22" spans="2:2" x14ac:dyDescent="0.2">
      <c r="B22" t="s">
        <v>392</v>
      </c>
    </row>
    <row r="23" spans="2:2" x14ac:dyDescent="0.2">
      <c r="B23" t="s">
        <v>393</v>
      </c>
    </row>
    <row r="24" spans="2:2" x14ac:dyDescent="0.2">
      <c r="B24" t="s">
        <v>400</v>
      </c>
    </row>
    <row r="25" spans="2:2" x14ac:dyDescent="0.2">
      <c r="B25" t="s">
        <v>386</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2002-01-03T16:25:16Z</cp:lastPrinted>
  <dcterms:created xsi:type="dcterms:W3CDTF">1998-02-07T06:53:21Z</dcterms:created>
  <dcterms:modified xsi:type="dcterms:W3CDTF">2023-09-09T21:33:09Z</dcterms:modified>
</cp:coreProperties>
</file>